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300"/>
  </bookViews>
  <sheets>
    <sheet name="November 2021" sheetId="1" r:id="rId1"/>
  </sheets>
  <definedNames>
    <definedName name="_xlnm._FilterDatabase" localSheetId="0" hidden="1">'November 2021'!$A$1:$H$2919</definedName>
  </definedNames>
  <calcPr calcId="0"/>
</workbook>
</file>

<file path=xl/calcChain.xml><?xml version="1.0" encoding="utf-8"?>
<calcChain xmlns="http://schemas.openxmlformats.org/spreadsheetml/2006/main">
  <c r="G2919" i="1" l="1"/>
  <c r="C2919" i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  <c r="E2908" i="1"/>
  <c r="F2908" i="1"/>
  <c r="H2908" i="1"/>
  <c r="E2909" i="1"/>
  <c r="F2909" i="1"/>
  <c r="H2909" i="1"/>
  <c r="E2910" i="1"/>
  <c r="F2910" i="1"/>
  <c r="H2910" i="1"/>
  <c r="E2911" i="1"/>
  <c r="F2911" i="1"/>
  <c r="H2911" i="1"/>
  <c r="E2912" i="1"/>
  <c r="F2912" i="1"/>
  <c r="H2912" i="1"/>
  <c r="E2913" i="1"/>
  <c r="F2913" i="1"/>
  <c r="H2913" i="1"/>
  <c r="E2914" i="1"/>
  <c r="F2914" i="1"/>
  <c r="H2914" i="1"/>
  <c r="E2915" i="1"/>
  <c r="F2915" i="1"/>
  <c r="H2915" i="1"/>
  <c r="E2916" i="1"/>
  <c r="F2916" i="1"/>
  <c r="H2916" i="1"/>
  <c r="E2917" i="1"/>
  <c r="F2917" i="1"/>
  <c r="H2917" i="1"/>
  <c r="E2918" i="1"/>
  <c r="F2918" i="1"/>
  <c r="H2918" i="1"/>
</calcChain>
</file>

<file path=xl/sharedStrings.xml><?xml version="1.0" encoding="utf-8"?>
<sst xmlns="http://schemas.openxmlformats.org/spreadsheetml/2006/main" count="780" uniqueCount="654">
  <si>
    <t>Name</t>
  </si>
  <si>
    <t>Check #</t>
  </si>
  <si>
    <t>Check Amount</t>
  </si>
  <si>
    <t>Check Date</t>
  </si>
  <si>
    <t>Invoice ID</t>
  </si>
  <si>
    <t>Invoice Desc</t>
  </si>
  <si>
    <t>GL Description</t>
  </si>
  <si>
    <t xml:space="preserve">GL Amount </t>
  </si>
  <si>
    <t>CHRISTINA CANNON</t>
  </si>
  <si>
    <t>973 MATERIALS  LLC</t>
  </si>
  <si>
    <t>A PLUS BAIL BONDS</t>
  </si>
  <si>
    <t>ARNOLD OIL COMPANY OF AUSTIN LP</t>
  </si>
  <si>
    <t>ADAM DAKOTA ROWINS</t>
  </si>
  <si>
    <t>ALBERT M. MCCAIG JR</t>
  </si>
  <si>
    <t>ALBERT NEAL PFEIFFER</t>
  </si>
  <si>
    <t>AMAZON CAPITAL SERVICES INC</t>
  </si>
  <si>
    <t>AMERICAN TIRE DISTRIBUTORS INC</t>
  </si>
  <si>
    <t>AMERISOURCEBERGEN</t>
  </si>
  <si>
    <t>AMG PRINTING &amp; MAILING  LLC</t>
  </si>
  <si>
    <t>ANDERSON &amp; ANDERSON LAW FIRM PC</t>
  </si>
  <si>
    <t>C APPLEMAN ENT INC</t>
  </si>
  <si>
    <t>AQUA BEVERAGE COMPANY/OZARKA</t>
  </si>
  <si>
    <t>AQUA WATER SUPPLY CORPORATION</t>
  </si>
  <si>
    <t>ARA / ST.DAVID'S IMAGING  LP</t>
  </si>
  <si>
    <t>ARCHITEXAS - ARCHITECTURE  PLANNING &amp; HISTORIC PRE</t>
  </si>
  <si>
    <t>ASCENSION SETON</t>
  </si>
  <si>
    <t>ASHLEY HERMANS</t>
  </si>
  <si>
    <t>AT&amp;T</t>
  </si>
  <si>
    <t>AT&amp;T MOBILITY</t>
  </si>
  <si>
    <t>AUGUST FUCHS</t>
  </si>
  <si>
    <t>AUSTIN KIDNEY ASSOCIATES  PA</t>
  </si>
  <si>
    <t>AUSTIN RADIOLOGICAL ASSOC</t>
  </si>
  <si>
    <t>JIM ATTRA INC</t>
  </si>
  <si>
    <t>MICHAEL OLDHAM TIRE INC</t>
  </si>
  <si>
    <t>EDUARDO BARRIENTOS</t>
  </si>
  <si>
    <t>BASTROP CENTRAL APPRAISAL DIST.</t>
  </si>
  <si>
    <t>BASTROP COUNTY LONG TERM RECOVERY TEAM</t>
  </si>
  <si>
    <t>BASTROP CO SHERIFF'S OFFICE FORFEITURE FUND</t>
  </si>
  <si>
    <t>BASTROP COUNTY SHERIFF'S DEPT</t>
  </si>
  <si>
    <t>DANIEL L HEPKER</t>
  </si>
  <si>
    <t>BASTROP COUNTY CARES</t>
  </si>
  <si>
    <t>BASTROP COUNTY FIRST RESPONDERS  INC.</t>
  </si>
  <si>
    <t>BASTROP COUNTY TAX ASSESSOR</t>
  </si>
  <si>
    <t>BASTROP COUNTY TAX-ASSESSOR</t>
  </si>
  <si>
    <t>BASTROP PROVIDENCE  LLC</t>
  </si>
  <si>
    <t>DAVID H OUTON</t>
  </si>
  <si>
    <t>BELL COUNTY</t>
  </si>
  <si>
    <t>BEN E KEITH CO.</t>
  </si>
  <si>
    <t>BERAN'S GIN MILL &amp; FEED CO  LP</t>
  </si>
  <si>
    <t>B C FOOD GROUP  LLC</t>
  </si>
  <si>
    <t>BIDDLE CONSULTING GROUP  INC.</t>
  </si>
  <si>
    <t>BIG CITY CRUSHED CONCRETE  LLC</t>
  </si>
  <si>
    <t>BIG WRENCH ROAD SERVICE INC</t>
  </si>
  <si>
    <t>MAURINE MC LEAN</t>
  </si>
  <si>
    <t>BIMBO FOODS INC</t>
  </si>
  <si>
    <t>BLUEBONNET ELECTRIC COOPERATIVE  INC.</t>
  </si>
  <si>
    <t>BLUEBONNET TRAILS MHMR</t>
  </si>
  <si>
    <t>BOB BARKER COMPANY  INC.</t>
  </si>
  <si>
    <t>BOBBY INGRAM JR</t>
  </si>
  <si>
    <t>BOBBY LIMBOCKER</t>
  </si>
  <si>
    <t>BOEHM TRACTOR SALES INC</t>
  </si>
  <si>
    <t>BRAUNTEX MATERIALS INC</t>
  </si>
  <si>
    <t>LAW OFFICE OF BRYAN W. MCDANIEL  P.C.</t>
  </si>
  <si>
    <t>BUREAU OF VITAL STATISTICS</t>
  </si>
  <si>
    <t>C M PESL</t>
  </si>
  <si>
    <t>CAPITAL AREA EMERGENCY COMM DISTRICT</t>
  </si>
  <si>
    <t>CAPITOL BEARING SERVICE OF AUSTIN  INC.</t>
  </si>
  <si>
    <t>TIB-THE INDEPENDENT BANKERS BANK</t>
  </si>
  <si>
    <t>CAROLYN DILL</t>
  </si>
  <si>
    <t>CARTER &amp; DENHAM  PLLC</t>
  </si>
  <si>
    <t>CDW GOVERNMENT INC</t>
  </si>
  <si>
    <t>CHANNA GUERRERO</t>
  </si>
  <si>
    <t>CHARLES W CARVER</t>
  </si>
  <si>
    <t>CHRISTINE FILES</t>
  </si>
  <si>
    <t>CINTAS</t>
  </si>
  <si>
    <t>CINTAS CORPORATION</t>
  </si>
  <si>
    <t>CISTERA NETWORKS  INC.</t>
  </si>
  <si>
    <t>CITIBANK</t>
  </si>
  <si>
    <t>CITY OF BASTROP</t>
  </si>
  <si>
    <t>CITY OF SMITHVILLE</t>
  </si>
  <si>
    <t>CLAYTON HOFFMAN</t>
  </si>
  <si>
    <t>CLIFFORD POWER SYSTEMS INC</t>
  </si>
  <si>
    <t>CLINICAL PATHOLOGY LABORATORIES INC</t>
  </si>
  <si>
    <t>CNA SURETY</t>
  </si>
  <si>
    <t>GREENWICH INC</t>
  </si>
  <si>
    <t>CONNECTED NATION  INC.</t>
  </si>
  <si>
    <t>DAVID CONTI</t>
  </si>
  <si>
    <t>CONVERGENCE CABLING  INC.</t>
  </si>
  <si>
    <t>COOPER EQUIPMENT CO.</t>
  </si>
  <si>
    <t>CORYELL COUNTY SHERIFF</t>
  </si>
  <si>
    <t>COUNTY OF BEXAR - SHERIFF</t>
  </si>
  <si>
    <t>BUTLER ANIMAL HEALTH HOLDING COMPANY  LLC</t>
  </si>
  <si>
    <t>CRADLEPOINT INC</t>
  </si>
  <si>
    <t>CRESSIDA EVELYN KWOLEK  Ph.D.</t>
  </si>
  <si>
    <t>DANIEL ACKER</t>
  </si>
  <si>
    <t>DANNY CEDILLO</t>
  </si>
  <si>
    <t>DAVE ERNST MUNDINE</t>
  </si>
  <si>
    <t>DAVID B BROOKS</t>
  </si>
  <si>
    <t>DAVID DENNISTON</t>
  </si>
  <si>
    <t>DAVID ELIZONDO</t>
  </si>
  <si>
    <t>DAVID GONZALEZ</t>
  </si>
  <si>
    <t>DAVID M COLLINS</t>
  </si>
  <si>
    <t>DEAN DAIRY CORPORATE  LLC</t>
  </si>
  <si>
    <t>DELL</t>
  </si>
  <si>
    <t>DENNIS SMITH</t>
  </si>
  <si>
    <t>DENTRUST DENTAL TX PC</t>
  </si>
  <si>
    <t>DEREK STIFFLEMIRE</t>
  </si>
  <si>
    <t>DICKENS LOCKSMITH INC</t>
  </si>
  <si>
    <t>TEXAS DEPARTMENT OF INFORMATION RESOURCES</t>
  </si>
  <si>
    <t>THE REINALT - THOMAS CORPORATION</t>
  </si>
  <si>
    <t>DOBIE SUPPLY LLC</t>
  </si>
  <si>
    <t>DON YOUNG</t>
  </si>
  <si>
    <t>DONNIE SCHULZ</t>
  </si>
  <si>
    <t>DONNIE STARK</t>
  </si>
  <si>
    <t>DOUBLE D INTERNATIONAL FOOD CO.  INC.</t>
  </si>
  <si>
    <t>DOUBLE TUFF TRUCK TARPS INC</t>
  </si>
  <si>
    <t>DOUGLAS BERRYANN - BERRYANN ENTERPRISES</t>
  </si>
  <si>
    <t>KRISTI ARRINGTON KALLINA</t>
  </si>
  <si>
    <t>DUNNE &amp; JUAREZ L.L.C.</t>
  </si>
  <si>
    <t>EASYVOTE SOLUTIONS LLC</t>
  </si>
  <si>
    <t>ECOLAB INC</t>
  </si>
  <si>
    <t>ELANCO US INC</t>
  </si>
  <si>
    <t>ELECTION SYSTEMS &amp; SOFTWARE INC</t>
  </si>
  <si>
    <t>BLACKLANDS PUBLICATIONS INC</t>
  </si>
  <si>
    <t>CITY OF ELGIN UTILITIES</t>
  </si>
  <si>
    <t>ELLEN OWENS</t>
  </si>
  <si>
    <t>ELLIOTT ELECTRIC SUPPLY INC</t>
  </si>
  <si>
    <t>ERGON ASPHALT &amp; EMULSIONS INC</t>
  </si>
  <si>
    <t>EVANGELINA HERRERA-GARZA</t>
  </si>
  <si>
    <t>EWALD KUBOTA  INC.</t>
  </si>
  <si>
    <t>FACILITY GATEWAY CORPORATION</t>
  </si>
  <si>
    <t>BASTROP COUNTY WOMEN'S SHELTER</t>
  </si>
  <si>
    <t>FEDERAL EXPRESS</t>
  </si>
  <si>
    <t>FIRETROL PROTECTION SYSTEMS  INC.</t>
  </si>
  <si>
    <t>FLEETPRIDE</t>
  </si>
  <si>
    <t>4283929 DELAWARE LLC</t>
  </si>
  <si>
    <t>FORREST L. SANDERSON</t>
  </si>
  <si>
    <t>FRANCES HUNTER</t>
  </si>
  <si>
    <t>CREA PARSON</t>
  </si>
  <si>
    <t>AUSTIN TRUCK AND EQUIPMENT  LTD</t>
  </si>
  <si>
    <t>EUGENE W BRIGGS JR</t>
  </si>
  <si>
    <t>GALLS PARENT HOLDINGS LLC</t>
  </si>
  <si>
    <t>GARLAND T MURLEY</t>
  </si>
  <si>
    <t>GARLAND/DBS  INC.</t>
  </si>
  <si>
    <t>GARMENTS TO GO  INC</t>
  </si>
  <si>
    <t>GIPSON PENDERGRASS PEOPLE'S MORTUARY LLC</t>
  </si>
  <si>
    <t>GLENN TEINERT</t>
  </si>
  <si>
    <t>GOVERNMENT PAYMENTS</t>
  </si>
  <si>
    <t>GREG E NORMAN</t>
  </si>
  <si>
    <t>GREG SUCHYTA</t>
  </si>
  <si>
    <t>GT DISTRIBUTORS  INC.</t>
  </si>
  <si>
    <t>GULF COAST PAPER CO. INC.</t>
  </si>
  <si>
    <t>H&amp;H OIL  L.P.</t>
  </si>
  <si>
    <t>HAMILTON ELECTRIC WORKS  INC.</t>
  </si>
  <si>
    <t>HAYLEY STITELER</t>
  </si>
  <si>
    <t>HI-LINE</t>
  </si>
  <si>
    <t>BASCOM L HODGES JR</t>
  </si>
  <si>
    <t>BD HOLT CO</t>
  </si>
  <si>
    <t>CITIBANK (SOUTH DAKOTA)N.A./THE HOME DEPOT</t>
  </si>
  <si>
    <t>NORTHWEST CASCADE INC</t>
  </si>
  <si>
    <t>HONORATO LEDEZMA</t>
  </si>
  <si>
    <t>AMERICAS EQUINE WAREHOUSE  INC.</t>
  </si>
  <si>
    <t>HOWARD BURNS</t>
  </si>
  <si>
    <t>HEAT TRANSFER SOLUTIONS  INC.</t>
  </si>
  <si>
    <t>HYDRAULIC HOUSE INC</t>
  </si>
  <si>
    <t>ICS</t>
  </si>
  <si>
    <t>IDEXX DISTRIBUTION INC</t>
  </si>
  <si>
    <t>REALOGY HOLDINGS CORP - INDEPENDENCE TITLE</t>
  </si>
  <si>
    <t>INDIGENT HEALTHCARE SOLUTIONS</t>
  </si>
  <si>
    <t>INLAND TRUCK PARTS COMPANY</t>
  </si>
  <si>
    <t>INTAB  LLC</t>
  </si>
  <si>
    <t>INTERNATIONAL ECONOMIC DEVELOPMENT COUNCIL</t>
  </si>
  <si>
    <t>IRON MOUNTAIN RECORDS MGMT INC</t>
  </si>
  <si>
    <t>JAMES ALLEN</t>
  </si>
  <si>
    <t>JAMES MONTGOMERY</t>
  </si>
  <si>
    <t>JANET L. LYNN</t>
  </si>
  <si>
    <t>JAY'S TIRE &amp; AUTOMOTIVE REPAIR INC</t>
  </si>
  <si>
    <t>JENKINS &amp; JENKINS LLP</t>
  </si>
  <si>
    <t>JENKINS &amp; YOUNG  P.C.</t>
  </si>
  <si>
    <t>JERRY HOSKINS</t>
  </si>
  <si>
    <t>JO DAWN BOMAR</t>
  </si>
  <si>
    <t>JOHN DARSEY</t>
  </si>
  <si>
    <t>JORDAN BATTERSBY  MCDONALD</t>
  </si>
  <si>
    <t>JUSTIN MATTHEW FOHN</t>
  </si>
  <si>
    <t>MAX ACOSTA-RUBIO</t>
  </si>
  <si>
    <t>KELSEY KLEIBER</t>
  </si>
  <si>
    <t>KEN FELIX</t>
  </si>
  <si>
    <t>KENNETH E. LIMUEL JR</t>
  </si>
  <si>
    <t>KENNETH R. ALBRECHT</t>
  </si>
  <si>
    <t>KENNETH TRENCH</t>
  </si>
  <si>
    <t>KENT BROUSSARD TOWER RENTAL INC</t>
  </si>
  <si>
    <t>KIMCO SERVICES  INC</t>
  </si>
  <si>
    <t>KNIGHT SECURITY SYSTEMS LLC</t>
  </si>
  <si>
    <t>KOETTER FIRE PROTECTION OF AUSTIN  LLC</t>
  </si>
  <si>
    <t>KOFILE TECHNOLOGIES  INC.</t>
  </si>
  <si>
    <t>L&amp;W SUPPLY CORPORATION</t>
  </si>
  <si>
    <t>THE LA GRANGE PARTS HOUSE INC</t>
  </si>
  <si>
    <t>LABATT INSTITUTIONAL SUPPLY CO</t>
  </si>
  <si>
    <t>LANE OTTO</t>
  </si>
  <si>
    <t>LANGFORD COMMUNITY MGMT INC</t>
  </si>
  <si>
    <t>LEE COUNTY SHERIFF</t>
  </si>
  <si>
    <t>LEE COUNTY WATER SUPPLY CORP</t>
  </si>
  <si>
    <t>AUSTIN LT  INC.</t>
  </si>
  <si>
    <t>LEXISNEXIS RISK DATA MGMT INC</t>
  </si>
  <si>
    <t>LIBERTY TIRE RECYCLING</t>
  </si>
  <si>
    <t>LINDSEY SIMMONS</t>
  </si>
  <si>
    <t>LIQUID ENVIRONMENTAL SOLUTIONS</t>
  </si>
  <si>
    <t>LIVEOAK CARDIOLOGY PA</t>
  </si>
  <si>
    <t>LLOYD GOSSELINK ROCHELLE &amp; TOWNSEND. PC</t>
  </si>
  <si>
    <t>LONE STAR CIRCLE OF CARE</t>
  </si>
  <si>
    <t>UNITED KWB COLLABORATIONS LLC</t>
  </si>
  <si>
    <t>LONGHORN MOBILE GLASS SERVICE INC</t>
  </si>
  <si>
    <t>LONNIE LAWRENCE DAVIS JR</t>
  </si>
  <si>
    <t>SCOTT BRYANT</t>
  </si>
  <si>
    <t>LOWE'S</t>
  </si>
  <si>
    <t>LYNN KYSAR</t>
  </si>
  <si>
    <t>M&amp;C FONSECA CONSTRUCTION CO.  INC.</t>
  </si>
  <si>
    <t>MARIA ANFOSSO</t>
  </si>
  <si>
    <t>MARK WHITE</t>
  </si>
  <si>
    <t>MARK WOBUS</t>
  </si>
  <si>
    <t>JOHN W GASPARINI INC</t>
  </si>
  <si>
    <t>MATHESON TRI-GAS INC</t>
  </si>
  <si>
    <t>McCREARY  VESELKA  BRAGG &amp; ALLEN P</t>
  </si>
  <si>
    <t>328  09/15/21"</t>
  </si>
  <si>
    <t>MEDIMPACT HEALTHCARE SYSTEMS INC</t>
  </si>
  <si>
    <t>MELLANIE MICKELSON</t>
  </si>
  <si>
    <t>MIDTEX MATERIALS</t>
  </si>
  <si>
    <t>Family Crisis Center</t>
  </si>
  <si>
    <t>JACLYN ANN BROCK</t>
  </si>
  <si>
    <t>DEREK WAYNE BROWN</t>
  </si>
  <si>
    <t>NATHAN LEROY JONES</t>
  </si>
  <si>
    <t>MICHAEL JAMES PAYNE</t>
  </si>
  <si>
    <t>SERENA WILLOW HAMILTON LINN</t>
  </si>
  <si>
    <t>KIANNE MILDRED LEMUEL</t>
  </si>
  <si>
    <t>STEVEN SHANE BROWN</t>
  </si>
  <si>
    <t>TRACE MATTHEW TURNER</t>
  </si>
  <si>
    <t>VINCENT TIMOTHY LAKE</t>
  </si>
  <si>
    <t>ROBERT LOUIS DACY</t>
  </si>
  <si>
    <t>RICKY HARLAN MOHLER</t>
  </si>
  <si>
    <t>JOSHUA THOMAS ZIKE</t>
  </si>
  <si>
    <t>KRISTINE EVON PAYSSE</t>
  </si>
  <si>
    <t>AMNY JAQUELINE ALVARADO COLIND</t>
  </si>
  <si>
    <t>SEAN LESLIE OGRADY</t>
  </si>
  <si>
    <t>ANDREA SHARP CROUCH</t>
  </si>
  <si>
    <t>TIMOTHY HAROLD RYE</t>
  </si>
  <si>
    <t>TOMETRA DIONNE HARGROVE</t>
  </si>
  <si>
    <t>MARK STEVEN AARSVOLD</t>
  </si>
  <si>
    <t>GINA DOOLITTLE OHARA</t>
  </si>
  <si>
    <t>RAINEE ELIZABETH TREVINO</t>
  </si>
  <si>
    <t>ANABEL JAIMES-WENCES</t>
  </si>
  <si>
    <t>GUY ALAN MYERS</t>
  </si>
  <si>
    <t>ANTONIO TOVAR-RODRIGUEZ</t>
  </si>
  <si>
    <t>RONALDO HERNANDEZ</t>
  </si>
  <si>
    <t>DYLAN PAUL JENKINS</t>
  </si>
  <si>
    <t>BOBBY JAY WILLIAMSON</t>
  </si>
  <si>
    <t>JONATHAN PAUL STINER</t>
  </si>
  <si>
    <t>JOHN TYLER GARZA</t>
  </si>
  <si>
    <t>TERESA GRACE WRIGHT</t>
  </si>
  <si>
    <t>DANIEL ALLEN FOTOVICH</t>
  </si>
  <si>
    <t>LOUIS ACOSTA BOTELLO</t>
  </si>
  <si>
    <t>RANDY JAMES CASE</t>
  </si>
  <si>
    <t>BRIAN LEE WELLS</t>
  </si>
  <si>
    <t>KASEY NICOLE TROTTER</t>
  </si>
  <si>
    <t>COLE WILLIAM BACA</t>
  </si>
  <si>
    <t>REID SAVAIA</t>
  </si>
  <si>
    <t>NATALY CYNTHIA SANCHEZ</t>
  </si>
  <si>
    <t>MARK LOMBARDO JR</t>
  </si>
  <si>
    <t>ASHLEY MONIQUE HESSLER</t>
  </si>
  <si>
    <t>ELIZABETH VILLEGAS PADRON</t>
  </si>
  <si>
    <t>MARY HINDE</t>
  </si>
  <si>
    <t>LEWIS AUKER ZIMMERMAN</t>
  </si>
  <si>
    <t>CHRISTINE COFFEY BISTLINE</t>
  </si>
  <si>
    <t>CLAIRE SCHREIBER BOYER</t>
  </si>
  <si>
    <t>THOMAS RAY THRASHER</t>
  </si>
  <si>
    <t>ALBERTO URQUIZA</t>
  </si>
  <si>
    <t>KELLIE RAYE COX</t>
  </si>
  <si>
    <t>RASHELLE KARENA MADALINSKI</t>
  </si>
  <si>
    <t>JESUS DELA SANCHA ORTIZ JR</t>
  </si>
  <si>
    <t>ROBERT DALE PARSONS</t>
  </si>
  <si>
    <t>TAMMY SUE JAWORSKI</t>
  </si>
  <si>
    <t>PAUL EUGENE MEYERS</t>
  </si>
  <si>
    <t>CAROL ANN MILLER</t>
  </si>
  <si>
    <t>ANGELA SLATER LEWIS</t>
  </si>
  <si>
    <t>ELVIA BORJA PLANCARTE</t>
  </si>
  <si>
    <t>CLAY WILLIAM BYROM</t>
  </si>
  <si>
    <t>PHILLIP MARVIN COLE</t>
  </si>
  <si>
    <t>IRENE FLORES DAMAS</t>
  </si>
  <si>
    <t>ELAINE MEREDITH KING</t>
  </si>
  <si>
    <t>JULIE EILEEN MOORE</t>
  </si>
  <si>
    <t>HEATH LEE GATTIS</t>
  </si>
  <si>
    <t>FRANCES SALITROS HUNTER</t>
  </si>
  <si>
    <t>TINA MARIE CASAREZ</t>
  </si>
  <si>
    <t>GREGORY CHARLES WEBB</t>
  </si>
  <si>
    <t>RAYMOND EUGENE GOLDSTEIN</t>
  </si>
  <si>
    <t>TRACY MICHELLE NORTH</t>
  </si>
  <si>
    <t>SANTOS OVIDIO ESCOBAR</t>
  </si>
  <si>
    <t>DEBORAH DANETTE SPARKMAN</t>
  </si>
  <si>
    <t>ZANE LEE ELLZEY</t>
  </si>
  <si>
    <t>GEORGE SAMUEL CRENSHAW</t>
  </si>
  <si>
    <t>LINDA KAY WILKINS</t>
  </si>
  <si>
    <t>DOUGLAS RANDALL TEMPLETON</t>
  </si>
  <si>
    <t>TERRY DANIEL DOWNS</t>
  </si>
  <si>
    <t>DEBRA HOLZWORTH MCQUEENEY</t>
  </si>
  <si>
    <t>FALLON JNAE JACKSON-JONES</t>
  </si>
  <si>
    <t>JOANA TORRES BAUGH</t>
  </si>
  <si>
    <t>LORENE ANN CALLISON</t>
  </si>
  <si>
    <t>FRANK EMMETT JENKINS</t>
  </si>
  <si>
    <t>MELLISABEL TORRES EAVES</t>
  </si>
  <si>
    <t>SHEILA ANN NAMKEN</t>
  </si>
  <si>
    <t>JOSELYN MARILY CRUZ-CRUZ</t>
  </si>
  <si>
    <t>LINDA YVONNE DINNEAN</t>
  </si>
  <si>
    <t>BRIEON JARROD BROWN</t>
  </si>
  <si>
    <t>EMILY R DOMINGUEZ</t>
  </si>
  <si>
    <t>ROBERT NICHOLAS EICHORST</t>
  </si>
  <si>
    <t>RICHIE ALLEN WILLIAMS</t>
  </si>
  <si>
    <t>MARSHA ANGELA DEVOOGHT</t>
  </si>
  <si>
    <t>BELINDA MAY DENNIS</t>
  </si>
  <si>
    <t>RICHARD OLEY CARRASCO</t>
  </si>
  <si>
    <t>RONALD LEE HARMON</t>
  </si>
  <si>
    <t>RHONDA GAYLE HANNA</t>
  </si>
  <si>
    <t>ALLAN MICHAEL RIDDLE</t>
  </si>
  <si>
    <t>DANIEL DALE ALLEN</t>
  </si>
  <si>
    <t>JOYCE ELAINE HILL</t>
  </si>
  <si>
    <t>DANIEL JASON HUGO</t>
  </si>
  <si>
    <t>JOHNNY LANE SABRSULA</t>
  </si>
  <si>
    <t>BRENDA KAY WALLACE</t>
  </si>
  <si>
    <t>MICHEAL RAY HIROMS</t>
  </si>
  <si>
    <t>KAYE ZIESCHANG KISAMORE</t>
  </si>
  <si>
    <t>HERMINIA HERRERA RIVERA</t>
  </si>
  <si>
    <t>JIM GERARD ATTRA</t>
  </si>
  <si>
    <t>KENNETH WILLIAM KESSELUS</t>
  </si>
  <si>
    <t>DEBRA RENEE HLAVATY</t>
  </si>
  <si>
    <t>TABATHA LYNN TURNER</t>
  </si>
  <si>
    <t>SYLVIA CAVAZOS ERNST</t>
  </si>
  <si>
    <t>ERICA ANN KELTNER</t>
  </si>
  <si>
    <t>JOSEPH GABRIEL ALECCI</t>
  </si>
  <si>
    <t>DAVID WAYNE RICHARDSON</t>
  </si>
  <si>
    <t>JAMIE LEE JOSEPH</t>
  </si>
  <si>
    <t>Children's Advocacy Center</t>
  </si>
  <si>
    <t>BENJAMIN JORDAN ALLEN</t>
  </si>
  <si>
    <t>MARTIN RAMOS JR</t>
  </si>
  <si>
    <t>RALPH BENTON POWELL</t>
  </si>
  <si>
    <t>MARK ANTHONY PORTILLO</t>
  </si>
  <si>
    <t>JOHN GABRIEL PENA</t>
  </si>
  <si>
    <t>PHILIP S PARSONS</t>
  </si>
  <si>
    <t>MURIEL LENA OWENS</t>
  </si>
  <si>
    <t>LOREAL DESIREE NUNEZ</t>
  </si>
  <si>
    <t>DWAYNE DENNIS NORRIS II</t>
  </si>
  <si>
    <t>NICK LEE NICHOLS</t>
  </si>
  <si>
    <t>REECE WINFIELD MCKEOWN</t>
  </si>
  <si>
    <t>RANDY ONEAL MCDONALD</t>
  </si>
  <si>
    <t>ERICK JASON MATES</t>
  </si>
  <si>
    <t>NOE ADAN MARTINEZ</t>
  </si>
  <si>
    <t>SARAH NAIDA ANN MARTINEZ</t>
  </si>
  <si>
    <t>ROY ANTHONY MARTINEZ</t>
  </si>
  <si>
    <t>KENNETH JOHN MARTEN</t>
  </si>
  <si>
    <t>KEVIN LOYD MAGNUSON</t>
  </si>
  <si>
    <t>ANDREW LOPEZ</t>
  </si>
  <si>
    <t>JOHN VINCENT LIVELY</t>
  </si>
  <si>
    <t>DAMEON MARQUEE LEWIS</t>
  </si>
  <si>
    <t>CYNTHIA LEE</t>
  </si>
  <si>
    <t>LAZARO GARCIA LANDEROS</t>
  </si>
  <si>
    <t>LORHONDA RENE RAMSEY</t>
  </si>
  <si>
    <t>JOE LANE KYSER</t>
  </si>
  <si>
    <t>BRANDON CHARLES RAY</t>
  </si>
  <si>
    <t>ALEXANDER MICAHEL RICCIARDI-HO</t>
  </si>
  <si>
    <t>LUKE ANTHONY WOBUS</t>
  </si>
  <si>
    <t>DAVID NICHOLAS WILLIAMS</t>
  </si>
  <si>
    <t>THOMAS RALPH WILKINS JR</t>
  </si>
  <si>
    <t>PATRICK DAVID WILHELM</t>
  </si>
  <si>
    <t>CHARLOTTE JEAN WILHELM</t>
  </si>
  <si>
    <t>KIMBERLY FORD WHITE</t>
  </si>
  <si>
    <t>KATHRYN KAY WELCH</t>
  </si>
  <si>
    <t>RICHARD DUANE WEIR</t>
  </si>
  <si>
    <t>CHARLES WASHINGTON III</t>
  </si>
  <si>
    <t>DEBORAH BLUDAU WALLACE</t>
  </si>
  <si>
    <t>HARVEY JOE VINKLAREK</t>
  </si>
  <si>
    <t>MARIA DEL ROCIO VILLEGAS RANGE</t>
  </si>
  <si>
    <t>BENJAMIN ROBERT UNDERWOOD</t>
  </si>
  <si>
    <t>RONALD WAYNE TROYER</t>
  </si>
  <si>
    <t>YISSELL ZULEIKA TORRES</t>
  </si>
  <si>
    <t>ROBYN DEANNE TORRES</t>
  </si>
  <si>
    <t>JENNIFER STARR SUNDEEN</t>
  </si>
  <si>
    <t>ANDREW ALEN SMITH</t>
  </si>
  <si>
    <t>THERESA FLORES SIMMONS</t>
  </si>
  <si>
    <t>RENEE BROUSSARD SEGURA</t>
  </si>
  <si>
    <t>ALFONSO FLORES SALDANA</t>
  </si>
  <si>
    <t>DOUGLAS CHARLES ROGERS</t>
  </si>
  <si>
    <t>SAVAS SANCHO RIVERA</t>
  </si>
  <si>
    <t>CODY DEAN REYNOLDS</t>
  </si>
  <si>
    <t>JEFFREY RUSSELL KRITZ</t>
  </si>
  <si>
    <t>GINGER MICHELE KIRKLAND</t>
  </si>
  <si>
    <t>MICHAEL GLEN KINSLOW</t>
  </si>
  <si>
    <t>AMANDA LEE ANN DIAZ</t>
  </si>
  <si>
    <t>DANNY RAY CULLUM JR</t>
  </si>
  <si>
    <t>DIEGO CRUZ LUJANO</t>
  </si>
  <si>
    <t>DAVID P CRUDEN</t>
  </si>
  <si>
    <t>SAMANTHA PAIGE CRADDOCK</t>
  </si>
  <si>
    <t>RAY CHARLES COOK JR</t>
  </si>
  <si>
    <t>CATHERINE CAYE CLARK</t>
  </si>
  <si>
    <t>JANET LEA CHESSER-BLISS</t>
  </si>
  <si>
    <t>MICHELLE CHRISTINE CHAPIN</t>
  </si>
  <si>
    <t>CORDILIA MARY CHAMBLESS</t>
  </si>
  <si>
    <t>ASHTON EUGENE BULLARD</t>
  </si>
  <si>
    <t>ERIC PETER BUCKLAND JR</t>
  </si>
  <si>
    <t>JAIME LEIGH BRYNIE</t>
  </si>
  <si>
    <t>CHRISTOPHER C BRUDER</t>
  </si>
  <si>
    <t>JUDITH SUSEN BROCK</t>
  </si>
  <si>
    <t>MATTHEW KARL BRADE</t>
  </si>
  <si>
    <t>RACHEL MICHELLE BOETHEL</t>
  </si>
  <si>
    <t>BENJAMIN LEE BETAK</t>
  </si>
  <si>
    <t>ANGELA A BERG</t>
  </si>
  <si>
    <t>DELMAR LOUIS BENNETT JR</t>
  </si>
  <si>
    <t>EDWARD EUGENE BENFORD</t>
  </si>
  <si>
    <t>AALIYAH ALMA ARIZA</t>
  </si>
  <si>
    <t>DAVID ALONZO JR</t>
  </si>
  <si>
    <t>WILLIAM FRANCES DIETLEIN</t>
  </si>
  <si>
    <t>STEPHEN BRUCE WRIGHT</t>
  </si>
  <si>
    <t>HUNTER ALEXANDER DISMUKE</t>
  </si>
  <si>
    <t>TINA JEAN DYE</t>
  </si>
  <si>
    <t>SAPPHIRE SUE KIEFT</t>
  </si>
  <si>
    <t>WALTER LAWRENCE KESSLER JR</t>
  </si>
  <si>
    <t>JOHN KENNETT</t>
  </si>
  <si>
    <t>PHILIP WILLIAM JOHNSON</t>
  </si>
  <si>
    <t>ANDREW DUSTIN HURST</t>
  </si>
  <si>
    <t>AMANDA BOYDLIN HUDSON</t>
  </si>
  <si>
    <t>KELLY RENEE HUBER</t>
  </si>
  <si>
    <t>VALERIE BROOKE HOPKINS</t>
  </si>
  <si>
    <t>RONALD SCOTT HOLLENBECK</t>
  </si>
  <si>
    <t>BRUCE JAMES HILL</t>
  </si>
  <si>
    <t>RICHARD LEE HILL</t>
  </si>
  <si>
    <t>JOSE FELIX HERNANDEZ</t>
  </si>
  <si>
    <t>YAQUELINA VARGAS HERNANDEZ</t>
  </si>
  <si>
    <t>ZACHARY IVERSON HARRIS</t>
  </si>
  <si>
    <t>ERIK ELOY GUERRA</t>
  </si>
  <si>
    <t>SETH GRIFFIN</t>
  </si>
  <si>
    <t>MARY ANN GREEN</t>
  </si>
  <si>
    <t>JESSIAH EDEN DESTINI GARCIA</t>
  </si>
  <si>
    <t>JENNY CAROLE FOWLER</t>
  </si>
  <si>
    <t>EMILIE JOAN FOUTS</t>
  </si>
  <si>
    <t>CHRISTINA JEANETTE FONDA</t>
  </si>
  <si>
    <t>THOMAS WILLIAM EVERAGE</t>
  </si>
  <si>
    <t>RAPHAEL ESAI ESCOBEDO</t>
  </si>
  <si>
    <t>DANIEL A DURDA</t>
  </si>
  <si>
    <t>MARK BRADLEY WYATT</t>
  </si>
  <si>
    <t>FRANCES ELIZABETH DRUCK</t>
  </si>
  <si>
    <t>KIRSTEN GILLIAM GLENN</t>
  </si>
  <si>
    <t>ELIZABETH VALLE</t>
  </si>
  <si>
    <t>STARBUCK LYNN GAUL</t>
  </si>
  <si>
    <t>HEATH EDWARD FREPPON</t>
  </si>
  <si>
    <t>GLENIS JANELL MCBEE</t>
  </si>
  <si>
    <t>ROBIN RAE CORUM</t>
  </si>
  <si>
    <t>ROBIN LYNN LILLEY</t>
  </si>
  <si>
    <t>RICHARD GERARD AMAYA</t>
  </si>
  <si>
    <t>AMY MICHELLE COLTER</t>
  </si>
  <si>
    <t>CLARK RONALD BERNHARD</t>
  </si>
  <si>
    <t>JEFF BELL MILLER JR</t>
  </si>
  <si>
    <t>MOHAMMAD KHAN</t>
  </si>
  <si>
    <t>514  10/25/21"</t>
  </si>
  <si>
    <t>MOTOROLA SOLUTIONS  IN.C</t>
  </si>
  <si>
    <t>EK&amp;R ENTERPRISES  INC</t>
  </si>
  <si>
    <t>MUSTANG MACHINERY COMPANY LTD</t>
  </si>
  <si>
    <t>NALCO COMPANY LLC</t>
  </si>
  <si>
    <t>NATIONAL FOOD GROUP INC</t>
  </si>
  <si>
    <t>NEIL GANDY</t>
  </si>
  <si>
    <t>037"</t>
  </si>
  <si>
    <t>O'REILLY AUTOMOTIVE  INC.</t>
  </si>
  <si>
    <t>OFFICE DEPOT</t>
  </si>
  <si>
    <t>ON SITE SERVICES</t>
  </si>
  <si>
    <t>OPERATIONAL SUPPORT SERVICES INC</t>
  </si>
  <si>
    <t>P3Works  LLC</t>
  </si>
  <si>
    <t>PAIGE TRACTORS INC</t>
  </si>
  <si>
    <t>PAPER RETRIEVER OF TEXAS</t>
  </si>
  <si>
    <t>SL PARKER PARTNERSHIP LLC</t>
  </si>
  <si>
    <t>PATHMARK TRAFFIC EQUIPMENT  LLC</t>
  </si>
  <si>
    <t>PATTERSON  VETERINARY SUPPLY INC</t>
  </si>
  <si>
    <t>PAUL GRANADO</t>
  </si>
  <si>
    <t>PERDUE  BRANDON  FIELDER  COLLINS &amp; MOTT LLP</t>
  </si>
  <si>
    <t>PHILIP R DUCLOUX</t>
  </si>
  <si>
    <t>PB PROFESSIONAL SERVICES INC</t>
  </si>
  <si>
    <t>PM WILSON &amp; ASSOCIATES PLLC</t>
  </si>
  <si>
    <t>POST OAK HARDWARE  INC.</t>
  </si>
  <si>
    <t>POSTMASTER</t>
  </si>
  <si>
    <t>JOHN DEERE FINANCIAL f.s.b.</t>
  </si>
  <si>
    <t>POPE PRO ENTERPRISES INC</t>
  </si>
  <si>
    <t>PRODUCTIVITY CENTER INC</t>
  </si>
  <si>
    <t>PROGRESSIVE - RESTITUTION ACCT</t>
  </si>
  <si>
    <t>181 10/19/2021"</t>
  </si>
  <si>
    <t>ELGIN PROVIDENCE LLC</t>
  </si>
  <si>
    <t>PYE-BARKER FIRE &amp; SAFETY LLC</t>
  </si>
  <si>
    <t>RALPH E. GAULDING</t>
  </si>
  <si>
    <t>RANDY REED</t>
  </si>
  <si>
    <t>MADTEX  INC.</t>
  </si>
  <si>
    <t>NESTLE WATERS N AMERICA INC</t>
  </si>
  <si>
    <t>REBECCA STRNAD</t>
  </si>
  <si>
    <t>REBECCA WEATHERLY</t>
  </si>
  <si>
    <t>DAVID HALLIMORE</t>
  </si>
  <si>
    <t>RED WING BUSINESS ADVANTAGE ACCOUNT</t>
  </si>
  <si>
    <t>NRG ENERGY INC</t>
  </si>
  <si>
    <t>RESERVE ACCOUNT</t>
  </si>
  <si>
    <t>RICHARD HOFFMAN</t>
  </si>
  <si>
    <t>RICHARD L NEIDIG</t>
  </si>
  <si>
    <t>RICOH USA INC</t>
  </si>
  <si>
    <t>CIT TECHNOLOGY FINANCE</t>
  </si>
  <si>
    <t>ROADRUNNER RADIOLOGY EQUIP LLC</t>
  </si>
  <si>
    <t>ROBBIE R RAEMSCH</t>
  </si>
  <si>
    <t>RODY BEST</t>
  </si>
  <si>
    <t>ROMCO EQUIPMENT CO.</t>
  </si>
  <si>
    <t>RONALD BEHRENS</t>
  </si>
  <si>
    <t>ROSE PIETSCH COUNTY CLERK</t>
  </si>
  <si>
    <t>SAMMY LERMA III MD</t>
  </si>
  <si>
    <t>SARAH TOMPKINS</t>
  </si>
  <si>
    <t>SCOTT PAULK</t>
  </si>
  <si>
    <t>SETH ANDREW WALKER</t>
  </si>
  <si>
    <t>SETON FAMILY OF HOSPITALS</t>
  </si>
  <si>
    <t>SETON HEALTHCARE SPONSORED PROJECTS</t>
  </si>
  <si>
    <t>SHARON HANCOCK</t>
  </si>
  <si>
    <t>962  10/19/2021"</t>
  </si>
  <si>
    <t>FERRELLGAS  LP</t>
  </si>
  <si>
    <t>SHI GOVERNMENT SOLUTIONS INC.</t>
  </si>
  <si>
    <t>SHOPPA'S FARM SUPPLY</t>
  </si>
  <si>
    <t>SHRED-IT US HOLDCO  INC</t>
  </si>
  <si>
    <t>SINGLETON ASSOCIATES  PA</t>
  </si>
  <si>
    <t>SKYLINE EQUIPMENT LLC</t>
  </si>
  <si>
    <t>SMITH STORES  INC.</t>
  </si>
  <si>
    <t>SMITHVILLE AREA CHAMBER OF COMMERCE</t>
  </si>
  <si>
    <t>SMITHVILLE AUTO PARTS  INC</t>
  </si>
  <si>
    <t>SNYDER COMMERCIAL GLASS SERVICE LLC</t>
  </si>
  <si>
    <t>SOUTH CENTRAL PLANNING AND DEVELOPMENT COMMISSION</t>
  </si>
  <si>
    <t>SOUTHERN COMPUTER WAREHOUSE INC</t>
  </si>
  <si>
    <t>SOUTHERN TIRE MART LLC</t>
  </si>
  <si>
    <t>DS WATERS OF AMERICA INC</t>
  </si>
  <si>
    <t>ST. DAVIDS HEART &amp; VASCULAR  PLLC</t>
  </si>
  <si>
    <t>STAPLES  INC.</t>
  </si>
  <si>
    <t>STATE OF TEXAS</t>
  </si>
  <si>
    <t>STERICYCLE  INC.</t>
  </si>
  <si>
    <t>STEVE GRANADO</t>
  </si>
  <si>
    <t>MICHAEL GRAMZA</t>
  </si>
  <si>
    <t>MATTHEW LEE SULLINS</t>
  </si>
  <si>
    <t>SUN COAST RESOURCES</t>
  </si>
  <si>
    <t>T-MOBILE USA</t>
  </si>
  <si>
    <t>TAB PRODUCTS CO LLC</t>
  </si>
  <si>
    <t>TAMARAH MATTHEW</t>
  </si>
  <si>
    <t>TAVCO SERVICES INC</t>
  </si>
  <si>
    <t>TEXAS A&amp;M ENGINEERING EXTENSION SERVICE</t>
  </si>
  <si>
    <t>TEJAS ELEVATOR COMPANY</t>
  </si>
  <si>
    <t>JOHN J FIETSAM INC</t>
  </si>
  <si>
    <t>TEX-CON OIL CO</t>
  </si>
  <si>
    <t>TEXAS A&amp;M AGRILIFE EXTENSION SERVICE</t>
  </si>
  <si>
    <t>TEXAS AGGREGATES  LLC</t>
  </si>
  <si>
    <t>TEXAS ASSOC OF CCL JUDGES</t>
  </si>
  <si>
    <t>TEXAS ASSOCIATES INSURORS AGENCY</t>
  </si>
  <si>
    <t>TEXAS ASSOCIATION OF COUNTIES</t>
  </si>
  <si>
    <t>TEXAS CONFERENCE OF URBAN COUNTIES</t>
  </si>
  <si>
    <t>TEXAS DEPARTMENT OF AGRICULTURE</t>
  </si>
  <si>
    <t>TEXAS DEPT OF PUBLIC SAFETY</t>
  </si>
  <si>
    <t>583"</t>
  </si>
  <si>
    <t>TEXAS DISPOSAL SYSTEMS  INC.</t>
  </si>
  <si>
    <t>TEXAS JUSTICE COURT TRAINING CENTER</t>
  </si>
  <si>
    <t>TEXAS MATERIALS GROUP  INC.</t>
  </si>
  <si>
    <t>TEXAS ONCOLOGY</t>
  </si>
  <si>
    <t>JOSEPH NICHOLAS HINES</t>
  </si>
  <si>
    <t>TEXAS PARKS &amp; WILDLIFE DEPARTMENT</t>
  </si>
  <si>
    <t>TEXAS TRAVEL ALLIANCE</t>
  </si>
  <si>
    <t>BUG MASTER EXTERMINATING SERVICES  LTD</t>
  </si>
  <si>
    <t>THE JONES ZYLON COMPANY  LLC</t>
  </si>
  <si>
    <t>RICHARD NELSON MOORE</t>
  </si>
  <si>
    <t>THE NITSCHE GROUP</t>
  </si>
  <si>
    <t>WEST PUBLISHING CORPORATION</t>
  </si>
  <si>
    <t>TWE-ADVANCE/NEWHOUSE PARTNERSHIP</t>
  </si>
  <si>
    <t>TRACTOR SUPPLY CREDIT PLAN</t>
  </si>
  <si>
    <t>TRAVIS COUNTY CONSTABLE PCT 5</t>
  </si>
  <si>
    <t>328"</t>
  </si>
  <si>
    <t>TRAVIS COUNTY CLERK</t>
  </si>
  <si>
    <t>TRAVIS COUNTY EMERGENCY PHYSICIANS PA</t>
  </si>
  <si>
    <t>TRAVIS COUNTY MEDICAL EXAMINER</t>
  </si>
  <si>
    <t>TRAVIS MATERIALS GROUP LTD</t>
  </si>
  <si>
    <t>TREY STEIN</t>
  </si>
  <si>
    <t>TRUCK ALIGNMENT FRAME  LLC</t>
  </si>
  <si>
    <t>TULL FARLEY</t>
  </si>
  <si>
    <t>TVMDL</t>
  </si>
  <si>
    <t>TYLER TECHNOLOGIES INC</t>
  </si>
  <si>
    <t>ULINE  INC.</t>
  </si>
  <si>
    <t>VEOLIA NORTH AMERICA  INC.</t>
  </si>
  <si>
    <t>VETERINARY ANESTHESIA SYSTEMS INC</t>
  </si>
  <si>
    <t>VICTOR PROCHNOW</t>
  </si>
  <si>
    <t>TEXAS DEPARTMENT OF STATE HEALTH SERVICES</t>
  </si>
  <si>
    <t>VORTECH PHARMACEUTICALS LTD</t>
  </si>
  <si>
    <t>US BANK NA</t>
  </si>
  <si>
    <t>VTX COMMUNICATIONS  LLC</t>
  </si>
  <si>
    <t>VULCAN  INC.</t>
  </si>
  <si>
    <t>WALLER COUNTY ASPHALT INC</t>
  </si>
  <si>
    <t>WASTE CONNECTIONS LONE STAR. INC.</t>
  </si>
  <si>
    <t>WASTE MANAGEMENT OF TEXAS  INC</t>
  </si>
  <si>
    <t>WATCH GUARD VIDEO</t>
  </si>
  <si>
    <t>WIND KNOT INCORPORATED</t>
  </si>
  <si>
    <t>MAO PHARMACY INC</t>
  </si>
  <si>
    <t>WILLIE SCHINDLER</t>
  </si>
  <si>
    <t>WILSON 5 LAWN CARE</t>
  </si>
  <si>
    <t>WINZER CORPORATION</t>
  </si>
  <si>
    <t>WJC CONSTRUCTORS SERVICES  LLC</t>
  </si>
  <si>
    <t>YOLANDA WHEATON</t>
  </si>
  <si>
    <t>YOUNGS PROFESSIONAL SERVICES  LLC</t>
  </si>
  <si>
    <t>ZBATTERY.COM INC</t>
  </si>
  <si>
    <t>ZOETIS US LLC</t>
  </si>
  <si>
    <t>ZOHO CORPORATION</t>
  </si>
  <si>
    <t>ABRAXSYS CORPORATION</t>
  </si>
  <si>
    <t>CALBRI ROAD &amp; BRIDGE LLC</t>
  </si>
  <si>
    <t>FIRST NATIONAL BANK</t>
  </si>
  <si>
    <t>KUBOTA TRACTOR CORPORATION</t>
  </si>
  <si>
    <t>LEE CONSTRUCTION &amp; MAINTENANCE COMPANY</t>
  </si>
  <si>
    <t>NICOLE DIONNE INTERESTS</t>
  </si>
  <si>
    <t>PREFERRED TECHNOLOGIES  LLC</t>
  </si>
  <si>
    <t>WILSON CULVERTS  INC.</t>
  </si>
  <si>
    <t>ALLSTATE-AMERICAN HERITAGE LIFE INS CO</t>
  </si>
  <si>
    <t>AmWINS Group Benefits  Inc.</t>
  </si>
  <si>
    <t>BASTROP COUNTY ADULT PROBATION</t>
  </si>
  <si>
    <t>COLONIAL LIFE &amp; ACCIDENT INS. CO.</t>
  </si>
  <si>
    <t>GUARDIAN</t>
  </si>
  <si>
    <t>INDIANA STATE CENTRAL COLLECTION UNIT</t>
  </si>
  <si>
    <t>IRS-PAYROLL TAXES</t>
  </si>
  <si>
    <t>GERALD FLORES OLIVO</t>
  </si>
  <si>
    <t>PHI AIR MEDICAL  LLC</t>
  </si>
  <si>
    <t>STERLING HEALTH SERVICES  INC.</t>
  </si>
  <si>
    <t>TAC HEALTH BENEFITS POOL</t>
  </si>
  <si>
    <t>JNT RESOURCE PARTNERS  LP</t>
  </si>
  <si>
    <t>TEXAS ATTY.GENERAL'S OFFICE</t>
  </si>
  <si>
    <t>TEXAS CNTY &amp; DIST RETIREMENT SYS</t>
  </si>
  <si>
    <t>TEXAS LEGAL PROTECTION PLAN INC</t>
  </si>
  <si>
    <t>NEW ACADEMY HOLDING COMPANY  LLC</t>
  </si>
  <si>
    <t>CALIBRE MANAGEMENT OF TEXAS  LLC</t>
  </si>
  <si>
    <t>CISCO SYSTEMS INC</t>
  </si>
  <si>
    <t>NEW URBAN RESEARCH  INC</t>
  </si>
  <si>
    <t>MUNICIPAL SERVICES BUREAU/GILA GROUP</t>
  </si>
  <si>
    <t>FEDEX</t>
  </si>
  <si>
    <t>FERGUSON ENTERPRISES  INC.</t>
  </si>
  <si>
    <t>DESERT NEWCO LLC</t>
  </si>
  <si>
    <t>MAREN MANAGEMENT LLC</t>
  </si>
  <si>
    <t>XXVI HOLDINGS INC</t>
  </si>
  <si>
    <t>GRAINGER INC</t>
  </si>
  <si>
    <t>HARBOR FREIGHT TOOLS USA  INC</t>
  </si>
  <si>
    <t>CERVANTEZ MAINTENANCE MANAGEMENT  LLC</t>
  </si>
  <si>
    <t>MOUNTAIN CITY SUPPLY  LLC</t>
  </si>
  <si>
    <t>NATIONAL NOTARY ASSOCIATION</t>
  </si>
  <si>
    <t>BASTROP CAR WASH SERVICES LLC</t>
  </si>
  <si>
    <t>RED WING SHOE STORE #179</t>
  </si>
  <si>
    <t>SAMES BASTROP FORD INC</t>
  </si>
  <si>
    <t>SHERWIN WILLIAMS CO</t>
  </si>
  <si>
    <t>SOCIETY FOR HUMAN RESOURCE MANAGEMENT</t>
  </si>
  <si>
    <t>TRANE</t>
  </si>
  <si>
    <t>TX COMMISSION ON ENVIRONMENTAL QUAL</t>
  </si>
  <si>
    <t>UNIVERSITY OF HOUSTON-CLEAR LAKE</t>
  </si>
  <si>
    <t>MIDSTATE INDUSTRIAL SUPPLY</t>
  </si>
  <si>
    <t>WAL-MART  BASTROP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</si>
</sst>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6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43" fontId="18" fillId="0" borderId="0" xfId="1" applyFont="1"/>
    <xf numFmtId="43" fontId="0" fillId="0" borderId="0" xfId="1" applyFont="1"/>
    <xf numFmtId="43" fontId="0" fillId="0" borderId="10" xfId="1" applyFont="1" applyBorder="1"/>
    <xf numFmtId="166" fontId="18" fillId="0" borderId="0" xfId="0" applyNumberFormat="1" applyFont="1"/>
    <xf numFmtId="166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6.7109375" customWidth="1"/>
    <col min="3" max="3" width="16.28515625" style="3" bestFit="1" customWidth="1"/>
    <col min="4" max="4" width="10.85546875" style="6" bestFit="1" customWidth="1"/>
    <col min="5" max="5" width="18.85546875" bestFit="1" customWidth="1"/>
    <col min="6" max="6" width="36.42578125" bestFit="1" customWidth="1"/>
    <col min="7" max="7" width="13.5703125" style="3" bestFit="1" customWidth="1"/>
    <col min="8" max="8" width="36.42578125" bestFit="1" customWidth="1"/>
  </cols>
  <sheetData>
    <row r="1" spans="1:8" s="1" customFormat="1" x14ac:dyDescent="0.25">
      <c r="A1" s="1" t="s">
        <v>0</v>
      </c>
      <c r="B1" s="1" t="s">
        <v>1</v>
      </c>
      <c r="C1" s="2" t="s">
        <v>2</v>
      </c>
      <c r="D1" s="5" t="s">
        <v>3</v>
      </c>
      <c r="E1" s="1" t="s">
        <v>4</v>
      </c>
      <c r="F1" s="1" t="s">
        <v>5</v>
      </c>
      <c r="G1" s="2" t="s">
        <v>7</v>
      </c>
      <c r="H1" s="1" t="s">
        <v>6</v>
      </c>
    </row>
    <row r="2" spans="1:8" x14ac:dyDescent="0.25">
      <c r="A2" t="s">
        <v>8</v>
      </c>
      <c r="B2">
        <v>137984</v>
      </c>
      <c r="C2" s="3">
        <v>30</v>
      </c>
      <c r="D2" s="6">
        <v>44522</v>
      </c>
      <c r="E2" t="str">
        <f>"202111167205"</f>
        <v>202111167205</v>
      </c>
      <c r="F2" t="str">
        <f>"REIMBURSEMENT BAIL BOND STICKE"</f>
        <v>REIMBURSEMENT BAIL BOND STICKE</v>
      </c>
      <c r="G2" s="3">
        <v>30</v>
      </c>
      <c r="H2" t="str">
        <f>"REIMBURSEMENT BAIL BOND STICKE"</f>
        <v>REIMBURSEMENT BAIL BOND STICKE</v>
      </c>
    </row>
    <row r="3" spans="1:8" x14ac:dyDescent="0.25">
      <c r="A3" t="s">
        <v>9</v>
      </c>
      <c r="B3">
        <v>5329</v>
      </c>
      <c r="C3" s="3">
        <v>5362.74</v>
      </c>
      <c r="D3" s="6">
        <v>44509</v>
      </c>
      <c r="E3" t="str">
        <f>"9725-001-123758"</f>
        <v>9725-001-123758</v>
      </c>
      <c r="F3" t="str">
        <f t="shared" ref="F3:F8" si="0">"ACCT#9725-001/REC BASE/PCT#2"</f>
        <v>ACCT#9725-001/REC BASE/PCT#2</v>
      </c>
      <c r="G3" s="3">
        <v>242.1</v>
      </c>
      <c r="H3" t="str">
        <f t="shared" ref="H3:H8" si="1">"ACCT#9725-001/REC BASE/PCT#2"</f>
        <v>ACCT#9725-001/REC BASE/PCT#2</v>
      </c>
    </row>
    <row r="4" spans="1:8" x14ac:dyDescent="0.25">
      <c r="E4" t="str">
        <f>"9725-001-123794"</f>
        <v>9725-001-123794</v>
      </c>
      <c r="F4" t="str">
        <f t="shared" si="0"/>
        <v>ACCT#9725-001/REC BASE/PCT#2</v>
      </c>
      <c r="G4" s="3">
        <v>438.39</v>
      </c>
      <c r="H4" t="str">
        <f t="shared" si="1"/>
        <v>ACCT#9725-001/REC BASE/PCT#2</v>
      </c>
    </row>
    <row r="5" spans="1:8" x14ac:dyDescent="0.25">
      <c r="E5" t="str">
        <f>"9725-001-123837"</f>
        <v>9725-001-123837</v>
      </c>
      <c r="F5" t="str">
        <f t="shared" si="0"/>
        <v>ACCT#9725-001/REC BASE/PCT#2</v>
      </c>
      <c r="G5" s="3">
        <v>1141.02</v>
      </c>
      <c r="H5" t="str">
        <f t="shared" si="1"/>
        <v>ACCT#9725-001/REC BASE/PCT#2</v>
      </c>
    </row>
    <row r="6" spans="1:8" x14ac:dyDescent="0.25">
      <c r="E6" t="str">
        <f>"9725-001-123860"</f>
        <v>9725-001-123860</v>
      </c>
      <c r="F6" t="str">
        <f t="shared" si="0"/>
        <v>ACCT#9725-001/REC BASE/PCT#2</v>
      </c>
      <c r="G6" s="3">
        <v>690.21</v>
      </c>
      <c r="H6" t="str">
        <f t="shared" si="1"/>
        <v>ACCT#9725-001/REC BASE/PCT#2</v>
      </c>
    </row>
    <row r="7" spans="1:8" x14ac:dyDescent="0.25">
      <c r="E7" t="str">
        <f>"9725-001-123902"</f>
        <v>9725-001-123902</v>
      </c>
      <c r="F7" t="str">
        <f t="shared" si="0"/>
        <v>ACCT#9725-001/REC BASE/PCT#2</v>
      </c>
      <c r="G7" s="3">
        <v>1380.87</v>
      </c>
      <c r="H7" t="str">
        <f t="shared" si="1"/>
        <v>ACCT#9725-001/REC BASE/PCT#2</v>
      </c>
    </row>
    <row r="8" spans="1:8" x14ac:dyDescent="0.25">
      <c r="E8" t="str">
        <f>"9725-001-12931"</f>
        <v>9725-001-12931</v>
      </c>
      <c r="F8" t="str">
        <f t="shared" si="0"/>
        <v>ACCT#9725-001/REC BASE/PCT#2</v>
      </c>
      <c r="G8" s="3">
        <v>203.58</v>
      </c>
      <c r="H8" t="str">
        <f t="shared" si="1"/>
        <v>ACCT#9725-001/REC BASE/PCT#2</v>
      </c>
    </row>
    <row r="9" spans="1:8" x14ac:dyDescent="0.25">
      <c r="E9" t="str">
        <f>"9725-004-123908"</f>
        <v>9725-004-123908</v>
      </c>
      <c r="F9" t="str">
        <f>"ACCT#9725-004/REC BASE/PCT#1"</f>
        <v>ACCT#9725-004/REC BASE/PCT#1</v>
      </c>
      <c r="G9" s="3">
        <v>762.48</v>
      </c>
      <c r="H9" t="str">
        <f>"ACCT#9725-004/REC BASE/PCT#1"</f>
        <v>ACCT#9725-004/REC BASE/PCT#1</v>
      </c>
    </row>
    <row r="10" spans="1:8" x14ac:dyDescent="0.25">
      <c r="E10" t="str">
        <f>"9725-004-123923"</f>
        <v>9725-004-123923</v>
      </c>
      <c r="F10" t="str">
        <f>"ACCT#9725-004/REC BASE/PCT#1"</f>
        <v>ACCT#9725-004/REC BASE/PCT#1</v>
      </c>
      <c r="G10" s="3">
        <v>248.58</v>
      </c>
      <c r="H10" t="str">
        <f>"ACCT#9725-004/REC BASE/PCT#1"</f>
        <v>ACCT#9725-004/REC BASE/PCT#1</v>
      </c>
    </row>
    <row r="11" spans="1:8" x14ac:dyDescent="0.25">
      <c r="E11" t="str">
        <f>"9725-004-123960"</f>
        <v>9725-004-123960</v>
      </c>
      <c r="F11" t="str">
        <f>"ACCT#9725-004/REC BASE/PCT#1"</f>
        <v>ACCT#9725-004/REC BASE/PCT#1</v>
      </c>
      <c r="G11" s="3">
        <v>255.51</v>
      </c>
      <c r="H11" t="str">
        <f>"ACCT#9725-004/REC BASE/PCT#1"</f>
        <v>ACCT#9725-004/REC BASE/PCT#1</v>
      </c>
    </row>
    <row r="12" spans="1:8" x14ac:dyDescent="0.25">
      <c r="A12" t="s">
        <v>9</v>
      </c>
      <c r="B12">
        <v>5401</v>
      </c>
      <c r="C12" s="3">
        <v>10942.74</v>
      </c>
      <c r="D12" s="6">
        <v>44523</v>
      </c>
      <c r="E12" t="str">
        <f>"9725-001-123952"</f>
        <v>9725-001-123952</v>
      </c>
      <c r="F12" t="str">
        <f t="shared" ref="F12:F18" si="2">"ACCT#9725-001/REC BASE/PCT#2"</f>
        <v>ACCT#9725-001/REC BASE/PCT#2</v>
      </c>
      <c r="G12" s="3">
        <v>468.72</v>
      </c>
      <c r="H12" t="str">
        <f t="shared" ref="H12:H18" si="3">"ACCT#9725-001/REC BASE/PCT#2"</f>
        <v>ACCT#9725-001/REC BASE/PCT#2</v>
      </c>
    </row>
    <row r="13" spans="1:8" x14ac:dyDescent="0.25">
      <c r="E13" t="str">
        <f>"9725-001-123992"</f>
        <v>9725-001-123992</v>
      </c>
      <c r="F13" t="str">
        <f t="shared" si="2"/>
        <v>ACCT#9725-001/REC BASE/PCT#2</v>
      </c>
      <c r="G13" s="3">
        <v>220.32</v>
      </c>
      <c r="H13" t="str">
        <f t="shared" si="3"/>
        <v>ACCT#9725-001/REC BASE/PCT#2</v>
      </c>
    </row>
    <row r="14" spans="1:8" x14ac:dyDescent="0.25">
      <c r="E14" t="str">
        <f>"9725-001-124023"</f>
        <v>9725-001-124023</v>
      </c>
      <c r="F14" t="str">
        <f t="shared" si="2"/>
        <v>ACCT#9725-001/REC BASE/PCT#2</v>
      </c>
      <c r="G14" s="3">
        <v>223.83</v>
      </c>
      <c r="H14" t="str">
        <f t="shared" si="3"/>
        <v>ACCT#9725-001/REC BASE/PCT#2</v>
      </c>
    </row>
    <row r="15" spans="1:8" x14ac:dyDescent="0.25">
      <c r="E15" t="str">
        <f>"9725-001-124054"</f>
        <v>9725-001-124054</v>
      </c>
      <c r="F15" t="str">
        <f t="shared" si="2"/>
        <v>ACCT#9725-001/REC BASE/PCT#2</v>
      </c>
      <c r="G15" s="3">
        <v>487.26</v>
      </c>
      <c r="H15" t="str">
        <f t="shared" si="3"/>
        <v>ACCT#9725-001/REC BASE/PCT#2</v>
      </c>
    </row>
    <row r="16" spans="1:8" x14ac:dyDescent="0.25">
      <c r="E16" t="str">
        <f>"9725-001-124099"</f>
        <v>9725-001-124099</v>
      </c>
      <c r="F16" t="str">
        <f t="shared" si="2"/>
        <v>ACCT#9725-001/REC BASE/PCT#2</v>
      </c>
      <c r="G16" s="3">
        <v>204.93</v>
      </c>
      <c r="H16" t="str">
        <f t="shared" si="3"/>
        <v>ACCT#9725-001/REC BASE/PCT#2</v>
      </c>
    </row>
    <row r="17" spans="1:8" x14ac:dyDescent="0.25">
      <c r="E17" t="str">
        <f>"9725-001-124120"</f>
        <v>9725-001-124120</v>
      </c>
      <c r="F17" t="str">
        <f t="shared" si="2"/>
        <v>ACCT#9725-001/REC BASE/PCT#2</v>
      </c>
      <c r="G17" s="3">
        <v>209.7</v>
      </c>
      <c r="H17" t="str">
        <f t="shared" si="3"/>
        <v>ACCT#9725-001/REC BASE/PCT#2</v>
      </c>
    </row>
    <row r="18" spans="1:8" x14ac:dyDescent="0.25">
      <c r="E18" t="str">
        <f>"9725-001-124137"</f>
        <v>9725-001-124137</v>
      </c>
      <c r="F18" t="str">
        <f t="shared" si="2"/>
        <v>ACCT#9725-001/REC BASE/PCT#2</v>
      </c>
      <c r="G18" s="3">
        <v>445.23</v>
      </c>
      <c r="H18" t="str">
        <f t="shared" si="3"/>
        <v>ACCT#9725-001/REC BASE/PCT#2</v>
      </c>
    </row>
    <row r="19" spans="1:8" x14ac:dyDescent="0.25">
      <c r="E19" t="str">
        <f>"9725-004-123999"</f>
        <v>9725-004-123999</v>
      </c>
      <c r="F19" t="str">
        <f>"ACCT#9125-004 PCT#1 BASE"</f>
        <v>ACCT#9125-004 PCT#1 BASE</v>
      </c>
      <c r="G19" s="3">
        <v>262.62</v>
      </c>
      <c r="H19" t="str">
        <f>"ACCT#9125-004 PCT#1 BASE"</f>
        <v>ACCT#9125-004 PCT#1 BASE</v>
      </c>
    </row>
    <row r="20" spans="1:8" x14ac:dyDescent="0.25">
      <c r="E20" t="str">
        <f>"9725-019-123989"</f>
        <v>9725-019-123989</v>
      </c>
      <c r="F20" t="str">
        <f>"ACCT#9725-019 PCT2"</f>
        <v>ACCT#9725-019 PCT2</v>
      </c>
      <c r="G20" s="3">
        <v>4439.34</v>
      </c>
      <c r="H20" t="str">
        <f>"ACCT#9725-019 PCT2"</f>
        <v>ACCT#9725-019 PCT2</v>
      </c>
    </row>
    <row r="21" spans="1:8" x14ac:dyDescent="0.25">
      <c r="E21" t="str">
        <f>"9725-019-124006"</f>
        <v>9725-019-124006</v>
      </c>
      <c r="F21" t="str">
        <f>"ACCT#9725-019 PCT2"</f>
        <v>ACCT#9725-019 PCT2</v>
      </c>
      <c r="G21" s="3">
        <v>1270.53</v>
      </c>
      <c r="H21" t="str">
        <f>"ACCT#9725-019 PCT2"</f>
        <v>ACCT#9725-019 PCT2</v>
      </c>
    </row>
    <row r="22" spans="1:8" x14ac:dyDescent="0.25">
      <c r="E22" t="str">
        <f>"9725-019-124097"</f>
        <v>9725-019-124097</v>
      </c>
      <c r="F22" t="str">
        <f>"ACCT#9725-019 PCT2"</f>
        <v>ACCT#9725-019 PCT2</v>
      </c>
      <c r="G22" s="3">
        <v>1246.23</v>
      </c>
      <c r="H22" t="str">
        <f>"ACCT#9725-019 PCT2"</f>
        <v>ACCT#9725-019 PCT2</v>
      </c>
    </row>
    <row r="23" spans="1:8" x14ac:dyDescent="0.25">
      <c r="E23" t="str">
        <f>"9725-019-124117"</f>
        <v>9725-019-124117</v>
      </c>
      <c r="F23" t="str">
        <f>"ACCT#9725-019 PCT2"</f>
        <v>ACCT#9725-019 PCT2</v>
      </c>
      <c r="G23" s="3">
        <v>1464.03</v>
      </c>
      <c r="H23" t="str">
        <f>"ACCT#9725-019 PCT2"</f>
        <v>ACCT#9725-019 PCT2</v>
      </c>
    </row>
    <row r="24" spans="1:8" x14ac:dyDescent="0.25">
      <c r="A24" t="s">
        <v>10</v>
      </c>
      <c r="B24">
        <v>137985</v>
      </c>
      <c r="C24" s="3">
        <v>15</v>
      </c>
      <c r="D24" s="6">
        <v>44522</v>
      </c>
      <c r="E24" t="str">
        <f>"202111167204"</f>
        <v>202111167204</v>
      </c>
      <c r="F24" t="str">
        <f>"REIMBURSEMENT BAIL BOND STICKE"</f>
        <v>REIMBURSEMENT BAIL BOND STICKE</v>
      </c>
      <c r="G24" s="3">
        <v>15</v>
      </c>
      <c r="H24" t="str">
        <f>"REIMBURSEMENT BAIL BOND STICKE"</f>
        <v>REIMBURSEMENT BAIL BOND STICKE</v>
      </c>
    </row>
    <row r="25" spans="1:8" x14ac:dyDescent="0.25">
      <c r="A25" t="s">
        <v>11</v>
      </c>
      <c r="B25">
        <v>137986</v>
      </c>
      <c r="C25" s="3">
        <v>1134.78</v>
      </c>
      <c r="D25" s="6">
        <v>44522</v>
      </c>
      <c r="E25" t="str">
        <f>"445313"</f>
        <v>445313</v>
      </c>
      <c r="F25" t="str">
        <f>"CUST ID 16500 PCT#4"</f>
        <v>CUST ID 16500 PCT#4</v>
      </c>
      <c r="G25" s="3">
        <v>1134.78</v>
      </c>
      <c r="H25" t="str">
        <f>"CUST ID 16500 PCT#4"</f>
        <v>CUST ID 16500 PCT#4</v>
      </c>
    </row>
    <row r="26" spans="1:8" x14ac:dyDescent="0.25">
      <c r="A26" t="s">
        <v>12</v>
      </c>
      <c r="B26">
        <v>137706</v>
      </c>
      <c r="C26" s="3">
        <v>1227.5</v>
      </c>
      <c r="D26" s="6">
        <v>44508</v>
      </c>
      <c r="E26" t="str">
        <f>"202111016912"</f>
        <v>202111016912</v>
      </c>
      <c r="F26" t="str">
        <f>"21-20568"</f>
        <v>21-20568</v>
      </c>
      <c r="G26" s="3">
        <v>30</v>
      </c>
      <c r="H26" t="str">
        <f>"21-20568"</f>
        <v>21-20568</v>
      </c>
    </row>
    <row r="27" spans="1:8" x14ac:dyDescent="0.25">
      <c r="E27" t="str">
        <f>"202111016913"</f>
        <v>202111016913</v>
      </c>
      <c r="F27" t="str">
        <f>"21-20542"</f>
        <v>21-20542</v>
      </c>
      <c r="G27" s="3">
        <v>255</v>
      </c>
      <c r="H27" t="str">
        <f>"21-20542"</f>
        <v>21-20542</v>
      </c>
    </row>
    <row r="28" spans="1:8" x14ac:dyDescent="0.25">
      <c r="E28" t="str">
        <f>"202111016914"</f>
        <v>202111016914</v>
      </c>
      <c r="F28" t="str">
        <f>"20-20262"</f>
        <v>20-20262</v>
      </c>
      <c r="G28" s="3">
        <v>90</v>
      </c>
      <c r="H28" t="str">
        <f>"20-20262"</f>
        <v>20-20262</v>
      </c>
    </row>
    <row r="29" spans="1:8" x14ac:dyDescent="0.25">
      <c r="E29" t="str">
        <f>"202111016916"</f>
        <v>202111016916</v>
      </c>
      <c r="F29" t="str">
        <f>"19-20002"</f>
        <v>19-20002</v>
      </c>
      <c r="G29" s="3">
        <v>375</v>
      </c>
      <c r="H29" t="str">
        <f>"19-20002"</f>
        <v>19-20002</v>
      </c>
    </row>
    <row r="30" spans="1:8" x14ac:dyDescent="0.25">
      <c r="E30" t="str">
        <f>"202111016917"</f>
        <v>202111016917</v>
      </c>
      <c r="F30" t="str">
        <f>"21-20702"</f>
        <v>21-20702</v>
      </c>
      <c r="G30" s="3">
        <v>137.5</v>
      </c>
      <c r="H30" t="str">
        <f>"21-20702"</f>
        <v>21-20702</v>
      </c>
    </row>
    <row r="31" spans="1:8" x14ac:dyDescent="0.25">
      <c r="E31" t="str">
        <f>"202111016918"</f>
        <v>202111016918</v>
      </c>
      <c r="F31" t="str">
        <f>"19-19864"</f>
        <v>19-19864</v>
      </c>
      <c r="G31" s="3">
        <v>52.5</v>
      </c>
      <c r="H31" t="str">
        <f>"19-19864"</f>
        <v>19-19864</v>
      </c>
    </row>
    <row r="32" spans="1:8" x14ac:dyDescent="0.25">
      <c r="E32" t="str">
        <f>"202111016919"</f>
        <v>202111016919</v>
      </c>
      <c r="F32" t="str">
        <f>"21-20905"</f>
        <v>21-20905</v>
      </c>
      <c r="G32" s="3">
        <v>190</v>
      </c>
      <c r="H32" t="str">
        <f>"21-20905"</f>
        <v>21-20905</v>
      </c>
    </row>
    <row r="33" spans="1:8" x14ac:dyDescent="0.25">
      <c r="E33" t="str">
        <f>"202111016920"</f>
        <v>202111016920</v>
      </c>
      <c r="F33" t="str">
        <f>"20-20077"</f>
        <v>20-20077</v>
      </c>
      <c r="G33" s="3">
        <v>97.5</v>
      </c>
      <c r="H33" t="str">
        <f>"20-20077"</f>
        <v>20-20077</v>
      </c>
    </row>
    <row r="34" spans="1:8" x14ac:dyDescent="0.25">
      <c r="A34" t="s">
        <v>13</v>
      </c>
      <c r="B34">
        <v>137707</v>
      </c>
      <c r="C34" s="3">
        <v>331.63</v>
      </c>
      <c r="D34" s="6">
        <v>44508</v>
      </c>
      <c r="E34" t="str">
        <f>"202111026963"</f>
        <v>202111026963</v>
      </c>
      <c r="F34" t="str">
        <f>"MILEAGE REIMBURSEMENT"</f>
        <v>MILEAGE REIMBURSEMENT</v>
      </c>
      <c r="G34" s="3">
        <v>331.63</v>
      </c>
      <c r="H34" t="str">
        <f>"MILEAGE REIMBURSEMENT"</f>
        <v>MILEAGE REIMBURSEMENT</v>
      </c>
    </row>
    <row r="35" spans="1:8" x14ac:dyDescent="0.25">
      <c r="A35" t="s">
        <v>14</v>
      </c>
      <c r="B35">
        <v>5376</v>
      </c>
      <c r="C35" s="3">
        <v>400</v>
      </c>
      <c r="D35" s="6">
        <v>44509</v>
      </c>
      <c r="E35" t="str">
        <f>"202111026953"</f>
        <v>202111026953</v>
      </c>
      <c r="F35" t="str">
        <f>"0201251"</f>
        <v>0201251</v>
      </c>
      <c r="G35" s="3">
        <v>400</v>
      </c>
      <c r="H35" t="str">
        <f>"0201251"</f>
        <v>0201251</v>
      </c>
    </row>
    <row r="36" spans="1:8" x14ac:dyDescent="0.25">
      <c r="A36" t="s">
        <v>14</v>
      </c>
      <c r="B36">
        <v>5451</v>
      </c>
      <c r="C36" s="3">
        <v>800</v>
      </c>
      <c r="D36" s="6">
        <v>44523</v>
      </c>
      <c r="E36" t="str">
        <f>"202111107088"</f>
        <v>202111107088</v>
      </c>
      <c r="F36" t="str">
        <f>"17 386"</f>
        <v>17 386</v>
      </c>
      <c r="G36" s="3">
        <v>400</v>
      </c>
      <c r="H36" t="str">
        <f>"17 386"</f>
        <v>17 386</v>
      </c>
    </row>
    <row r="37" spans="1:8" x14ac:dyDescent="0.25">
      <c r="E37" t="str">
        <f>"202111107089"</f>
        <v>202111107089</v>
      </c>
      <c r="F37" t="str">
        <f>"17507"</f>
        <v>17507</v>
      </c>
      <c r="G37" s="3">
        <v>400</v>
      </c>
      <c r="H37" t="str">
        <f>"17507"</f>
        <v>17507</v>
      </c>
    </row>
    <row r="38" spans="1:8" x14ac:dyDescent="0.25">
      <c r="A38" t="s">
        <v>15</v>
      </c>
      <c r="B38">
        <v>5352</v>
      </c>
      <c r="C38" s="3">
        <v>2118.81</v>
      </c>
      <c r="D38" s="6">
        <v>44509</v>
      </c>
      <c r="E38" t="str">
        <f>"114-8883854-206984"</f>
        <v>114-8883854-206984</v>
      </c>
      <c r="F38" t="str">
        <f>"Amazon Order Pens"</f>
        <v>Amazon Order Pens</v>
      </c>
      <c r="G38" s="3">
        <v>9.93</v>
      </c>
      <c r="H38" t="str">
        <f>"Amazon Order Pens"</f>
        <v>Amazon Order Pens</v>
      </c>
    </row>
    <row r="39" spans="1:8" x14ac:dyDescent="0.25">
      <c r="E39" t="str">
        <f>"11JW-YT3J-MQDH"</f>
        <v>11JW-YT3J-MQDH</v>
      </c>
      <c r="F39" t="str">
        <f>"Amazon Paper Towels"</f>
        <v>Amazon Paper Towels</v>
      </c>
      <c r="G39" s="3">
        <v>105.9</v>
      </c>
      <c r="H39" t="str">
        <f>"Amazon Paper Towels"</f>
        <v>Amazon Paper Towels</v>
      </c>
    </row>
    <row r="40" spans="1:8" x14ac:dyDescent="0.25">
      <c r="E40" t="str">
        <f>"17QQ-RVPF-JR3V"</f>
        <v>17QQ-RVPF-JR3V</v>
      </c>
      <c r="F40" t="str">
        <f>"Cork Bulletin Board"</f>
        <v>Cork Bulletin Board</v>
      </c>
      <c r="G40" s="3">
        <v>22</v>
      </c>
      <c r="H40" t="str">
        <f>"Cork Bulletin Board"</f>
        <v>Cork Bulletin Board</v>
      </c>
    </row>
    <row r="41" spans="1:8" x14ac:dyDescent="0.25">
      <c r="E41" t="str">
        <f>"1CCW-GC31-JM3Q"</f>
        <v>1CCW-GC31-JM3Q</v>
      </c>
      <c r="F41" t="str">
        <f>"Amazon Chairs Ag Ext"</f>
        <v>Amazon Chairs Ag Ext</v>
      </c>
      <c r="G41" s="3">
        <v>378</v>
      </c>
      <c r="H41" t="str">
        <f>"Amazon Chairs 4pk"</f>
        <v>Amazon Chairs 4pk</v>
      </c>
    </row>
    <row r="42" spans="1:8" x14ac:dyDescent="0.25">
      <c r="E42" t="str">
        <f>""</f>
        <v/>
      </c>
      <c r="F42" t="str">
        <f>""</f>
        <v/>
      </c>
      <c r="G42" s="3">
        <v>109.68</v>
      </c>
      <c r="H42" t="str">
        <f>"Amazon Chairs 2pk"</f>
        <v>Amazon Chairs 2pk</v>
      </c>
    </row>
    <row r="43" spans="1:8" x14ac:dyDescent="0.25">
      <c r="E43" t="str">
        <f>"1CDV-CYDJ-JJ69"</f>
        <v>1CDV-CYDJ-JJ69</v>
      </c>
      <c r="F43" t="str">
        <f>"Amazon IT"</f>
        <v>Amazon IT</v>
      </c>
      <c r="G43" s="3">
        <v>660.5</v>
      </c>
      <c r="H43" t="str">
        <f>"Docking Stations"</f>
        <v>Docking Stations</v>
      </c>
    </row>
    <row r="44" spans="1:8" x14ac:dyDescent="0.25">
      <c r="E44" t="str">
        <f>"1GGP-TFYX-MGCD"</f>
        <v>1GGP-TFYX-MGCD</v>
      </c>
      <c r="F44" t="str">
        <f>"Binders"</f>
        <v>Binders</v>
      </c>
      <c r="G44" s="3">
        <v>54.9</v>
      </c>
      <c r="H44" t="str">
        <f>"3 inch Binder"</f>
        <v>3 inch Binder</v>
      </c>
    </row>
    <row r="45" spans="1:8" x14ac:dyDescent="0.25">
      <c r="E45" t="str">
        <f>""</f>
        <v/>
      </c>
      <c r="F45" t="str">
        <f>""</f>
        <v/>
      </c>
      <c r="G45" s="3">
        <v>74.239999999999995</v>
      </c>
      <c r="H45" t="str">
        <f>"1.5 inch Binders"</f>
        <v>1.5 inch Binders</v>
      </c>
    </row>
    <row r="46" spans="1:8" x14ac:dyDescent="0.25">
      <c r="E46" t="str">
        <f>"1LR4-LDGW-6J4X"</f>
        <v>1LR4-LDGW-6J4X</v>
      </c>
      <c r="F46" t="str">
        <f>"Amazon Order"</f>
        <v>Amazon Order</v>
      </c>
      <c r="G46" s="3">
        <v>104.98</v>
      </c>
      <c r="H46" t="str">
        <f>"Germisept"</f>
        <v>Germisept</v>
      </c>
    </row>
    <row r="47" spans="1:8" x14ac:dyDescent="0.25">
      <c r="E47" t="str">
        <f>"1YWP-PT96-PKFF"</f>
        <v>1YWP-PT96-PKFF</v>
      </c>
      <c r="F47" t="str">
        <f>"Amazon Order JP1"</f>
        <v>Amazon Order JP1</v>
      </c>
      <c r="G47" s="3">
        <v>33</v>
      </c>
      <c r="H47" t="str">
        <f>"Red Pads"</f>
        <v>Red Pads</v>
      </c>
    </row>
    <row r="48" spans="1:8" x14ac:dyDescent="0.25">
      <c r="E48" t="str">
        <f>""</f>
        <v/>
      </c>
      <c r="F48" t="str">
        <f>""</f>
        <v/>
      </c>
      <c r="G48" s="3">
        <v>15</v>
      </c>
      <c r="H48" t="str">
        <f>"Blue Pads"</f>
        <v>Blue Pads</v>
      </c>
    </row>
    <row r="49" spans="1:8" x14ac:dyDescent="0.25">
      <c r="E49" t="str">
        <f>"1YXN-7G3R-FNF3"</f>
        <v>1YXN-7G3R-FNF3</v>
      </c>
      <c r="F49" t="str">
        <f>"Amazon Pro-Jump"</f>
        <v>Amazon Pro-Jump</v>
      </c>
      <c r="G49" s="3">
        <v>399.93</v>
      </c>
      <c r="H49" t="str">
        <f>"Amazon Pro-Jump"</f>
        <v>Amazon Pro-Jump</v>
      </c>
    </row>
    <row r="50" spans="1:8" x14ac:dyDescent="0.25">
      <c r="E50" t="str">
        <f>"202110286725"</f>
        <v>202110286725</v>
      </c>
      <c r="F50" t="str">
        <f>"Power Adapters"</f>
        <v>Power Adapters</v>
      </c>
      <c r="G50" s="3">
        <v>150.75</v>
      </c>
      <c r="H50" t="str">
        <f>"Power Adapters"</f>
        <v>Power Adapters</v>
      </c>
    </row>
    <row r="51" spans="1:8" x14ac:dyDescent="0.25">
      <c r="A51" t="s">
        <v>15</v>
      </c>
      <c r="B51">
        <v>5428</v>
      </c>
      <c r="C51" s="3">
        <v>2001.98</v>
      </c>
      <c r="D51" s="6">
        <v>44523</v>
      </c>
      <c r="E51" t="str">
        <f>"17KW-DXF1-RYPW"</f>
        <v>17KW-DXF1-RYPW</v>
      </c>
      <c r="F51" t="str">
        <f>"Amazon Order SheilaShine"</f>
        <v>Amazon Order SheilaShine</v>
      </c>
      <c r="G51" s="3">
        <v>154.94</v>
      </c>
      <c r="H51" t="str">
        <f>"Amazon Order SheilaShine"</f>
        <v>Amazon Order SheilaShine</v>
      </c>
    </row>
    <row r="52" spans="1:8" x14ac:dyDescent="0.25">
      <c r="E52" t="str">
        <f>"1KWC-LH4R-L9GX"</f>
        <v>1KWC-LH4R-L9GX</v>
      </c>
      <c r="F52" t="str">
        <f>"Amazon OrderSecuritySafe"</f>
        <v>Amazon OrderSecuritySafe</v>
      </c>
      <c r="G52" s="3">
        <v>99.5</v>
      </c>
      <c r="H52" t="str">
        <f>"Amazon OrderSecuritySafe"</f>
        <v>Amazon OrderSecuritySafe</v>
      </c>
    </row>
    <row r="53" spans="1:8" x14ac:dyDescent="0.25">
      <c r="E53" t="str">
        <f>"1WHQ-74JN-CRJJ"</f>
        <v>1WHQ-74JN-CRJJ</v>
      </c>
      <c r="F53" t="str">
        <f>"Amazon Order Cardigans"</f>
        <v>Amazon Order Cardigans</v>
      </c>
      <c r="G53" s="3">
        <v>119.94</v>
      </c>
      <c r="H53" t="str">
        <f>"Gray Cardigans"</f>
        <v>Gray Cardigans</v>
      </c>
    </row>
    <row r="54" spans="1:8" x14ac:dyDescent="0.25">
      <c r="E54" t="str">
        <f>""</f>
        <v/>
      </c>
      <c r="F54" t="str">
        <f>""</f>
        <v/>
      </c>
      <c r="G54" s="3">
        <v>47.54</v>
      </c>
      <c r="H54" t="str">
        <f>"Deep Gray Cardigan"</f>
        <v>Deep Gray Cardigan</v>
      </c>
    </row>
    <row r="55" spans="1:8" x14ac:dyDescent="0.25">
      <c r="E55" t="str">
        <f>"202111177231"</f>
        <v>202111177231</v>
      </c>
      <c r="F55" t="str">
        <f>"Amazon Boxes Env Serv"</f>
        <v>Amazon Boxes Env Serv</v>
      </c>
      <c r="G55" s="3">
        <v>1150</v>
      </c>
      <c r="H55" t="str">
        <f>"Amazon Boxes Env Serv"</f>
        <v>Amazon Boxes Env Serv</v>
      </c>
    </row>
    <row r="56" spans="1:8" x14ac:dyDescent="0.25">
      <c r="E56" t="str">
        <f>"25019"</f>
        <v>25019</v>
      </c>
      <c r="F56" t="str">
        <f>"TV Wall Mount IT"</f>
        <v>TV Wall Mount IT</v>
      </c>
      <c r="G56" s="3">
        <v>28.88</v>
      </c>
      <c r="H56" t="str">
        <f>"TV Wall Mount IT"</f>
        <v>TV Wall Mount IT</v>
      </c>
    </row>
    <row r="57" spans="1:8" x14ac:dyDescent="0.25">
      <c r="E57" t="str">
        <f>"25713"</f>
        <v>25713</v>
      </c>
      <c r="F57" t="str">
        <f>"Amazon Clipboard"</f>
        <v>Amazon Clipboard</v>
      </c>
      <c r="G57" s="3">
        <v>20.68</v>
      </c>
      <c r="H57" t="str">
        <f>"Amazon Clipboard"</f>
        <v>Amazon Clipboard</v>
      </c>
    </row>
    <row r="58" spans="1:8" x14ac:dyDescent="0.25">
      <c r="E58" t="str">
        <f>"27021"</f>
        <v>27021</v>
      </c>
      <c r="F58" t="str">
        <f>"Amazon cat boxes"</f>
        <v>Amazon cat boxes</v>
      </c>
      <c r="G58" s="3">
        <v>294</v>
      </c>
      <c r="H58" t="str">
        <f>"Amazon cat boxes"</f>
        <v>Amazon cat boxes</v>
      </c>
    </row>
    <row r="59" spans="1:8" x14ac:dyDescent="0.25">
      <c r="E59" t="str">
        <f>"27311"</f>
        <v>27311</v>
      </c>
      <c r="F59" t="str">
        <f>"Amazon for SO"</f>
        <v>Amazon for SO</v>
      </c>
      <c r="G59" s="3">
        <v>86.5</v>
      </c>
      <c r="H59" t="str">
        <f>"CRIMINAL BOOK"</f>
        <v>CRIMINAL BOOK</v>
      </c>
    </row>
    <row r="60" spans="1:8" x14ac:dyDescent="0.25">
      <c r="A60" t="s">
        <v>16</v>
      </c>
      <c r="B60">
        <v>5339</v>
      </c>
      <c r="C60" s="3">
        <v>3220.99</v>
      </c>
      <c r="D60" s="6">
        <v>44509</v>
      </c>
      <c r="E60" t="str">
        <f>"202111026965"</f>
        <v>202111026965</v>
      </c>
      <c r="F60" t="str">
        <f>"ACCT#379865/PCT#2"</f>
        <v>ACCT#379865/PCT#2</v>
      </c>
      <c r="G60" s="3">
        <v>3220.99</v>
      </c>
      <c r="H60" t="str">
        <f>"ACCT#379865/PCT#2"</f>
        <v>ACCT#379865/PCT#2</v>
      </c>
    </row>
    <row r="61" spans="1:8" x14ac:dyDescent="0.25">
      <c r="A61" t="s">
        <v>17</v>
      </c>
      <c r="B61">
        <v>137708</v>
      </c>
      <c r="C61" s="3">
        <v>100.34</v>
      </c>
      <c r="D61" s="6">
        <v>44508</v>
      </c>
      <c r="E61" t="str">
        <f>"3071753288"</f>
        <v>3071753288</v>
      </c>
      <c r="F61" t="str">
        <f>"INV 3071753288"</f>
        <v>INV 3071753288</v>
      </c>
      <c r="G61" s="3">
        <v>100.34</v>
      </c>
      <c r="H61" t="str">
        <f>"INV 3071753288"</f>
        <v>INV 3071753288</v>
      </c>
    </row>
    <row r="62" spans="1:8" x14ac:dyDescent="0.25">
      <c r="A62" t="s">
        <v>18</v>
      </c>
      <c r="B62">
        <v>137987</v>
      </c>
      <c r="C62" s="3">
        <v>36382.54</v>
      </c>
      <c r="D62" s="6">
        <v>44522</v>
      </c>
      <c r="E62" t="str">
        <f>"114596"</f>
        <v>114596</v>
      </c>
      <c r="F62" t="str">
        <f>"POSTAGE/OFF SUPPLIES TAX OFF"</f>
        <v>POSTAGE/OFF SUPPLIES TAX OFF</v>
      </c>
      <c r="G62" s="3">
        <v>22028.17</v>
      </c>
      <c r="H62" t="str">
        <f>"POSTAGE/OFF SUPPLIES TAX OFF"</f>
        <v>POSTAGE/OFF SUPPLIES TAX OFF</v>
      </c>
    </row>
    <row r="63" spans="1:8" x14ac:dyDescent="0.25">
      <c r="E63" t="str">
        <f>""</f>
        <v/>
      </c>
      <c r="F63" t="str">
        <f>""</f>
        <v/>
      </c>
      <c r="G63" s="3">
        <v>14354.37</v>
      </c>
      <c r="H63" t="str">
        <f>"POSTAGE/OFF SUPPLIES TAX OFF"</f>
        <v>POSTAGE/OFF SUPPLIES TAX OFF</v>
      </c>
    </row>
    <row r="64" spans="1:8" x14ac:dyDescent="0.25">
      <c r="A64" t="s">
        <v>19</v>
      </c>
      <c r="B64">
        <v>5386</v>
      </c>
      <c r="C64" s="3">
        <v>2054.34</v>
      </c>
      <c r="D64" s="6">
        <v>44509</v>
      </c>
      <c r="E64" t="str">
        <f>"202110276680"</f>
        <v>202110276680</v>
      </c>
      <c r="F64" t="str">
        <f>"AC-2019-0910A"</f>
        <v>AC-2019-0910A</v>
      </c>
      <c r="G64" s="3">
        <v>250</v>
      </c>
      <c r="H64" t="str">
        <f>"AC-2019-0910A"</f>
        <v>AC-2019-0910A</v>
      </c>
    </row>
    <row r="65" spans="1:8" x14ac:dyDescent="0.25">
      <c r="E65" t="str">
        <f>"202110276681"</f>
        <v>202110276681</v>
      </c>
      <c r="F65" t="str">
        <f>"16 923"</f>
        <v>16 923</v>
      </c>
      <c r="G65" s="3">
        <v>400</v>
      </c>
      <c r="H65" t="str">
        <f>"16 923"</f>
        <v>16 923</v>
      </c>
    </row>
    <row r="66" spans="1:8" x14ac:dyDescent="0.25">
      <c r="E66" t="str">
        <f>"202110276688"</f>
        <v>202110276688</v>
      </c>
      <c r="F66" t="str">
        <f>"20-20293"</f>
        <v>20-20293</v>
      </c>
      <c r="G66" s="3">
        <v>97.5</v>
      </c>
      <c r="H66" t="str">
        <f>"20-20293"</f>
        <v>20-20293</v>
      </c>
    </row>
    <row r="67" spans="1:8" x14ac:dyDescent="0.25">
      <c r="E67" t="str">
        <f>"202110276689"</f>
        <v>202110276689</v>
      </c>
      <c r="F67" t="str">
        <f>"20-20514"</f>
        <v>20-20514</v>
      </c>
      <c r="G67" s="3">
        <v>22.5</v>
      </c>
      <c r="H67" t="str">
        <f>"20-20514"</f>
        <v>20-20514</v>
      </c>
    </row>
    <row r="68" spans="1:8" x14ac:dyDescent="0.25">
      <c r="E68" t="str">
        <f>"202110276690"</f>
        <v>202110276690</v>
      </c>
      <c r="F68" t="str">
        <f>"20-20372"</f>
        <v>20-20372</v>
      </c>
      <c r="G68" s="3">
        <v>90</v>
      </c>
      <c r="H68" t="str">
        <f>"20-20372"</f>
        <v>20-20372</v>
      </c>
    </row>
    <row r="69" spans="1:8" x14ac:dyDescent="0.25">
      <c r="E69" t="str">
        <f>"202110276691"</f>
        <v>202110276691</v>
      </c>
      <c r="F69" t="str">
        <f>"19-19870"</f>
        <v>19-19870</v>
      </c>
      <c r="G69" s="3">
        <v>476.84</v>
      </c>
      <c r="H69" t="str">
        <f>"19-19870"</f>
        <v>19-19870</v>
      </c>
    </row>
    <row r="70" spans="1:8" x14ac:dyDescent="0.25">
      <c r="E70" t="str">
        <f>"202110276692"</f>
        <v>202110276692</v>
      </c>
      <c r="F70" t="str">
        <f>"20-20056"</f>
        <v>20-20056</v>
      </c>
      <c r="G70" s="3">
        <v>370</v>
      </c>
      <c r="H70" t="str">
        <f>"20-20056"</f>
        <v>20-20056</v>
      </c>
    </row>
    <row r="71" spans="1:8" x14ac:dyDescent="0.25">
      <c r="E71" t="str">
        <f>"202110276693"</f>
        <v>202110276693</v>
      </c>
      <c r="F71" t="str">
        <f>"20-20527"</f>
        <v>20-20527</v>
      </c>
      <c r="G71" s="3">
        <v>137.5</v>
      </c>
      <c r="H71" t="str">
        <f>"20-20527"</f>
        <v>20-20527</v>
      </c>
    </row>
    <row r="72" spans="1:8" x14ac:dyDescent="0.25">
      <c r="E72" t="str">
        <f>"202110276694"</f>
        <v>202110276694</v>
      </c>
      <c r="F72" t="str">
        <f>"20-20179"</f>
        <v>20-20179</v>
      </c>
      <c r="G72" s="3">
        <v>67.5</v>
      </c>
      <c r="H72" t="str">
        <f>"20-20179"</f>
        <v>20-20179</v>
      </c>
    </row>
    <row r="73" spans="1:8" x14ac:dyDescent="0.25">
      <c r="E73" t="str">
        <f>"202110276695"</f>
        <v>202110276695</v>
      </c>
      <c r="F73" t="str">
        <f>"20-20030"</f>
        <v>20-20030</v>
      </c>
      <c r="G73" s="3">
        <v>105</v>
      </c>
      <c r="H73" t="str">
        <f>"20-20030"</f>
        <v>20-20030</v>
      </c>
    </row>
    <row r="74" spans="1:8" x14ac:dyDescent="0.25">
      <c r="E74" t="str">
        <f>"202110276696"</f>
        <v>202110276696</v>
      </c>
      <c r="F74" t="str">
        <f>"21-20562"</f>
        <v>21-20562</v>
      </c>
      <c r="G74" s="3">
        <v>37.5</v>
      </c>
      <c r="H74" t="str">
        <f>"21-20562"</f>
        <v>21-20562</v>
      </c>
    </row>
    <row r="75" spans="1:8" x14ac:dyDescent="0.25">
      <c r="A75" t="s">
        <v>19</v>
      </c>
      <c r="B75">
        <v>5462</v>
      </c>
      <c r="C75" s="3">
        <v>2775</v>
      </c>
      <c r="D75" s="6">
        <v>44523</v>
      </c>
      <c r="E75" t="str">
        <f>"202111107093"</f>
        <v>202111107093</v>
      </c>
      <c r="F75" t="str">
        <f>"55 375"</f>
        <v>55 375</v>
      </c>
      <c r="G75" s="3">
        <v>250</v>
      </c>
      <c r="H75" t="str">
        <f>"55 375"</f>
        <v>55 375</v>
      </c>
    </row>
    <row r="76" spans="1:8" x14ac:dyDescent="0.25">
      <c r="E76" t="str">
        <f>"202111107104"</f>
        <v>202111107104</v>
      </c>
      <c r="F76" t="str">
        <f>"57 733"</f>
        <v>57 733</v>
      </c>
      <c r="G76" s="3">
        <v>250</v>
      </c>
      <c r="H76" t="str">
        <f>"57 733"</f>
        <v>57 733</v>
      </c>
    </row>
    <row r="77" spans="1:8" x14ac:dyDescent="0.25">
      <c r="E77" t="str">
        <f>"202111157147"</f>
        <v>202111157147</v>
      </c>
      <c r="F77" t="str">
        <f>"310112019C"</f>
        <v>310112019C</v>
      </c>
      <c r="G77" s="3">
        <v>125</v>
      </c>
      <c r="H77" t="str">
        <f>"310112019C"</f>
        <v>310112019C</v>
      </c>
    </row>
    <row r="78" spans="1:8" x14ac:dyDescent="0.25">
      <c r="E78" t="str">
        <f>"202111157148"</f>
        <v>202111157148</v>
      </c>
      <c r="F78" t="str">
        <f>"17 510"</f>
        <v>17 510</v>
      </c>
      <c r="G78" s="3">
        <v>600</v>
      </c>
      <c r="H78" t="str">
        <f>"17 510"</f>
        <v>17 510</v>
      </c>
    </row>
    <row r="79" spans="1:8" x14ac:dyDescent="0.25">
      <c r="E79" t="str">
        <f>"202111157149"</f>
        <v>202111157149</v>
      </c>
      <c r="F79" t="str">
        <f>"17 275"</f>
        <v>17 275</v>
      </c>
      <c r="G79" s="3">
        <v>400</v>
      </c>
      <c r="H79" t="str">
        <f>"17 275"</f>
        <v>17 275</v>
      </c>
    </row>
    <row r="80" spans="1:8" x14ac:dyDescent="0.25">
      <c r="E80" t="str">
        <f>"202111157150"</f>
        <v>202111157150</v>
      </c>
      <c r="F80" t="str">
        <f>"1854-21  1858-335"</f>
        <v>1854-21  1858-335</v>
      </c>
      <c r="G80" s="3">
        <v>300</v>
      </c>
      <c r="H80" t="str">
        <f>"1854-21  1858-335"</f>
        <v>1854-21  1858-335</v>
      </c>
    </row>
    <row r="81" spans="1:8" x14ac:dyDescent="0.25">
      <c r="E81" t="str">
        <f>"202111157151"</f>
        <v>202111157151</v>
      </c>
      <c r="F81" t="str">
        <f>"1863-335"</f>
        <v>1863-335</v>
      </c>
      <c r="G81" s="3">
        <v>200</v>
      </c>
      <c r="H81" t="str">
        <f>"1863-335"</f>
        <v>1863-335</v>
      </c>
    </row>
    <row r="82" spans="1:8" x14ac:dyDescent="0.25">
      <c r="E82" t="str">
        <f>"202111157152"</f>
        <v>202111157152</v>
      </c>
      <c r="F82" t="str">
        <f>"17 201"</f>
        <v>17 201</v>
      </c>
      <c r="G82" s="3">
        <v>200</v>
      </c>
      <c r="H82" t="str">
        <f>"17 201"</f>
        <v>17 201</v>
      </c>
    </row>
    <row r="83" spans="1:8" x14ac:dyDescent="0.25">
      <c r="E83" t="str">
        <f>"202111157153"</f>
        <v>202111157153</v>
      </c>
      <c r="F83" t="str">
        <f>"423-7866  1810-21"</f>
        <v>423-7866  1810-21</v>
      </c>
      <c r="G83" s="3">
        <v>200</v>
      </c>
      <c r="H83" t="str">
        <f>"423-7866  1810-21"</f>
        <v>423-7866  1810-21</v>
      </c>
    </row>
    <row r="84" spans="1:8" x14ac:dyDescent="0.25">
      <c r="E84" t="str">
        <f>"202111157164"</f>
        <v>202111157164</v>
      </c>
      <c r="F84" t="str">
        <f>"305062021A"</f>
        <v>305062021A</v>
      </c>
      <c r="G84" s="3">
        <v>250</v>
      </c>
      <c r="H84" t="str">
        <f>"305062021A"</f>
        <v>305062021A</v>
      </c>
    </row>
    <row r="85" spans="1:8" x14ac:dyDescent="0.25">
      <c r="A85" t="s">
        <v>20</v>
      </c>
      <c r="B85">
        <v>137709</v>
      </c>
      <c r="C85" s="3">
        <v>137.66</v>
      </c>
      <c r="D85" s="6">
        <v>44508</v>
      </c>
      <c r="E85" t="str">
        <f>"2110-369289"</f>
        <v>2110-369289</v>
      </c>
      <c r="F85" t="str">
        <f>"ACCT#3-3053/PCT#2"</f>
        <v>ACCT#3-3053/PCT#2</v>
      </c>
      <c r="G85" s="3">
        <v>64.05</v>
      </c>
      <c r="H85" t="str">
        <f>"ACCT#3-3053/PCT#2"</f>
        <v>ACCT#3-3053/PCT#2</v>
      </c>
    </row>
    <row r="86" spans="1:8" x14ac:dyDescent="0.25">
      <c r="E86" t="str">
        <f>""</f>
        <v/>
      </c>
      <c r="F86" t="str">
        <f>""</f>
        <v/>
      </c>
      <c r="G86" s="3">
        <v>73.61</v>
      </c>
      <c r="H86" t="str">
        <f>"ACCT#3-3053/PCT#2"</f>
        <v>ACCT#3-3053/PCT#2</v>
      </c>
    </row>
    <row r="87" spans="1:8" x14ac:dyDescent="0.25">
      <c r="A87" t="s">
        <v>21</v>
      </c>
      <c r="B87">
        <v>137710</v>
      </c>
      <c r="C87" s="3">
        <v>464.75</v>
      </c>
      <c r="D87" s="6">
        <v>44508</v>
      </c>
      <c r="E87" t="str">
        <f>"202111016844"</f>
        <v>202111016844</v>
      </c>
      <c r="F87" t="str">
        <f>"ACCT#012571/CO TREASURER"</f>
        <v>ACCT#012571/CO TREASURER</v>
      </c>
      <c r="G87" s="3">
        <v>31.5</v>
      </c>
      <c r="H87" t="str">
        <f>"ACCT#012571/CO TREASURER"</f>
        <v>ACCT#012571/CO TREASURER</v>
      </c>
    </row>
    <row r="88" spans="1:8" x14ac:dyDescent="0.25">
      <c r="E88" t="str">
        <f>"202111016845"</f>
        <v>202111016845</v>
      </c>
      <c r="F88" t="str">
        <f>"ACCT#011280/COUNTY CLERK"</f>
        <v>ACCT#011280/COUNTY CLERK</v>
      </c>
      <c r="G88" s="3">
        <v>46.5</v>
      </c>
      <c r="H88" t="str">
        <f>"ACCT#011280/COUNTY CLERK"</f>
        <v>ACCT#011280/COUNTY CLERK</v>
      </c>
    </row>
    <row r="89" spans="1:8" x14ac:dyDescent="0.25">
      <c r="E89" t="str">
        <f>"202111016846"</f>
        <v>202111016846</v>
      </c>
      <c r="F89" t="str">
        <f>"ACCT#014877/INDIGENT HEALTH"</f>
        <v>ACCT#014877/INDIGENT HEALTH</v>
      </c>
      <c r="G89" s="3">
        <v>10</v>
      </c>
      <c r="H89" t="str">
        <f>"ACCT#014877/INDIGENT HEALTH"</f>
        <v>ACCT#014877/INDIGENT HEALTH</v>
      </c>
    </row>
    <row r="90" spans="1:8" x14ac:dyDescent="0.25">
      <c r="E90" t="str">
        <f>"202111016866"</f>
        <v>202111016866</v>
      </c>
      <c r="F90" t="str">
        <f>"ACCT#015199 JP#1"</f>
        <v>ACCT#015199 JP#1</v>
      </c>
      <c r="G90" s="3">
        <v>7</v>
      </c>
      <c r="H90" t="str">
        <f>"ACCT#015199 JP#1"</f>
        <v>ACCT#015199 JP#1</v>
      </c>
    </row>
    <row r="91" spans="1:8" x14ac:dyDescent="0.25">
      <c r="E91" t="str">
        <f>"202111026923"</f>
        <v>202111026923</v>
      </c>
      <c r="F91" t="str">
        <f>"ACCT#010602/COMMISSIONER OFFIC"</f>
        <v>ACCT#010602/COMMISSIONER OFFIC</v>
      </c>
      <c r="G91" s="3">
        <v>24</v>
      </c>
      <c r="H91" t="str">
        <f>"ACCT#010602/COMMISSIONER OFFIC"</f>
        <v>ACCT#010602/COMMISSIONER OFFIC</v>
      </c>
    </row>
    <row r="92" spans="1:8" x14ac:dyDescent="0.25">
      <c r="E92" t="str">
        <f>"202111026924"</f>
        <v>202111026924</v>
      </c>
      <c r="F92" t="str">
        <f>"ACCT#010835/COMMISSIONERS PCT1"</f>
        <v>ACCT#010835/COMMISSIONERS PCT1</v>
      </c>
      <c r="G92" s="3">
        <v>28</v>
      </c>
      <c r="H92" t="str">
        <f>"ACCT#010835/COMMISSIONERS PCT1"</f>
        <v>ACCT#010835/COMMISSIONERS PCT1</v>
      </c>
    </row>
    <row r="93" spans="1:8" x14ac:dyDescent="0.25">
      <c r="E93" t="str">
        <f>"202111026925"</f>
        <v>202111026925</v>
      </c>
      <c r="F93" t="str">
        <f>"ACCT#012231/DIST JUDGE"</f>
        <v>ACCT#012231/DIST JUDGE</v>
      </c>
      <c r="G93" s="3">
        <v>10</v>
      </c>
      <c r="H93" t="str">
        <f>"ACCT#012231/DIST JUDGE"</f>
        <v>ACCT#012231/DIST JUDGE</v>
      </c>
    </row>
    <row r="94" spans="1:8" x14ac:dyDescent="0.25">
      <c r="E94" t="str">
        <f>"202111026926"</f>
        <v>202111026926</v>
      </c>
      <c r="F94" t="str">
        <f>"ACCT#014737/ANIMAL SERVICE"</f>
        <v>ACCT#014737/ANIMAL SERVICE</v>
      </c>
      <c r="G94" s="3">
        <v>56</v>
      </c>
      <c r="H94" t="str">
        <f>"ACCT#014737/ANIMAL SERVICE"</f>
        <v>ACCT#014737/ANIMAL SERVICE</v>
      </c>
    </row>
    <row r="95" spans="1:8" x14ac:dyDescent="0.25">
      <c r="E95" t="str">
        <f>"202111026927"</f>
        <v>202111026927</v>
      </c>
      <c r="F95" t="str">
        <f>"ACCT#012259/DIST CLERK"</f>
        <v>ACCT#012259/DIST CLERK</v>
      </c>
      <c r="G95" s="3">
        <v>46.5</v>
      </c>
      <c r="H95" t="str">
        <f>"ACCT#012259/DIST CLERK"</f>
        <v>ACCT#012259/DIST CLERK</v>
      </c>
    </row>
    <row r="96" spans="1:8" x14ac:dyDescent="0.25">
      <c r="E96" t="str">
        <f>"202111026928"</f>
        <v>202111026928</v>
      </c>
      <c r="F96" t="str">
        <f>"ACCT#015476/PURCHASING"</f>
        <v>ACCT#015476/PURCHASING</v>
      </c>
      <c r="G96" s="3">
        <v>26.5</v>
      </c>
      <c r="H96" t="str">
        <f>"ACCT#015476/PURCHASING"</f>
        <v>ACCT#015476/PURCHASING</v>
      </c>
    </row>
    <row r="97" spans="1:8" x14ac:dyDescent="0.25">
      <c r="E97" t="str">
        <f>"202111026929"</f>
        <v>202111026929</v>
      </c>
      <c r="F97" t="str">
        <f>"ACCT#011033/IT DEPT"</f>
        <v>ACCT#011033/IT DEPT</v>
      </c>
      <c r="G97" s="3">
        <v>63</v>
      </c>
      <c r="H97" t="str">
        <f>"ACCT#011033/IT DEPT"</f>
        <v>ACCT#011033/IT DEPT</v>
      </c>
    </row>
    <row r="98" spans="1:8" x14ac:dyDescent="0.25">
      <c r="E98" t="str">
        <f>"202111026933"</f>
        <v>202111026933</v>
      </c>
      <c r="F98" t="str">
        <f>"ACCT#011955/DISTRICT JUDGE"</f>
        <v>ACCT#011955/DISTRICT JUDGE</v>
      </c>
      <c r="G98" s="3">
        <v>25.5</v>
      </c>
      <c r="H98" t="str">
        <f>"ACCT#011955/DISTRICT JUDGE"</f>
        <v>ACCT#011955/DISTRICT JUDGE</v>
      </c>
    </row>
    <row r="99" spans="1:8" x14ac:dyDescent="0.25">
      <c r="E99" t="str">
        <f>"202111026960"</f>
        <v>202111026960</v>
      </c>
      <c r="F99" t="str">
        <f>"ACCT#010238/GENERAL SERVICES"</f>
        <v>ACCT#010238/GENERAL SERVICES</v>
      </c>
      <c r="G99" s="3">
        <v>90.25</v>
      </c>
      <c r="H99" t="str">
        <f>"ACCT#010238/GENERAL SERVICES"</f>
        <v>ACCT#010238/GENERAL SERVICES</v>
      </c>
    </row>
    <row r="100" spans="1:8" x14ac:dyDescent="0.25">
      <c r="A100" t="s">
        <v>21</v>
      </c>
      <c r="B100">
        <v>137988</v>
      </c>
      <c r="C100" s="3">
        <v>103.5</v>
      </c>
      <c r="D100" s="6">
        <v>44522</v>
      </c>
      <c r="E100" t="str">
        <f>"202111167207"</f>
        <v>202111167207</v>
      </c>
      <c r="F100" t="str">
        <f>"ACCT#010057/AUDITOR"</f>
        <v>ACCT#010057/AUDITOR</v>
      </c>
      <c r="G100" s="3">
        <v>28.5</v>
      </c>
      <c r="H100" t="str">
        <f>"ACCT#010057/AUDITOR"</f>
        <v>ACCT#010057/AUDITOR</v>
      </c>
    </row>
    <row r="101" spans="1:8" x14ac:dyDescent="0.25">
      <c r="E101" t="str">
        <f>"294644"</f>
        <v>294644</v>
      </c>
      <c r="F101" t="str">
        <f>"ACCT#012260/DIST ATTORNEY"</f>
        <v>ACCT#012260/DIST ATTORNEY</v>
      </c>
      <c r="G101" s="3">
        <v>6</v>
      </c>
      <c r="H101" t="str">
        <f>"ACCT#012260/DIST ATTORNEY"</f>
        <v>ACCT#012260/DIST ATTORNEY</v>
      </c>
    </row>
    <row r="102" spans="1:8" x14ac:dyDescent="0.25">
      <c r="E102" t="str">
        <f>"294654"</f>
        <v>294654</v>
      </c>
      <c r="F102" t="str">
        <f>"ACCT#010149/ TX AGRI EXTENSION"</f>
        <v>ACCT#010149/ TX AGRI EXTENSION</v>
      </c>
      <c r="G102" s="3">
        <v>69</v>
      </c>
      <c r="H102" t="str">
        <f>"ACCT#010149/ TX AGRI EXTENSION"</f>
        <v>ACCT#010149/ TX AGRI EXTENSION</v>
      </c>
    </row>
    <row r="103" spans="1:8" x14ac:dyDescent="0.25">
      <c r="A103" t="s">
        <v>22</v>
      </c>
      <c r="B103">
        <v>137700</v>
      </c>
      <c r="C103" s="3">
        <v>94.79</v>
      </c>
      <c r="D103" s="6">
        <v>44504</v>
      </c>
      <c r="E103" t="str">
        <f>"202111047014"</f>
        <v>202111047014</v>
      </c>
      <c r="F103" t="str">
        <f>"ACCT#0201855301 / 10042021"</f>
        <v>ACCT#0201855301 / 10042021</v>
      </c>
      <c r="G103" s="3">
        <v>39.200000000000003</v>
      </c>
      <c r="H103" t="str">
        <f>"AQUA WATER SUPPLY CORPORATION"</f>
        <v>AQUA WATER SUPPLY CORPORATION</v>
      </c>
    </row>
    <row r="104" spans="1:8" x14ac:dyDescent="0.25">
      <c r="E104" t="str">
        <f>"202111047015"</f>
        <v>202111047015</v>
      </c>
      <c r="F104" t="str">
        <f>"ACCT#0201891401 / 10042021"</f>
        <v>ACCT#0201891401 / 10042021</v>
      </c>
      <c r="G104" s="3">
        <v>25.28</v>
      </c>
      <c r="H104" t="str">
        <f>"AQUA WATER SUPPLY CORPORATION"</f>
        <v>AQUA WATER SUPPLY CORPORATION</v>
      </c>
    </row>
    <row r="105" spans="1:8" x14ac:dyDescent="0.25">
      <c r="E105" t="str">
        <f>"202111047016"</f>
        <v>202111047016</v>
      </c>
      <c r="F105" t="str">
        <f>"ACCT#0202496901 / 10042021"</f>
        <v>ACCT#0202496901 / 10042021</v>
      </c>
      <c r="G105" s="3">
        <v>30.31</v>
      </c>
      <c r="H105" t="str">
        <f>"AQUA WATER SUPPLY CORPORATION"</f>
        <v>AQUA WATER SUPPLY CORPORATION</v>
      </c>
    </row>
    <row r="106" spans="1:8" x14ac:dyDescent="0.25">
      <c r="A106" t="s">
        <v>22</v>
      </c>
      <c r="B106">
        <v>137989</v>
      </c>
      <c r="C106" s="3">
        <v>1494.45</v>
      </c>
      <c r="D106" s="6">
        <v>44522</v>
      </c>
      <c r="E106" t="str">
        <f>"202111107128"</f>
        <v>202111107128</v>
      </c>
      <c r="F106" t="str">
        <f>"ACCT#7700010026/PCT#3"</f>
        <v>ACCT#7700010026/PCT#3</v>
      </c>
      <c r="G106" s="3">
        <v>645.75</v>
      </c>
      <c r="H106" t="str">
        <f>"ACCT#7700010026/PCT#3"</f>
        <v>ACCT#7700010026/PCT#3</v>
      </c>
    </row>
    <row r="107" spans="1:8" x14ac:dyDescent="0.25">
      <c r="E107" t="str">
        <f>"202111107129"</f>
        <v>202111107129</v>
      </c>
      <c r="F107" t="str">
        <f>"ACCT#7700010027 PCT#4"</f>
        <v>ACCT#7700010027 PCT#4</v>
      </c>
      <c r="G107" s="3">
        <v>840.5</v>
      </c>
      <c r="H107" t="str">
        <f>"ACCT#7700010027 PCT#4"</f>
        <v>ACCT#7700010027 PCT#4</v>
      </c>
    </row>
    <row r="108" spans="1:8" x14ac:dyDescent="0.25">
      <c r="E108" t="str">
        <f>"202111157143"</f>
        <v>202111157143</v>
      </c>
      <c r="F108" t="str">
        <f>"ACCT#7700010019 CEDAR CRK PARK"</f>
        <v>ACCT#7700010019 CEDAR CRK PARK</v>
      </c>
      <c r="G108" s="3">
        <v>8.1999999999999993</v>
      </c>
      <c r="H108" t="str">
        <f>"ACCT#7700010019 CEDAR CRK PARK"</f>
        <v>ACCT#7700010019 CEDAR CRK PARK</v>
      </c>
    </row>
    <row r="109" spans="1:8" x14ac:dyDescent="0.25">
      <c r="A109" t="s">
        <v>22</v>
      </c>
      <c r="B109">
        <v>138146</v>
      </c>
      <c r="C109" s="3">
        <v>1283.8399999999999</v>
      </c>
      <c r="D109" s="6">
        <v>44529</v>
      </c>
      <c r="E109" t="str">
        <f>"202111297406"</f>
        <v>202111297406</v>
      </c>
      <c r="F109" t="str">
        <f>"ACCT#0102120801 / 11032021"</f>
        <v>ACCT#0102120801 / 11032021</v>
      </c>
      <c r="G109" s="3">
        <v>194.1</v>
      </c>
      <c r="H109" t="str">
        <f>"AQUA WATER SUPPLY CORPORATION"</f>
        <v>AQUA WATER SUPPLY CORPORATION</v>
      </c>
    </row>
    <row r="110" spans="1:8" x14ac:dyDescent="0.25">
      <c r="E110" t="str">
        <f>"202111297407"</f>
        <v>202111297407</v>
      </c>
      <c r="F110" t="str">
        <f>"ACCT#0400785803 / 11022021"</f>
        <v>ACCT#0400785803 / 11022021</v>
      </c>
      <c r="G110" s="3">
        <v>276.2</v>
      </c>
      <c r="H110" t="str">
        <f>"ACCT#0400785803 / 11022021"</f>
        <v>ACCT#0400785803 / 11022021</v>
      </c>
    </row>
    <row r="111" spans="1:8" x14ac:dyDescent="0.25">
      <c r="E111" t="str">
        <f>"202111297408"</f>
        <v>202111297408</v>
      </c>
      <c r="F111" t="str">
        <f>"ACCT#0401408501 / 11022021"</f>
        <v>ACCT#0401408501 / 11022021</v>
      </c>
      <c r="G111" s="3">
        <v>758.72</v>
      </c>
      <c r="H111" t="str">
        <f>"ACCT#0401408501 / 11022021"</f>
        <v>ACCT#0401408501 / 11022021</v>
      </c>
    </row>
    <row r="112" spans="1:8" x14ac:dyDescent="0.25">
      <c r="E112" t="str">
        <f>"202111297409"</f>
        <v>202111297409</v>
      </c>
      <c r="F112" t="str">
        <f>"ACCT#0800042801 / 11032021"</f>
        <v>ACCT#0800042801 / 11032021</v>
      </c>
      <c r="G112" s="3">
        <v>29.54</v>
      </c>
      <c r="H112" t="str">
        <f>"ACCT#0800042801 / 11032021"</f>
        <v>ACCT#0800042801 / 11032021</v>
      </c>
    </row>
    <row r="113" spans="1:8" x14ac:dyDescent="0.25">
      <c r="E113" t="str">
        <f>"202111297410"</f>
        <v>202111297410</v>
      </c>
      <c r="F113" t="str">
        <f>"ACCT#0802361501 / 11022021"</f>
        <v>ACCT#0802361501 / 11022021</v>
      </c>
      <c r="G113" s="3">
        <v>25.28</v>
      </c>
      <c r="H113" t="str">
        <f>"ACCT#0802361501 / 11022021"</f>
        <v>ACCT#0802361501 / 11022021</v>
      </c>
    </row>
    <row r="114" spans="1:8" x14ac:dyDescent="0.25">
      <c r="A114" t="s">
        <v>23</v>
      </c>
      <c r="B114">
        <v>137990</v>
      </c>
      <c r="C114" s="3">
        <v>152.36000000000001</v>
      </c>
      <c r="D114" s="6">
        <v>44522</v>
      </c>
      <c r="E114" t="str">
        <f>"202111167192"</f>
        <v>202111167192</v>
      </c>
      <c r="F114" t="str">
        <f>"INDIGENT HEALTH"</f>
        <v>INDIGENT HEALTH</v>
      </c>
      <c r="G114" s="3">
        <v>152.36000000000001</v>
      </c>
      <c r="H114" t="str">
        <f>"INDIGENT HEALTH"</f>
        <v>INDIGENT HEALTH</v>
      </c>
    </row>
    <row r="115" spans="1:8" x14ac:dyDescent="0.25">
      <c r="A115" t="s">
        <v>24</v>
      </c>
      <c r="B115">
        <v>137991</v>
      </c>
      <c r="C115" s="3">
        <v>1996.2</v>
      </c>
      <c r="D115" s="6">
        <v>44522</v>
      </c>
      <c r="E115" t="str">
        <f>"2025.01"</f>
        <v>2025.01</v>
      </c>
      <c r="F115" t="str">
        <f>"HOURLY SVCS MONUMENTS CONSULT"</f>
        <v>HOURLY SVCS MONUMENTS CONSULT</v>
      </c>
      <c r="G115" s="3">
        <v>1996.2</v>
      </c>
      <c r="H115" t="str">
        <f>"HOURLY SVCS MONUMENTS CONSULT"</f>
        <v>HOURLY SVCS MONUMENTS CONSULT</v>
      </c>
    </row>
    <row r="116" spans="1:8" x14ac:dyDescent="0.25">
      <c r="A116" t="s">
        <v>25</v>
      </c>
      <c r="B116">
        <v>137711</v>
      </c>
      <c r="C116" s="3">
        <v>4905.75</v>
      </c>
      <c r="D116" s="6">
        <v>44508</v>
      </c>
      <c r="E116" t="str">
        <f>"4857*149*1 4858*14"</f>
        <v>4857*149*1 4858*14</v>
      </c>
      <c r="F116" t="str">
        <f>"JAIL MEDICAL"</f>
        <v>JAIL MEDICAL</v>
      </c>
      <c r="G116" s="3">
        <v>4905.75</v>
      </c>
      <c r="H116" t="str">
        <f>"JAIL MEDICAL"</f>
        <v>JAIL MEDICAL</v>
      </c>
    </row>
    <row r="117" spans="1:8" x14ac:dyDescent="0.25">
      <c r="A117" t="s">
        <v>25</v>
      </c>
      <c r="B117">
        <v>137992</v>
      </c>
      <c r="C117" s="3">
        <v>18827.259999999998</v>
      </c>
      <c r="D117" s="6">
        <v>44522</v>
      </c>
      <c r="E117" t="str">
        <f>"4860*149*1"</f>
        <v>4860*149*1</v>
      </c>
      <c r="F117" t="str">
        <f>"JAIL MEDICAL"</f>
        <v>JAIL MEDICAL</v>
      </c>
      <c r="G117" s="3">
        <v>18827.259999999998</v>
      </c>
      <c r="H117" t="str">
        <f>"JAIL MEDICAL"</f>
        <v>JAIL MEDICAL</v>
      </c>
    </row>
    <row r="118" spans="1:8" x14ac:dyDescent="0.25">
      <c r="A118" t="s">
        <v>26</v>
      </c>
      <c r="B118">
        <v>137712</v>
      </c>
      <c r="C118" s="3">
        <v>61.01</v>
      </c>
      <c r="D118" s="6">
        <v>44508</v>
      </c>
      <c r="E118" t="str">
        <f>"202111026934"</f>
        <v>202111026934</v>
      </c>
      <c r="F118" t="str">
        <f>"REIMBURSEMENT"</f>
        <v>REIMBURSEMENT</v>
      </c>
      <c r="G118" s="3">
        <v>36.020000000000003</v>
      </c>
      <c r="H118" t="str">
        <f>"REIMBURSEMENT"</f>
        <v>REIMBURSEMENT</v>
      </c>
    </row>
    <row r="119" spans="1:8" x14ac:dyDescent="0.25">
      <c r="E119" t="str">
        <f>""</f>
        <v/>
      </c>
      <c r="F119" t="str">
        <f>""</f>
        <v/>
      </c>
      <c r="G119" s="3">
        <v>24.99</v>
      </c>
      <c r="H119" t="str">
        <f>"REIMBURSEMENT"</f>
        <v>REIMBURSEMENT</v>
      </c>
    </row>
    <row r="120" spans="1:8" x14ac:dyDescent="0.25">
      <c r="A120" t="s">
        <v>27</v>
      </c>
      <c r="B120">
        <v>137713</v>
      </c>
      <c r="C120" s="3">
        <v>8229.91</v>
      </c>
      <c r="D120" s="6">
        <v>44508</v>
      </c>
      <c r="E120" t="str">
        <f>"202111026973"</f>
        <v>202111026973</v>
      </c>
      <c r="F120" t="str">
        <f>"ACCT#512 A49 0048 193 3"</f>
        <v>ACCT#512 A49 0048 193 3</v>
      </c>
      <c r="G120" s="3">
        <v>6355.95</v>
      </c>
      <c r="H120" t="str">
        <f>"ACCT#512 A49 0048 193 3"</f>
        <v>ACCT#512 A49 0048 193 3</v>
      </c>
    </row>
    <row r="121" spans="1:8" x14ac:dyDescent="0.25">
      <c r="E121" t="str">
        <f>""</f>
        <v/>
      </c>
      <c r="F121" t="str">
        <f>""</f>
        <v/>
      </c>
      <c r="G121" s="3">
        <v>135.62</v>
      </c>
      <c r="H121" t="str">
        <f>"ACCT#512 A49 0048 193 3"</f>
        <v>ACCT#512 A49 0048 193 3</v>
      </c>
    </row>
    <row r="122" spans="1:8" x14ac:dyDescent="0.25">
      <c r="E122" t="str">
        <f>""</f>
        <v/>
      </c>
      <c r="F122" t="str">
        <f>""</f>
        <v/>
      </c>
      <c r="G122" s="3">
        <v>140.63</v>
      </c>
      <c r="H122" t="str">
        <f>"ACCT#512 A49 0048 193 3"</f>
        <v>ACCT#512 A49 0048 193 3</v>
      </c>
    </row>
    <row r="123" spans="1:8" x14ac:dyDescent="0.25">
      <c r="E123" t="str">
        <f>"202111026974"</f>
        <v>202111026974</v>
      </c>
      <c r="F123" t="str">
        <f>"ACCT#512 308-9870 530 7"</f>
        <v>ACCT#512 308-9870 530 7</v>
      </c>
      <c r="G123" s="3">
        <v>1597.71</v>
      </c>
      <c r="H123" t="str">
        <f>"ACCT#512 308-9870 530 7"</f>
        <v>ACCT#512 308-9870 530 7</v>
      </c>
    </row>
    <row r="124" spans="1:8" x14ac:dyDescent="0.25">
      <c r="A124" t="s">
        <v>27</v>
      </c>
      <c r="B124">
        <v>137714</v>
      </c>
      <c r="C124" s="3">
        <v>6559.7</v>
      </c>
      <c r="D124" s="6">
        <v>44508</v>
      </c>
      <c r="E124" t="str">
        <f>"1071255608"</f>
        <v>1071255608</v>
      </c>
      <c r="F124" t="str">
        <f>"ACCT#831-000-7218 923"</f>
        <v>ACCT#831-000-7218 923</v>
      </c>
      <c r="G124" s="3">
        <v>874.25</v>
      </c>
      <c r="H124" t="str">
        <f>"ACCT#831-000-7218 923"</f>
        <v>ACCT#831-000-7218 923</v>
      </c>
    </row>
    <row r="125" spans="1:8" x14ac:dyDescent="0.25">
      <c r="E125" t="str">
        <f>"3421932604"</f>
        <v>3421932604</v>
      </c>
      <c r="F125" t="str">
        <f>"ACCT#831-000-7919 623"</f>
        <v>ACCT#831-000-7919 623</v>
      </c>
      <c r="G125" s="3">
        <v>2000.38</v>
      </c>
      <c r="H125" t="str">
        <f>"ACCT#831-000-7919 623"</f>
        <v>ACCT#831-000-7919 623</v>
      </c>
    </row>
    <row r="126" spans="1:8" x14ac:dyDescent="0.25">
      <c r="E126" t="str">
        <f>"8797665608"</f>
        <v>8797665608</v>
      </c>
      <c r="F126" t="str">
        <f>"ACCT#831-000-6084 095"</f>
        <v>ACCT#831-000-6084 095</v>
      </c>
      <c r="G126" s="3">
        <v>1684.69</v>
      </c>
      <c r="H126" t="str">
        <f>"ACCT#831-000-6084 095"</f>
        <v>ACCT#831-000-6084 095</v>
      </c>
    </row>
    <row r="127" spans="1:8" x14ac:dyDescent="0.25">
      <c r="E127" t="str">
        <f>"9010165606"</f>
        <v>9010165606</v>
      </c>
      <c r="F127" t="str">
        <f>"ACCT#831 000 7919 623"</f>
        <v>ACCT#831 000 7919 623</v>
      </c>
      <c r="G127" s="3">
        <v>2000.38</v>
      </c>
      <c r="H127" t="str">
        <f>"ACCT#831 000 7919 623"</f>
        <v>ACCT#831 000 7919 623</v>
      </c>
    </row>
    <row r="128" spans="1:8" x14ac:dyDescent="0.25">
      <c r="A128" t="s">
        <v>27</v>
      </c>
      <c r="B128">
        <v>137993</v>
      </c>
      <c r="C128" s="3">
        <v>62.93</v>
      </c>
      <c r="D128" s="6">
        <v>44522</v>
      </c>
      <c r="E128" t="str">
        <f>"202111167166"</f>
        <v>202111167166</v>
      </c>
      <c r="F128" t="str">
        <f>"ACCT#512 237-4986 596 6"</f>
        <v>ACCT#512 237-4986 596 6</v>
      </c>
      <c r="G128" s="3">
        <v>62.93</v>
      </c>
      <c r="H128" t="str">
        <f>"ACCT#512 237-4986 596 6"</f>
        <v>ACCT#512 237-4986 596 6</v>
      </c>
    </row>
    <row r="129" spans="1:8" x14ac:dyDescent="0.25">
      <c r="A129" t="s">
        <v>27</v>
      </c>
      <c r="B129">
        <v>137994</v>
      </c>
      <c r="C129" s="3">
        <v>800</v>
      </c>
      <c r="D129" s="6">
        <v>44522</v>
      </c>
      <c r="E129" t="str">
        <f>"399529"</f>
        <v>399529</v>
      </c>
      <c r="F129" t="str">
        <f>"INV 399529"</f>
        <v>INV 399529</v>
      </c>
      <c r="G129" s="3">
        <v>650</v>
      </c>
      <c r="H129" t="str">
        <f>"INV 399529"</f>
        <v>INV 399529</v>
      </c>
    </row>
    <row r="130" spans="1:8" x14ac:dyDescent="0.25">
      <c r="E130" t="str">
        <f>"404710"</f>
        <v>404710</v>
      </c>
      <c r="F130" t="str">
        <f>"INV 404710"</f>
        <v>INV 404710</v>
      </c>
      <c r="G130" s="3">
        <v>150</v>
      </c>
      <c r="H130" t="str">
        <f>"INV 404710"</f>
        <v>INV 404710</v>
      </c>
    </row>
    <row r="131" spans="1:8" x14ac:dyDescent="0.25">
      <c r="A131" t="s">
        <v>28</v>
      </c>
      <c r="B131">
        <v>137715</v>
      </c>
      <c r="C131" s="3">
        <v>8065.28</v>
      </c>
      <c r="D131" s="6">
        <v>44508</v>
      </c>
      <c r="E131" t="str">
        <f>"202111026976"</f>
        <v>202111026976</v>
      </c>
      <c r="F131" t="str">
        <f>"ATT IPAD JUDGE PAPE"</f>
        <v>ATT IPAD JUDGE PAPE</v>
      </c>
      <c r="G131" s="3">
        <v>1272.99</v>
      </c>
      <c r="H131" t="str">
        <f>"IPAD FOR JUDGE PAPE"</f>
        <v>IPAD FOR JUDGE PAPE</v>
      </c>
    </row>
    <row r="132" spans="1:8" x14ac:dyDescent="0.25">
      <c r="E132" t="str">
        <f>"23441"</f>
        <v>23441</v>
      </c>
      <c r="F132" t="str">
        <f>"ATT CRADLEPOINT"</f>
        <v>ATT CRADLEPOINT</v>
      </c>
      <c r="G132" s="3">
        <v>759.4</v>
      </c>
      <c r="H132" t="str">
        <f>"ATT CRADLEPOINT"</f>
        <v>ATT CRADLEPOINT</v>
      </c>
    </row>
    <row r="133" spans="1:8" x14ac:dyDescent="0.25">
      <c r="E133" t="str">
        <f>"24418"</f>
        <v>24418</v>
      </c>
      <c r="F133" t="str">
        <f>"ATT E300 ROUTER"</f>
        <v>ATT E300 ROUTER</v>
      </c>
      <c r="G133" s="3">
        <v>1194</v>
      </c>
      <c r="H133" t="str">
        <f>"ATT E300 ROUTER"</f>
        <v>ATT E300 ROUTER</v>
      </c>
    </row>
    <row r="134" spans="1:8" x14ac:dyDescent="0.25">
      <c r="E134" t="str">
        <f>"287290524359X 1027"</f>
        <v>287290524359X 1027</v>
      </c>
      <c r="F134" t="str">
        <f>"ACCT#287290524359"</f>
        <v>ACCT#287290524359</v>
      </c>
      <c r="G134" s="3">
        <v>328</v>
      </c>
      <c r="H134" t="str">
        <f t="shared" ref="H134:H146" si="4">"ACCT#287290524359"</f>
        <v>ACCT#287290524359</v>
      </c>
    </row>
    <row r="135" spans="1:8" x14ac:dyDescent="0.25">
      <c r="E135" t="str">
        <f>""</f>
        <v/>
      </c>
      <c r="F135" t="str">
        <f>""</f>
        <v/>
      </c>
      <c r="G135" s="3">
        <v>259</v>
      </c>
      <c r="H135" t="str">
        <f t="shared" si="4"/>
        <v>ACCT#287290524359</v>
      </c>
    </row>
    <row r="136" spans="1:8" x14ac:dyDescent="0.25">
      <c r="E136" t="str">
        <f>""</f>
        <v/>
      </c>
      <c r="F136" t="str">
        <f>""</f>
        <v/>
      </c>
      <c r="G136" s="3">
        <v>37</v>
      </c>
      <c r="H136" t="str">
        <f t="shared" si="4"/>
        <v>ACCT#287290524359</v>
      </c>
    </row>
    <row r="137" spans="1:8" x14ac:dyDescent="0.25">
      <c r="E137" t="str">
        <f>""</f>
        <v/>
      </c>
      <c r="F137" t="str">
        <f>""</f>
        <v/>
      </c>
      <c r="G137" s="3">
        <v>37</v>
      </c>
      <c r="H137" t="str">
        <f t="shared" si="4"/>
        <v>ACCT#287290524359</v>
      </c>
    </row>
    <row r="138" spans="1:8" x14ac:dyDescent="0.25">
      <c r="E138" t="str">
        <f>""</f>
        <v/>
      </c>
      <c r="F138" t="str">
        <f>""</f>
        <v/>
      </c>
      <c r="G138" s="3">
        <v>185</v>
      </c>
      <c r="H138" t="str">
        <f t="shared" si="4"/>
        <v>ACCT#287290524359</v>
      </c>
    </row>
    <row r="139" spans="1:8" x14ac:dyDescent="0.25">
      <c r="E139" t="str">
        <f>""</f>
        <v/>
      </c>
      <c r="F139" t="str">
        <f>""</f>
        <v/>
      </c>
      <c r="G139" s="3">
        <v>37</v>
      </c>
      <c r="H139" t="str">
        <f t="shared" si="4"/>
        <v>ACCT#287290524359</v>
      </c>
    </row>
    <row r="140" spans="1:8" x14ac:dyDescent="0.25">
      <c r="E140" t="str">
        <f>""</f>
        <v/>
      </c>
      <c r="F140" t="str">
        <f>""</f>
        <v/>
      </c>
      <c r="G140" s="3">
        <v>524</v>
      </c>
      <c r="H140" t="str">
        <f t="shared" si="4"/>
        <v>ACCT#287290524359</v>
      </c>
    </row>
    <row r="141" spans="1:8" x14ac:dyDescent="0.25">
      <c r="E141" t="str">
        <f>""</f>
        <v/>
      </c>
      <c r="F141" t="str">
        <f>""</f>
        <v/>
      </c>
      <c r="G141" s="3">
        <v>185</v>
      </c>
      <c r="H141" t="str">
        <f t="shared" si="4"/>
        <v>ACCT#287290524359</v>
      </c>
    </row>
    <row r="142" spans="1:8" x14ac:dyDescent="0.25">
      <c r="E142" t="str">
        <f>""</f>
        <v/>
      </c>
      <c r="F142" t="str">
        <f>""</f>
        <v/>
      </c>
      <c r="G142" s="3">
        <v>37</v>
      </c>
      <c r="H142" t="str">
        <f t="shared" si="4"/>
        <v>ACCT#287290524359</v>
      </c>
    </row>
    <row r="143" spans="1:8" x14ac:dyDescent="0.25">
      <c r="E143" t="str">
        <f>""</f>
        <v/>
      </c>
      <c r="F143" t="str">
        <f>""</f>
        <v/>
      </c>
      <c r="G143" s="3">
        <v>2839.89</v>
      </c>
      <c r="H143" t="str">
        <f t="shared" si="4"/>
        <v>ACCT#287290524359</v>
      </c>
    </row>
    <row r="144" spans="1:8" x14ac:dyDescent="0.25">
      <c r="E144" t="str">
        <f>""</f>
        <v/>
      </c>
      <c r="F144" t="str">
        <f>""</f>
        <v/>
      </c>
      <c r="G144" s="3">
        <v>74</v>
      </c>
      <c r="H144" t="str">
        <f t="shared" si="4"/>
        <v>ACCT#287290524359</v>
      </c>
    </row>
    <row r="145" spans="1:8" x14ac:dyDescent="0.25">
      <c r="E145" t="str">
        <f>""</f>
        <v/>
      </c>
      <c r="F145" t="str">
        <f>""</f>
        <v/>
      </c>
      <c r="G145" s="3">
        <v>37</v>
      </c>
      <c r="H145" t="str">
        <f t="shared" si="4"/>
        <v>ACCT#287290524359</v>
      </c>
    </row>
    <row r="146" spans="1:8" x14ac:dyDescent="0.25">
      <c r="E146" t="str">
        <f>""</f>
        <v/>
      </c>
      <c r="F146" t="str">
        <f>""</f>
        <v/>
      </c>
      <c r="G146" s="3">
        <v>259</v>
      </c>
      <c r="H146" t="str">
        <f t="shared" si="4"/>
        <v>ACCT#287290524359</v>
      </c>
    </row>
    <row r="147" spans="1:8" x14ac:dyDescent="0.25">
      <c r="A147" t="s">
        <v>29</v>
      </c>
      <c r="B147">
        <v>137716</v>
      </c>
      <c r="C147" s="3">
        <v>115</v>
      </c>
      <c r="D147" s="6">
        <v>44508</v>
      </c>
      <c r="E147" t="str">
        <f>"202111016868"</f>
        <v>202111016868</v>
      </c>
      <c r="F147" t="str">
        <f>"FERAL HOGS"</f>
        <v>FERAL HOGS</v>
      </c>
      <c r="G147" s="3">
        <v>115</v>
      </c>
      <c r="H147" t="str">
        <f>"FERAL HOGS"</f>
        <v>FERAL HOGS</v>
      </c>
    </row>
    <row r="148" spans="1:8" x14ac:dyDescent="0.25">
      <c r="A148" t="s">
        <v>30</v>
      </c>
      <c r="B148">
        <v>137995</v>
      </c>
      <c r="C148" s="3">
        <v>885.22</v>
      </c>
      <c r="D148" s="6">
        <v>44522</v>
      </c>
      <c r="E148" t="str">
        <f>"202111167193"</f>
        <v>202111167193</v>
      </c>
      <c r="F148" t="str">
        <f>"INDIGENT HEALTH"</f>
        <v>INDIGENT HEALTH</v>
      </c>
      <c r="G148" s="3">
        <v>46.73</v>
      </c>
      <c r="H148" t="str">
        <f>"INDIGENT HEALTH"</f>
        <v>INDIGENT HEALTH</v>
      </c>
    </row>
    <row r="149" spans="1:8" x14ac:dyDescent="0.25">
      <c r="E149" t="str">
        <f>"4856*83*1"</f>
        <v>4856*83*1</v>
      </c>
      <c r="F149" t="str">
        <f>"JAIL MEDICAL"</f>
        <v>JAIL MEDICAL</v>
      </c>
      <c r="G149" s="3">
        <v>838.49</v>
      </c>
      <c r="H149" t="str">
        <f>"JAIL MEDICAL"</f>
        <v>JAIL MEDICAL</v>
      </c>
    </row>
    <row r="150" spans="1:8" x14ac:dyDescent="0.25">
      <c r="A150" t="s">
        <v>31</v>
      </c>
      <c r="B150">
        <v>137996</v>
      </c>
      <c r="C150" s="3">
        <v>1064.94</v>
      </c>
      <c r="D150" s="6">
        <v>44522</v>
      </c>
      <c r="E150" t="str">
        <f>"202111167194"</f>
        <v>202111167194</v>
      </c>
      <c r="F150" t="str">
        <f>"INDIGENT HEALTH"</f>
        <v>INDIGENT HEALTH</v>
      </c>
      <c r="G150" s="3">
        <v>1064.94</v>
      </c>
      <c r="H150" t="str">
        <f>"INDIGENT HEALTH"</f>
        <v>INDIGENT HEALTH</v>
      </c>
    </row>
    <row r="151" spans="1:8" x14ac:dyDescent="0.25">
      <c r="A151" t="s">
        <v>32</v>
      </c>
      <c r="B151">
        <v>137997</v>
      </c>
      <c r="C151" s="3">
        <v>37.1</v>
      </c>
      <c r="D151" s="6">
        <v>44522</v>
      </c>
      <c r="E151" t="str">
        <f>"5022575"</f>
        <v>5022575</v>
      </c>
      <c r="F151" t="str">
        <f>"INV 187934"</f>
        <v>INV 187934</v>
      </c>
      <c r="G151" s="3">
        <v>37.1</v>
      </c>
      <c r="H151" t="str">
        <f>"INV 187934"</f>
        <v>INV 187934</v>
      </c>
    </row>
    <row r="152" spans="1:8" x14ac:dyDescent="0.25">
      <c r="A152" t="s">
        <v>33</v>
      </c>
      <c r="B152">
        <v>5367</v>
      </c>
      <c r="C152" s="3">
        <v>2728.41</v>
      </c>
      <c r="D152" s="6">
        <v>44509</v>
      </c>
      <c r="E152" t="str">
        <f>"202111016728"</f>
        <v>202111016728</v>
      </c>
      <c r="F152" t="str">
        <f>"CUST ID:0011/PCT#3"</f>
        <v>CUST ID:0011/PCT#3</v>
      </c>
      <c r="G152" s="3">
        <v>178.49</v>
      </c>
      <c r="H152" t="str">
        <f>"CUST ID:0011/PCT#3"</f>
        <v>CUST ID:0011/PCT#3</v>
      </c>
    </row>
    <row r="153" spans="1:8" x14ac:dyDescent="0.25">
      <c r="E153" t="str">
        <f>"202111036992"</f>
        <v>202111036992</v>
      </c>
      <c r="F153" t="str">
        <f>"CUST ID:0009/PCT#1"</f>
        <v>CUST ID:0009/PCT#1</v>
      </c>
      <c r="G153" s="3">
        <v>1455.96</v>
      </c>
      <c r="H153" t="str">
        <f>"CUST ID:0009/PCT#1"</f>
        <v>CUST ID:0009/PCT#1</v>
      </c>
    </row>
    <row r="154" spans="1:8" x14ac:dyDescent="0.25">
      <c r="E154" t="str">
        <f>"202111036995"</f>
        <v>202111036995</v>
      </c>
      <c r="F154" t="str">
        <f>"CUST ID:0009/GENERAL SVCS"</f>
        <v>CUST ID:0009/GENERAL SVCS</v>
      </c>
      <c r="G154" s="3">
        <v>1093.96</v>
      </c>
      <c r="H154" t="str">
        <f>"CUST ID:0009/GENERAL SVCS"</f>
        <v>CUST ID:0009/GENERAL SVCS</v>
      </c>
    </row>
    <row r="155" spans="1:8" x14ac:dyDescent="0.25">
      <c r="A155" t="s">
        <v>34</v>
      </c>
      <c r="B155">
        <v>5407</v>
      </c>
      <c r="C155" s="3">
        <v>6850</v>
      </c>
      <c r="D155" s="6">
        <v>44523</v>
      </c>
      <c r="E155" t="str">
        <f>"1647"</f>
        <v>1647</v>
      </c>
      <c r="F155" t="str">
        <f>"TREE REMOVAL/PCT#2"</f>
        <v>TREE REMOVAL/PCT#2</v>
      </c>
      <c r="G155" s="3">
        <v>2950</v>
      </c>
      <c r="H155" t="str">
        <f>"TREE REMOVAL/PCT#2"</f>
        <v>TREE REMOVAL/PCT#2</v>
      </c>
    </row>
    <row r="156" spans="1:8" x14ac:dyDescent="0.25">
      <c r="E156" t="str">
        <f>"1648"</f>
        <v>1648</v>
      </c>
      <c r="F156" t="str">
        <f>"TREE REMOVAL/PCT#1"</f>
        <v>TREE REMOVAL/PCT#1</v>
      </c>
      <c r="G156" s="3">
        <v>3900</v>
      </c>
      <c r="H156" t="str">
        <f>"TREE REMOVAL/PCT#1"</f>
        <v>TREE REMOVAL/PCT#1</v>
      </c>
    </row>
    <row r="157" spans="1:8" x14ac:dyDescent="0.25">
      <c r="A157" t="s">
        <v>35</v>
      </c>
      <c r="B157">
        <v>137998</v>
      </c>
      <c r="C157" s="3">
        <v>173714.71</v>
      </c>
      <c r="D157" s="6">
        <v>44522</v>
      </c>
      <c r="E157" t="str">
        <f>"202111167165"</f>
        <v>202111167165</v>
      </c>
      <c r="F157" t="str">
        <f>"1ST 2022 QTR CAD LOCAL SUPPORT"</f>
        <v>1ST 2022 QTR CAD LOCAL SUPPORT</v>
      </c>
      <c r="G157" s="3">
        <v>173714.71</v>
      </c>
      <c r="H157" t="str">
        <f>"1ST 2022 QTR CAD LOCAL SUPPORT"</f>
        <v>1ST 2022 QTR CAD LOCAL SUPPORT</v>
      </c>
    </row>
    <row r="158" spans="1:8" x14ac:dyDescent="0.25">
      <c r="A158" t="s">
        <v>36</v>
      </c>
      <c r="B158">
        <v>137717</v>
      </c>
      <c r="C158" s="3">
        <v>30000</v>
      </c>
      <c r="D158" s="6">
        <v>44508</v>
      </c>
      <c r="E158" t="str">
        <f>"202111026922"</f>
        <v>202111026922</v>
      </c>
      <c r="F158" t="str">
        <f>"FY 2021"</f>
        <v>FY 2021</v>
      </c>
      <c r="G158" s="3">
        <v>30000</v>
      </c>
      <c r="H158" t="str">
        <f>"FY 2021"</f>
        <v>FY 2021</v>
      </c>
    </row>
    <row r="159" spans="1:8" x14ac:dyDescent="0.25">
      <c r="A159" t="s">
        <v>37</v>
      </c>
      <c r="B159">
        <v>137718</v>
      </c>
      <c r="C159" s="3">
        <v>2000</v>
      </c>
      <c r="D159" s="6">
        <v>44508</v>
      </c>
      <c r="E159" t="str">
        <f>"202110286715"</f>
        <v>202110286715</v>
      </c>
      <c r="F159" t="str">
        <f>"SEIZED AUCTION PROCEEDS"</f>
        <v>SEIZED AUCTION PROCEEDS</v>
      </c>
      <c r="G159" s="3">
        <v>2000</v>
      </c>
      <c r="H159" t="str">
        <f>"SEIZED AUCTION PROCEEDS"</f>
        <v>SEIZED AUCTION PROCEEDS</v>
      </c>
    </row>
    <row r="160" spans="1:8" x14ac:dyDescent="0.25">
      <c r="A160" t="s">
        <v>38</v>
      </c>
      <c r="B160">
        <v>137719</v>
      </c>
      <c r="C160" s="3">
        <v>847</v>
      </c>
      <c r="D160" s="6">
        <v>44508</v>
      </c>
      <c r="E160" t="str">
        <f>"12237"</f>
        <v>12237</v>
      </c>
      <c r="F160" t="str">
        <f t="shared" ref="F160:F165" si="5">"SERVICE"</f>
        <v>SERVICE</v>
      </c>
      <c r="G160" s="3">
        <v>200</v>
      </c>
      <c r="H160" t="str">
        <f t="shared" ref="H160:H165" si="6">"SERVICE"</f>
        <v>SERVICE</v>
      </c>
    </row>
    <row r="161" spans="1:8" x14ac:dyDescent="0.25">
      <c r="E161" t="str">
        <f>"13372"</f>
        <v>13372</v>
      </c>
      <c r="F161" t="str">
        <f t="shared" si="5"/>
        <v>SERVICE</v>
      </c>
      <c r="G161" s="3">
        <v>75</v>
      </c>
      <c r="H161" t="str">
        <f t="shared" si="6"/>
        <v>SERVICE</v>
      </c>
    </row>
    <row r="162" spans="1:8" x14ac:dyDescent="0.25">
      <c r="E162" t="str">
        <f>"13378"</f>
        <v>13378</v>
      </c>
      <c r="F162" t="str">
        <f t="shared" si="5"/>
        <v>SERVICE</v>
      </c>
      <c r="G162" s="3">
        <v>25</v>
      </c>
      <c r="H162" t="str">
        <f t="shared" si="6"/>
        <v>SERVICE</v>
      </c>
    </row>
    <row r="163" spans="1:8" x14ac:dyDescent="0.25">
      <c r="E163" t="str">
        <f>"13382"</f>
        <v>13382</v>
      </c>
      <c r="F163" t="str">
        <f t="shared" si="5"/>
        <v>SERVICE</v>
      </c>
      <c r="G163" s="3">
        <v>75</v>
      </c>
      <c r="H163" t="str">
        <f t="shared" si="6"/>
        <v>SERVICE</v>
      </c>
    </row>
    <row r="164" spans="1:8" x14ac:dyDescent="0.25">
      <c r="E164" t="str">
        <f>"13439"</f>
        <v>13439</v>
      </c>
      <c r="F164" t="str">
        <f t="shared" si="5"/>
        <v>SERVICE</v>
      </c>
      <c r="G164" s="3">
        <v>75</v>
      </c>
      <c r="H164" t="str">
        <f t="shared" si="6"/>
        <v>SERVICE</v>
      </c>
    </row>
    <row r="165" spans="1:8" x14ac:dyDescent="0.25">
      <c r="E165" t="str">
        <f>"13582  09/14/21"</f>
        <v>13582  09/14/21</v>
      </c>
      <c r="F165" t="str">
        <f t="shared" si="5"/>
        <v>SERVICE</v>
      </c>
      <c r="G165" s="3">
        <v>25</v>
      </c>
      <c r="H165" t="str">
        <f t="shared" si="6"/>
        <v>SERVICE</v>
      </c>
    </row>
    <row r="166" spans="1:8" x14ac:dyDescent="0.25">
      <c r="E166" t="str">
        <f>"13660  09/14/21"</f>
        <v>13660  09/14/21</v>
      </c>
      <c r="F166" t="str">
        <f>"ABST FEE"</f>
        <v>ABST FEE</v>
      </c>
      <c r="G166" s="3">
        <v>130</v>
      </c>
      <c r="H166" t="str">
        <f>"ABST FEE"</f>
        <v>ABST FEE</v>
      </c>
    </row>
    <row r="167" spans="1:8" x14ac:dyDescent="0.25">
      <c r="E167" t="str">
        <f>"13661"</f>
        <v>13661</v>
      </c>
      <c r="F167" t="str">
        <f>"SERVICE"</f>
        <v>SERVICE</v>
      </c>
      <c r="G167" s="3">
        <v>75</v>
      </c>
      <c r="H167" t="str">
        <f>"SERVICE"</f>
        <v>SERVICE</v>
      </c>
    </row>
    <row r="168" spans="1:8" x14ac:dyDescent="0.25">
      <c r="E168" t="str">
        <f>"13666  09/29/21"</f>
        <v>13666  09/29/21</v>
      </c>
      <c r="F168" t="str">
        <f>"SERVICE"</f>
        <v>SERVICE</v>
      </c>
      <c r="G168" s="3">
        <v>50</v>
      </c>
      <c r="H168" t="str">
        <f>"SERVICE"</f>
        <v>SERVICE</v>
      </c>
    </row>
    <row r="169" spans="1:8" x14ac:dyDescent="0.25">
      <c r="E169" t="str">
        <f>"13744"</f>
        <v>13744</v>
      </c>
      <c r="F169" t="str">
        <f>"SERVICE"</f>
        <v>SERVICE</v>
      </c>
      <c r="G169" s="3">
        <v>20</v>
      </c>
      <c r="H169" t="str">
        <f>"SERVICE"</f>
        <v>SERVICE</v>
      </c>
    </row>
    <row r="170" spans="1:8" x14ac:dyDescent="0.25">
      <c r="E170" t="str">
        <f>"13747"</f>
        <v>13747</v>
      </c>
      <c r="F170" t="str">
        <f>"SERVICE"</f>
        <v>SERVICE</v>
      </c>
      <c r="G170" s="3">
        <v>97</v>
      </c>
      <c r="H170" t="str">
        <f>"SERVICE"</f>
        <v>SERVICE</v>
      </c>
    </row>
    <row r="171" spans="1:8" x14ac:dyDescent="0.25">
      <c r="A171" t="s">
        <v>38</v>
      </c>
      <c r="B171">
        <v>137999</v>
      </c>
      <c r="C171" s="3">
        <v>14</v>
      </c>
      <c r="D171" s="6">
        <v>44522</v>
      </c>
      <c r="E171" t="str">
        <f>"13011  10/23/2020"</f>
        <v>13011  10/23/2020</v>
      </c>
      <c r="F171" t="str">
        <f>"SERVICE"</f>
        <v>SERVICE</v>
      </c>
      <c r="G171" s="3">
        <v>14</v>
      </c>
      <c r="H171" t="str">
        <f>"SERVICE"</f>
        <v>SERVICE</v>
      </c>
    </row>
    <row r="172" spans="1:8" x14ac:dyDescent="0.25">
      <c r="A172" t="s">
        <v>39</v>
      </c>
      <c r="B172">
        <v>5440</v>
      </c>
      <c r="C172" s="3">
        <v>61</v>
      </c>
      <c r="D172" s="6">
        <v>44523</v>
      </c>
      <c r="E172" t="str">
        <f>"17585"</f>
        <v>17585</v>
      </c>
      <c r="F172" t="str">
        <f>"ACCT# BC01 PCT#4"</f>
        <v>ACCT# BC01 PCT#4</v>
      </c>
      <c r="G172" s="3">
        <v>42</v>
      </c>
      <c r="H172" t="str">
        <f>"ACCT# BC01 PCT#4"</f>
        <v>ACCT# BC01 PCT#4</v>
      </c>
    </row>
    <row r="173" spans="1:8" x14ac:dyDescent="0.25">
      <c r="E173" t="str">
        <f>"17638"</f>
        <v>17638</v>
      </c>
      <c r="F173" t="str">
        <f>"ACCT#BC01/JP2"</f>
        <v>ACCT#BC01/JP2</v>
      </c>
      <c r="G173" s="3">
        <v>19</v>
      </c>
      <c r="H173" t="str">
        <f>"ACCT#BC01/JP2"</f>
        <v>ACCT#BC01/JP2</v>
      </c>
    </row>
    <row r="174" spans="1:8" x14ac:dyDescent="0.25">
      <c r="A174" t="s">
        <v>40</v>
      </c>
      <c r="B174">
        <v>5355</v>
      </c>
      <c r="C174" s="3">
        <v>40840.400000000001</v>
      </c>
      <c r="D174" s="6">
        <v>44509</v>
      </c>
      <c r="E174" t="str">
        <f>"202111016842"</f>
        <v>202111016842</v>
      </c>
      <c r="F174" t="str">
        <f>"GRANT REIMBURSEMENT"</f>
        <v>GRANT REIMBURSEMENT</v>
      </c>
      <c r="G174" s="3">
        <v>40840.400000000001</v>
      </c>
      <c r="H174" t="str">
        <f>"GRANT REIMBURSEMENT"</f>
        <v>GRANT REIMBURSEMENT</v>
      </c>
    </row>
    <row r="175" spans="1:8" x14ac:dyDescent="0.25">
      <c r="A175" t="s">
        <v>40</v>
      </c>
      <c r="B175">
        <v>5430</v>
      </c>
      <c r="C175" s="3">
        <v>17667.91</v>
      </c>
      <c r="D175" s="6">
        <v>44523</v>
      </c>
      <c r="E175" t="str">
        <f>"202111167170"</f>
        <v>202111167170</v>
      </c>
      <c r="F175" t="str">
        <f>"GRANT REIMBURSEMENT"</f>
        <v>GRANT REIMBURSEMENT</v>
      </c>
      <c r="G175" s="3">
        <v>4975.5600000000004</v>
      </c>
      <c r="H175" t="str">
        <f>"GRANT REIMBURSEMENT"</f>
        <v>GRANT REIMBURSEMENT</v>
      </c>
    </row>
    <row r="176" spans="1:8" x14ac:dyDescent="0.25">
      <c r="E176" t="str">
        <f>"202111167208"</f>
        <v>202111167208</v>
      </c>
      <c r="F176" t="str">
        <f>"GRANT REIMBURSEMENT"</f>
        <v>GRANT REIMBURSEMENT</v>
      </c>
      <c r="G176" s="3">
        <v>12692.35</v>
      </c>
      <c r="H176" t="str">
        <f>"GRANT REIMBURSEMENT"</f>
        <v>GRANT REIMBURSEMENT</v>
      </c>
    </row>
    <row r="177" spans="1:8" x14ac:dyDescent="0.25">
      <c r="A177" t="s">
        <v>41</v>
      </c>
      <c r="B177">
        <v>137720</v>
      </c>
      <c r="C177" s="3">
        <v>15000</v>
      </c>
      <c r="D177" s="6">
        <v>44508</v>
      </c>
      <c r="E177" t="str">
        <f>"202110286720"</f>
        <v>202110286720</v>
      </c>
      <c r="F177" t="str">
        <f>"FY 2022"</f>
        <v>FY 2022</v>
      </c>
      <c r="G177" s="3">
        <v>15000</v>
      </c>
      <c r="H177" t="str">
        <f>"FY 2022"</f>
        <v>FY 2022</v>
      </c>
    </row>
    <row r="178" spans="1:8" x14ac:dyDescent="0.25">
      <c r="A178" t="s">
        <v>42</v>
      </c>
      <c r="B178">
        <v>137721</v>
      </c>
      <c r="C178" s="3">
        <v>30</v>
      </c>
      <c r="D178" s="6">
        <v>44508</v>
      </c>
      <c r="E178" t="str">
        <f>"202110286719"</f>
        <v>202110286719</v>
      </c>
      <c r="F178" t="str">
        <f>"REFUND TO TAX OFFICE"</f>
        <v>REFUND TO TAX OFFICE</v>
      </c>
      <c r="G178" s="3">
        <v>30</v>
      </c>
      <c r="H178" t="str">
        <f>"REFUND TO TAX OFFICE"</f>
        <v>REFUND TO TAX OFFICE</v>
      </c>
    </row>
    <row r="179" spans="1:8" x14ac:dyDescent="0.25">
      <c r="A179" t="s">
        <v>43</v>
      </c>
      <c r="B179">
        <v>137722</v>
      </c>
      <c r="C179" s="3">
        <v>226.37</v>
      </c>
      <c r="D179" s="6">
        <v>44508</v>
      </c>
      <c r="E179" t="str">
        <f>"202110276707"</f>
        <v>202110276707</v>
      </c>
      <c r="F179" t="str">
        <f>"REIMBURSEMENT FOR CHECK CHARGE"</f>
        <v>REIMBURSEMENT FOR CHECK CHARGE</v>
      </c>
      <c r="G179" s="3">
        <v>226.37</v>
      </c>
      <c r="H179" t="str">
        <f>"REIMBURSEMENT FOR CHECK CHARGE"</f>
        <v>REIMBURSEMENT FOR CHECK CHARGE</v>
      </c>
    </row>
    <row r="180" spans="1:8" x14ac:dyDescent="0.25">
      <c r="A180" t="s">
        <v>44</v>
      </c>
      <c r="B180">
        <v>5405</v>
      </c>
      <c r="C180" s="3">
        <v>7100</v>
      </c>
      <c r="D180" s="6">
        <v>44523</v>
      </c>
      <c r="E180" t="str">
        <f>"2021218"</f>
        <v>2021218</v>
      </c>
      <c r="F180" t="str">
        <f>"TRANSPORT/K REED"</f>
        <v>TRANSPORT/K REED</v>
      </c>
      <c r="G180" s="3">
        <v>640</v>
      </c>
      <c r="H180" t="str">
        <f>"TRANSPORT/K REED"</f>
        <v>TRANSPORT/K REED</v>
      </c>
    </row>
    <row r="181" spans="1:8" x14ac:dyDescent="0.25">
      <c r="E181" t="str">
        <f>"2021223"</f>
        <v>2021223</v>
      </c>
      <c r="F181" t="str">
        <f>"TRANSPORT/ W ADAMS JR"</f>
        <v>TRANSPORT/ W ADAMS JR</v>
      </c>
      <c r="G181" s="3">
        <v>295</v>
      </c>
      <c r="H181" t="str">
        <f>"TRANSPORT/ W ADAMS JR"</f>
        <v>TRANSPORT/ W ADAMS JR</v>
      </c>
    </row>
    <row r="182" spans="1:8" x14ac:dyDescent="0.25">
      <c r="E182" t="str">
        <f>"2021226"</f>
        <v>2021226</v>
      </c>
      <c r="F182" t="str">
        <f>"TRANSPORT/J DEPAZ"</f>
        <v>TRANSPORT/J DEPAZ</v>
      </c>
      <c r="G182" s="3">
        <v>295</v>
      </c>
      <c r="H182" t="str">
        <f>"TRANSPORT/J DEPAZ"</f>
        <v>TRANSPORT/J DEPAZ</v>
      </c>
    </row>
    <row r="183" spans="1:8" x14ac:dyDescent="0.25">
      <c r="E183" t="str">
        <f>"2021227"</f>
        <v>2021227</v>
      </c>
      <c r="F183" t="str">
        <f>"TRANSPORT/ M BURT"</f>
        <v>TRANSPORT/ M BURT</v>
      </c>
      <c r="G183" s="3">
        <v>695</v>
      </c>
      <c r="H183" t="str">
        <f>"TRANSPORT/ M BURT"</f>
        <v>TRANSPORT/ M BURT</v>
      </c>
    </row>
    <row r="184" spans="1:8" x14ac:dyDescent="0.25">
      <c r="E184" t="str">
        <f>"2021228"</f>
        <v>2021228</v>
      </c>
      <c r="F184" t="str">
        <f>"TRANSPORT/N HARTMAN"</f>
        <v>TRANSPORT/N HARTMAN</v>
      </c>
      <c r="G184" s="3">
        <v>640</v>
      </c>
      <c r="H184" t="str">
        <f>"TRANSPORT/N HARTMAN"</f>
        <v>TRANSPORT/N HARTMAN</v>
      </c>
    </row>
    <row r="185" spans="1:8" x14ac:dyDescent="0.25">
      <c r="E185" t="str">
        <f>"2021231"</f>
        <v>2021231</v>
      </c>
      <c r="F185" t="str">
        <f>"TRANSPORT/SKELETAL REMAINS"</f>
        <v>TRANSPORT/SKELETAL REMAINS</v>
      </c>
      <c r="G185" s="3">
        <v>640</v>
      </c>
      <c r="H185" t="str">
        <f>"TRANSPORT/SKELETAL REMAINS"</f>
        <v>TRANSPORT/SKELETAL REMAINS</v>
      </c>
    </row>
    <row r="186" spans="1:8" x14ac:dyDescent="0.25">
      <c r="E186" t="str">
        <f>"2021234"</f>
        <v>2021234</v>
      </c>
      <c r="F186" t="str">
        <f>"TRANSPORT/R BILLELA JR"</f>
        <v>TRANSPORT/R BILLELA JR</v>
      </c>
      <c r="G186" s="3">
        <v>640</v>
      </c>
      <c r="H186" t="str">
        <f>"TRANSPORT/R BILLELA JR"</f>
        <v>TRANSPORT/R BILLELA JR</v>
      </c>
    </row>
    <row r="187" spans="1:8" x14ac:dyDescent="0.25">
      <c r="E187" t="str">
        <f>"2021235"</f>
        <v>2021235</v>
      </c>
      <c r="F187" t="str">
        <f>"TRANSPORT/ L DANIEL"</f>
        <v>TRANSPORT/ L DANIEL</v>
      </c>
      <c r="G187" s="3">
        <v>695</v>
      </c>
      <c r="H187" t="str">
        <f>"TRANSPORT/ L DANIEL"</f>
        <v>TRANSPORT/ L DANIEL</v>
      </c>
    </row>
    <row r="188" spans="1:8" x14ac:dyDescent="0.25">
      <c r="E188" t="str">
        <f>"2021237"</f>
        <v>2021237</v>
      </c>
      <c r="F188" t="str">
        <f>"TRANSPORT/M GREEN"</f>
        <v>TRANSPORT/M GREEN</v>
      </c>
      <c r="G188" s="3">
        <v>640</v>
      </c>
      <c r="H188" t="str">
        <f>"TRANSPORT/M GREEN"</f>
        <v>TRANSPORT/M GREEN</v>
      </c>
    </row>
    <row r="189" spans="1:8" x14ac:dyDescent="0.25">
      <c r="E189" t="str">
        <f>"2021238"</f>
        <v>2021238</v>
      </c>
      <c r="F189" t="str">
        <f>"TRANSPORT/J PACZKOWSKI"</f>
        <v>TRANSPORT/J PACZKOWSKI</v>
      </c>
      <c r="G189" s="3">
        <v>640</v>
      </c>
      <c r="H189" t="str">
        <f>"TRANSPORT/J PACZKOWSKI"</f>
        <v>TRANSPORT/J PACZKOWSKI</v>
      </c>
    </row>
    <row r="190" spans="1:8" x14ac:dyDescent="0.25">
      <c r="E190" t="str">
        <f>"2021239"</f>
        <v>2021239</v>
      </c>
      <c r="F190" t="str">
        <f>"TRANSPORT K ZUNIGA"</f>
        <v>TRANSPORT K ZUNIGA</v>
      </c>
      <c r="G190" s="3">
        <v>640</v>
      </c>
      <c r="H190" t="str">
        <f>"TRANSPORT K ZUNIGA"</f>
        <v>TRANSPORT K ZUNIGA</v>
      </c>
    </row>
    <row r="191" spans="1:8" x14ac:dyDescent="0.25">
      <c r="E191" t="str">
        <f>"2021240"</f>
        <v>2021240</v>
      </c>
      <c r="F191" t="str">
        <f>"TRANSPORT E BRAVO-GAONA"</f>
        <v>TRANSPORT E BRAVO-GAONA</v>
      </c>
      <c r="G191" s="3">
        <v>640</v>
      </c>
      <c r="H191" t="str">
        <f>"TRANSPORT E BRAVO-GAONA"</f>
        <v>TRANSPORT E BRAVO-GAONA</v>
      </c>
    </row>
    <row r="192" spans="1:8" x14ac:dyDescent="0.25">
      <c r="A192" t="s">
        <v>45</v>
      </c>
      <c r="B192">
        <v>5327</v>
      </c>
      <c r="C192" s="3">
        <v>210</v>
      </c>
      <c r="D192" s="6">
        <v>44509</v>
      </c>
      <c r="E192" t="str">
        <f>"202111026975"</f>
        <v>202111026975</v>
      </c>
      <c r="F192" t="str">
        <f>"OCTOBER BACKGROUND INVESTIGATI"</f>
        <v>OCTOBER BACKGROUND INVESTIGATI</v>
      </c>
      <c r="G192" s="3">
        <v>210</v>
      </c>
      <c r="H192" t="str">
        <f>"OCTOBER BACKGROUND INVESTIGATI"</f>
        <v>OCTOBER BACKGROUND INVESTIGATI</v>
      </c>
    </row>
    <row r="193" spans="1:8" x14ac:dyDescent="0.25">
      <c r="A193" t="s">
        <v>45</v>
      </c>
      <c r="B193">
        <v>5397</v>
      </c>
      <c r="C193" s="3">
        <v>1190</v>
      </c>
      <c r="D193" s="6">
        <v>44523</v>
      </c>
      <c r="E193" t="str">
        <f>"202111177214"</f>
        <v>202111177214</v>
      </c>
      <c r="F193" t="str">
        <f>"OCTOBER SERVICES"</f>
        <v>OCTOBER SERVICES</v>
      </c>
      <c r="G193" s="3">
        <v>315</v>
      </c>
      <c r="H193" t="str">
        <f>"OCTOBER SERV - LE"</f>
        <v>OCTOBER SERV - LE</v>
      </c>
    </row>
    <row r="194" spans="1:8" x14ac:dyDescent="0.25">
      <c r="E194" t="str">
        <f>""</f>
        <v/>
      </c>
      <c r="F194" t="str">
        <f>""</f>
        <v/>
      </c>
      <c r="G194" s="3">
        <v>875</v>
      </c>
      <c r="H194" t="str">
        <f>"OCTOBER SERV - JAIL"</f>
        <v>OCTOBER SERV - JAIL</v>
      </c>
    </row>
    <row r="195" spans="1:8" x14ac:dyDescent="0.25">
      <c r="A195" t="s">
        <v>46</v>
      </c>
      <c r="B195">
        <v>137723</v>
      </c>
      <c r="C195" s="3">
        <v>686</v>
      </c>
      <c r="D195" s="6">
        <v>44508</v>
      </c>
      <c r="E195" t="str">
        <f>"21CMI15753"</f>
        <v>21CMI15753</v>
      </c>
      <c r="F195" t="str">
        <f>"MENTAL CASE ACCOUNT - A. HISER"</f>
        <v>MENTAL CASE ACCOUNT - A. HISER</v>
      </c>
      <c r="G195" s="3">
        <v>686</v>
      </c>
      <c r="H195" t="str">
        <f>"MENTAL CASE ACCOUNT - A. HISER"</f>
        <v>MENTAL CASE ACCOUNT - A. HISER</v>
      </c>
    </row>
    <row r="196" spans="1:8" x14ac:dyDescent="0.25">
      <c r="A196" t="s">
        <v>47</v>
      </c>
      <c r="B196">
        <v>137724</v>
      </c>
      <c r="C196" s="3">
        <v>1866.21</v>
      </c>
      <c r="D196" s="6">
        <v>44508</v>
      </c>
      <c r="E196" t="str">
        <f>"76166479 76178728"</f>
        <v>76166479 76178728</v>
      </c>
      <c r="F196" t="str">
        <f>"INV 76166479  76178728"</f>
        <v>INV 76166479  76178728</v>
      </c>
      <c r="G196" s="3">
        <v>973.22</v>
      </c>
      <c r="H196" t="str">
        <f>"INV 76166479"</f>
        <v>INV 76166479</v>
      </c>
    </row>
    <row r="197" spans="1:8" x14ac:dyDescent="0.25">
      <c r="E197" t="str">
        <f>""</f>
        <v/>
      </c>
      <c r="F197" t="str">
        <f>""</f>
        <v/>
      </c>
      <c r="G197" s="3">
        <v>892.99</v>
      </c>
      <c r="H197" t="str">
        <f>"INV 76178728"</f>
        <v>INV 76178728</v>
      </c>
    </row>
    <row r="198" spans="1:8" x14ac:dyDescent="0.25">
      <c r="A198" t="s">
        <v>47</v>
      </c>
      <c r="B198">
        <v>138000</v>
      </c>
      <c r="C198" s="3">
        <v>1681.25</v>
      </c>
      <c r="D198" s="6">
        <v>44522</v>
      </c>
      <c r="E198" t="str">
        <f>"76186662 76196590"</f>
        <v>76186662 76196590</v>
      </c>
      <c r="F198" t="str">
        <f>"INV 76186662  76196590"</f>
        <v>INV 76186662  76196590</v>
      </c>
      <c r="G198" s="3">
        <v>831.07</v>
      </c>
      <c r="H198" t="str">
        <f>"INV 76186662"</f>
        <v>INV 76186662</v>
      </c>
    </row>
    <row r="199" spans="1:8" x14ac:dyDescent="0.25">
      <c r="E199" t="str">
        <f>""</f>
        <v/>
      </c>
      <c r="F199" t="str">
        <f>""</f>
        <v/>
      </c>
      <c r="G199" s="3">
        <v>850.18</v>
      </c>
      <c r="H199" t="str">
        <f>"INV 76196590"</f>
        <v>INV 76196590</v>
      </c>
    </row>
    <row r="200" spans="1:8" x14ac:dyDescent="0.25">
      <c r="A200" t="s">
        <v>48</v>
      </c>
      <c r="B200">
        <v>138001</v>
      </c>
      <c r="C200" s="3">
        <v>4256.92</v>
      </c>
      <c r="D200" s="6">
        <v>44522</v>
      </c>
      <c r="E200" t="str">
        <f>"202111107130"</f>
        <v>202111107130</v>
      </c>
      <c r="F200" t="str">
        <f>"ACCT#7110/PCT#3"</f>
        <v>ACCT#7110/PCT#3</v>
      </c>
      <c r="G200" s="3">
        <v>4256.92</v>
      </c>
      <c r="H200" t="str">
        <f>"ACCT#7110/PCT#3"</f>
        <v>ACCT#7110/PCT#3</v>
      </c>
    </row>
    <row r="201" spans="1:8" x14ac:dyDescent="0.25">
      <c r="A201" t="s">
        <v>49</v>
      </c>
      <c r="B201">
        <v>5377</v>
      </c>
      <c r="C201" s="3">
        <v>4010.23</v>
      </c>
      <c r="D201" s="6">
        <v>44509</v>
      </c>
      <c r="E201" t="str">
        <f>"25471"</f>
        <v>25471</v>
      </c>
      <c r="F201" t="str">
        <f>"INV 25471"</f>
        <v>INV 25471</v>
      </c>
      <c r="G201" s="3">
        <v>4010.23</v>
      </c>
      <c r="H201" t="str">
        <f>"INV 25471"</f>
        <v>INV 25471</v>
      </c>
    </row>
    <row r="202" spans="1:8" x14ac:dyDescent="0.25">
      <c r="A202" t="s">
        <v>50</v>
      </c>
      <c r="B202">
        <v>137725</v>
      </c>
      <c r="C202" s="3">
        <v>2195</v>
      </c>
      <c r="D202" s="6">
        <v>44508</v>
      </c>
      <c r="E202" t="str">
        <f>"69125"</f>
        <v>69125</v>
      </c>
      <c r="F202" t="str">
        <f>"Biddle Consulting Group"</f>
        <v>Biddle Consulting Group</v>
      </c>
      <c r="G202" s="3">
        <v>2195</v>
      </c>
      <c r="H202" t="str">
        <f>"CCAL-2"</f>
        <v>CCAL-2</v>
      </c>
    </row>
    <row r="203" spans="1:8" x14ac:dyDescent="0.25">
      <c r="A203" t="s">
        <v>51</v>
      </c>
      <c r="B203">
        <v>137726</v>
      </c>
      <c r="C203" s="3">
        <v>15004.89</v>
      </c>
      <c r="D203" s="6">
        <v>44508</v>
      </c>
      <c r="E203" t="str">
        <f>"S1281697"</f>
        <v>S1281697</v>
      </c>
      <c r="F203" t="str">
        <f>"CUST ID:C27986/PCT#4"</f>
        <v>CUST ID:C27986/PCT#4</v>
      </c>
      <c r="G203" s="3">
        <v>10407.06</v>
      </c>
      <c r="H203" t="str">
        <f>"CUST ID:C27986/PCT#4"</f>
        <v>CUST ID:C27986/PCT#4</v>
      </c>
    </row>
    <row r="204" spans="1:8" x14ac:dyDescent="0.25">
      <c r="E204" t="str">
        <f>"S1282473"</f>
        <v>S1282473</v>
      </c>
      <c r="F204" t="str">
        <f>"CUST ID:C27986"</f>
        <v>CUST ID:C27986</v>
      </c>
      <c r="G204" s="3">
        <v>4597.83</v>
      </c>
      <c r="H204" t="str">
        <f>"CUST ID:C27986"</f>
        <v>CUST ID:C27986</v>
      </c>
    </row>
    <row r="205" spans="1:8" x14ac:dyDescent="0.25">
      <c r="A205" t="s">
        <v>51</v>
      </c>
      <c r="B205">
        <v>138002</v>
      </c>
      <c r="C205" s="3">
        <v>3712.32</v>
      </c>
      <c r="D205" s="6">
        <v>44522</v>
      </c>
      <c r="E205" t="str">
        <f>"51282461"</f>
        <v>51282461</v>
      </c>
      <c r="F205" t="str">
        <f>"CUST ID C27762 PCT2"</f>
        <v>CUST ID C27762 PCT2</v>
      </c>
      <c r="G205" s="3">
        <v>667.44</v>
      </c>
      <c r="H205" t="str">
        <f>"CUST ID C27762 PCT2"</f>
        <v>CUST ID C27762 PCT2</v>
      </c>
    </row>
    <row r="206" spans="1:8" x14ac:dyDescent="0.25">
      <c r="E206" t="str">
        <f>"51283199"</f>
        <v>51283199</v>
      </c>
      <c r="F206" t="str">
        <f>"FLEX MATERIAL PCT4"</f>
        <v>FLEX MATERIAL PCT4</v>
      </c>
      <c r="G206" s="3">
        <v>3044.88</v>
      </c>
      <c r="H206" t="str">
        <f>"FLEX MATERIAL PCT4"</f>
        <v>FLEX MATERIAL PCT4</v>
      </c>
    </row>
    <row r="207" spans="1:8" x14ac:dyDescent="0.25">
      <c r="A207" t="s">
        <v>52</v>
      </c>
      <c r="B207">
        <v>5346</v>
      </c>
      <c r="C207" s="3">
        <v>1085.3</v>
      </c>
      <c r="D207" s="6">
        <v>44509</v>
      </c>
      <c r="E207" t="str">
        <f>"6389"</f>
        <v>6389</v>
      </c>
      <c r="F207" t="str">
        <f>"2017 INTL/PCT#1"</f>
        <v>2017 INTL/PCT#1</v>
      </c>
      <c r="G207" s="3">
        <v>490.15</v>
      </c>
      <c r="H207" t="str">
        <f>"2017 INTL/PCT#1"</f>
        <v>2017 INTL/PCT#1</v>
      </c>
    </row>
    <row r="208" spans="1:8" x14ac:dyDescent="0.25">
      <c r="E208" t="str">
        <f>"6390"</f>
        <v>6390</v>
      </c>
      <c r="F208" t="str">
        <f>"2017 INTL/PCT#1"</f>
        <v>2017 INTL/PCT#1</v>
      </c>
      <c r="G208" s="3">
        <v>490.15</v>
      </c>
      <c r="H208" t="str">
        <f>"2017 INTL/PCT#1"</f>
        <v>2017 INTL/PCT#1</v>
      </c>
    </row>
    <row r="209" spans="1:8" x14ac:dyDescent="0.25">
      <c r="E209" t="str">
        <f>"6393"</f>
        <v>6393</v>
      </c>
      <c r="F209" t="str">
        <f>"2004 FORD/PCT#4"</f>
        <v>2004 FORD/PCT#4</v>
      </c>
      <c r="G209" s="3">
        <v>105</v>
      </c>
      <c r="H209" t="str">
        <f>"2004 FORD/PCT#4"</f>
        <v>2004 FORD/PCT#4</v>
      </c>
    </row>
    <row r="210" spans="1:8" x14ac:dyDescent="0.25">
      <c r="A210" t="s">
        <v>53</v>
      </c>
      <c r="B210">
        <v>5398</v>
      </c>
      <c r="C210" s="3">
        <v>600</v>
      </c>
      <c r="D210" s="6">
        <v>44523</v>
      </c>
      <c r="E210" t="str">
        <f>"202111107099"</f>
        <v>202111107099</v>
      </c>
      <c r="F210" t="str">
        <f>"423-6341"</f>
        <v>423-6341</v>
      </c>
      <c r="G210" s="3">
        <v>600</v>
      </c>
      <c r="H210" t="str">
        <f>"423-6341"</f>
        <v>423-6341</v>
      </c>
    </row>
    <row r="211" spans="1:8" x14ac:dyDescent="0.25">
      <c r="A211" t="s">
        <v>54</v>
      </c>
      <c r="B211">
        <v>137727</v>
      </c>
      <c r="C211" s="3">
        <v>586.79999999999995</v>
      </c>
      <c r="D211" s="6">
        <v>44508</v>
      </c>
      <c r="E211" t="str">
        <f>"84048401215"</f>
        <v>84048401215</v>
      </c>
      <c r="F211" t="str">
        <f>"INV 84048401215  84048401"</f>
        <v>INV 84048401215  84048401</v>
      </c>
      <c r="G211" s="3">
        <v>332.52</v>
      </c>
      <c r="H211" t="str">
        <f>"INV 84048401215"</f>
        <v>INV 84048401215</v>
      </c>
    </row>
    <row r="212" spans="1:8" x14ac:dyDescent="0.25">
      <c r="E212" t="str">
        <f>""</f>
        <v/>
      </c>
      <c r="F212" t="str">
        <f>""</f>
        <v/>
      </c>
      <c r="G212" s="3">
        <v>254.28</v>
      </c>
      <c r="H212" t="str">
        <f>"INV 84048401266"</f>
        <v>INV 84048401266</v>
      </c>
    </row>
    <row r="213" spans="1:8" x14ac:dyDescent="0.25">
      <c r="A213" t="s">
        <v>54</v>
      </c>
      <c r="B213">
        <v>138003</v>
      </c>
      <c r="C213" s="3">
        <v>613.32000000000005</v>
      </c>
      <c r="D213" s="6">
        <v>44522</v>
      </c>
      <c r="E213" t="str">
        <f>"84048401329"</f>
        <v>84048401329</v>
      </c>
      <c r="F213" t="str">
        <f>"INV 84048401329  84048401"</f>
        <v>INV 84048401329  84048401</v>
      </c>
      <c r="G213" s="3">
        <v>280.8</v>
      </c>
      <c r="H213" t="str">
        <f>"INV 84048401329"</f>
        <v>INV 84048401329</v>
      </c>
    </row>
    <row r="214" spans="1:8" x14ac:dyDescent="0.25">
      <c r="E214" t="str">
        <f>""</f>
        <v/>
      </c>
      <c r="F214" t="str">
        <f>""</f>
        <v/>
      </c>
      <c r="G214" s="3">
        <v>332.52</v>
      </c>
      <c r="H214" t="str">
        <f>"INV 84048401394"</f>
        <v>INV 84048401394</v>
      </c>
    </row>
    <row r="215" spans="1:8" x14ac:dyDescent="0.25">
      <c r="A215" t="s">
        <v>55</v>
      </c>
      <c r="B215">
        <v>137872</v>
      </c>
      <c r="C215" s="3">
        <v>3587.93</v>
      </c>
      <c r="D215" s="6">
        <v>44510</v>
      </c>
      <c r="E215" t="str">
        <f>"202111107117"</f>
        <v>202111107117</v>
      </c>
      <c r="F215" t="str">
        <f>"ACCT#5000057374 / 11032021"</f>
        <v>ACCT#5000057374 / 11032021</v>
      </c>
      <c r="G215" s="3">
        <v>862.82</v>
      </c>
      <c r="H215" t="str">
        <f>"ACCT#5000057374 / 11032021"</f>
        <v>ACCT#5000057374 / 11032021</v>
      </c>
    </row>
    <row r="216" spans="1:8" x14ac:dyDescent="0.25">
      <c r="E216" t="str">
        <f>""</f>
        <v/>
      </c>
      <c r="F216" t="str">
        <f>""</f>
        <v/>
      </c>
      <c r="G216" s="3">
        <v>1716.96</v>
      </c>
      <c r="H216" t="str">
        <f>"ACCT#5000057374 / 11032021"</f>
        <v>ACCT#5000057374 / 11032021</v>
      </c>
    </row>
    <row r="217" spans="1:8" x14ac:dyDescent="0.25">
      <c r="E217" t="str">
        <f>""</f>
        <v/>
      </c>
      <c r="F217" t="str">
        <f>""</f>
        <v/>
      </c>
      <c r="G217" s="3">
        <v>451.66</v>
      </c>
      <c r="H217" t="str">
        <f>"ACCT#5000057374 / 11032021"</f>
        <v>ACCT#5000057374 / 11032021</v>
      </c>
    </row>
    <row r="218" spans="1:8" x14ac:dyDescent="0.25">
      <c r="E218" t="str">
        <f>""</f>
        <v/>
      </c>
      <c r="F218" t="str">
        <f>""</f>
        <v/>
      </c>
      <c r="G218" s="3">
        <v>368.09</v>
      </c>
      <c r="H218" t="str">
        <f>"ACCT#5000057374 / 11032021"</f>
        <v>ACCT#5000057374 / 11032021</v>
      </c>
    </row>
    <row r="219" spans="1:8" x14ac:dyDescent="0.25">
      <c r="E219" t="str">
        <f>"202111107119"</f>
        <v>202111107119</v>
      </c>
      <c r="F219" t="str">
        <f>"ACCT#55000090397 / 11012021"</f>
        <v>ACCT#55000090397 / 11012021</v>
      </c>
      <c r="G219" s="3">
        <v>188.4</v>
      </c>
      <c r="H219" t="str">
        <f>"BLUEBONNET ELECTRIC COOPERATIV"</f>
        <v>BLUEBONNET ELECTRIC COOPERATIV</v>
      </c>
    </row>
    <row r="220" spans="1:8" x14ac:dyDescent="0.25">
      <c r="A220" t="s">
        <v>56</v>
      </c>
      <c r="B220">
        <v>5383</v>
      </c>
      <c r="C220" s="3">
        <v>30965.03</v>
      </c>
      <c r="D220" s="6">
        <v>44509</v>
      </c>
      <c r="E220" t="str">
        <f>"202111016729"</f>
        <v>202111016729</v>
      </c>
      <c r="F220" t="str">
        <f>"GRANT REIMBURSEMENT"</f>
        <v>GRANT REIMBURSEMENT</v>
      </c>
      <c r="G220" s="3">
        <v>30965.03</v>
      </c>
      <c r="H220" t="str">
        <f>"GRANT REIMBURSEMENT"</f>
        <v>GRANT REIMBURSEMENT</v>
      </c>
    </row>
    <row r="221" spans="1:8" x14ac:dyDescent="0.25">
      <c r="A221" t="s">
        <v>56</v>
      </c>
      <c r="B221">
        <v>5460</v>
      </c>
      <c r="C221" s="3">
        <v>27393.69</v>
      </c>
      <c r="D221" s="6">
        <v>44523</v>
      </c>
      <c r="E221" t="str">
        <f>"202111167169"</f>
        <v>202111167169</v>
      </c>
      <c r="F221" t="str">
        <f>"GRANT REIMBURSMENT"</f>
        <v>GRANT REIMBURSMENT</v>
      </c>
      <c r="G221" s="3">
        <v>26493.69</v>
      </c>
      <c r="H221" t="str">
        <f>"GRANT REIMBURSMENT"</f>
        <v>GRANT REIMBURSMENT</v>
      </c>
    </row>
    <row r="222" spans="1:8" x14ac:dyDescent="0.25">
      <c r="E222" t="str">
        <f>"25102021"</f>
        <v>25102021</v>
      </c>
      <c r="F222" t="str">
        <f>"INV 25102021"</f>
        <v>INV 25102021</v>
      </c>
      <c r="G222" s="3">
        <v>900</v>
      </c>
      <c r="H222" t="str">
        <f>"INV 25102021"</f>
        <v>INV 25102021</v>
      </c>
    </row>
    <row r="223" spans="1:8" x14ac:dyDescent="0.25">
      <c r="A223" t="s">
        <v>57</v>
      </c>
      <c r="B223">
        <v>138004</v>
      </c>
      <c r="C223" s="3">
        <v>3607.5</v>
      </c>
      <c r="D223" s="6">
        <v>44522</v>
      </c>
      <c r="E223" t="str">
        <f>"1681465"</f>
        <v>1681465</v>
      </c>
      <c r="F223" t="str">
        <f>"INV1681465"</f>
        <v>INV1681465</v>
      </c>
      <c r="G223" s="3">
        <v>2941.95</v>
      </c>
      <c r="H223" t="str">
        <f>"INV1681465"</f>
        <v>INV1681465</v>
      </c>
    </row>
    <row r="224" spans="1:8" x14ac:dyDescent="0.25">
      <c r="E224" t="str">
        <f>""</f>
        <v/>
      </c>
      <c r="F224" t="str">
        <f>""</f>
        <v/>
      </c>
      <c r="G224" s="3">
        <v>78.3</v>
      </c>
      <c r="H224" t="str">
        <f>"INV1685897"</f>
        <v>INV1685897</v>
      </c>
    </row>
    <row r="225" spans="1:8" x14ac:dyDescent="0.25">
      <c r="E225" t="str">
        <f>""</f>
        <v/>
      </c>
      <c r="F225" t="str">
        <f>""</f>
        <v/>
      </c>
      <c r="G225" s="3">
        <v>548.1</v>
      </c>
      <c r="H225" t="str">
        <f>"INV1681988"</f>
        <v>INV1681988</v>
      </c>
    </row>
    <row r="226" spans="1:8" x14ac:dyDescent="0.25">
      <c r="E226" t="str">
        <f>""</f>
        <v/>
      </c>
      <c r="F226" t="str">
        <f>""</f>
        <v/>
      </c>
      <c r="G226" s="3">
        <v>39.15</v>
      </c>
      <c r="H226" t="str">
        <f>"INV1689653"</f>
        <v>INV1689653</v>
      </c>
    </row>
    <row r="227" spans="1:8" x14ac:dyDescent="0.25">
      <c r="A227" t="s">
        <v>58</v>
      </c>
      <c r="B227">
        <v>137728</v>
      </c>
      <c r="C227" s="3">
        <v>60</v>
      </c>
      <c r="D227" s="6">
        <v>44508</v>
      </c>
      <c r="E227" t="str">
        <f>"202111016869"</f>
        <v>202111016869</v>
      </c>
      <c r="F227" t="str">
        <f>"FERAL HOGS"</f>
        <v>FERAL HOGS</v>
      </c>
      <c r="G227" s="3">
        <v>60</v>
      </c>
      <c r="H227" t="str">
        <f>"FERAL HOGS"</f>
        <v>FERAL HOGS</v>
      </c>
    </row>
    <row r="228" spans="1:8" x14ac:dyDescent="0.25">
      <c r="A228" t="s">
        <v>59</v>
      </c>
      <c r="B228">
        <v>137729</v>
      </c>
      <c r="C228" s="3">
        <v>200</v>
      </c>
      <c r="D228" s="6">
        <v>44508</v>
      </c>
      <c r="E228" t="str">
        <f>"202111016870"</f>
        <v>202111016870</v>
      </c>
      <c r="F228" t="str">
        <f>"FERAL HOGS"</f>
        <v>FERAL HOGS</v>
      </c>
      <c r="G228" s="3">
        <v>200</v>
      </c>
      <c r="H228" t="str">
        <f>"FERAL HOGS"</f>
        <v>FERAL HOGS</v>
      </c>
    </row>
    <row r="229" spans="1:8" x14ac:dyDescent="0.25">
      <c r="A229" t="s">
        <v>60</v>
      </c>
      <c r="B229">
        <v>138005</v>
      </c>
      <c r="C229" s="3">
        <v>449.03</v>
      </c>
      <c r="D229" s="6">
        <v>44522</v>
      </c>
      <c r="E229" t="str">
        <f>"CT200424"</f>
        <v>CT200424</v>
      </c>
      <c r="F229" t="str">
        <f>"CUST ID:B02137/PCT#3"</f>
        <v>CUST ID:B02137/PCT#3</v>
      </c>
      <c r="G229" s="3">
        <v>449.03</v>
      </c>
      <c r="H229" t="str">
        <f>"CUST ID:B02137/PCT#3"</f>
        <v>CUST ID:B02137/PCT#3</v>
      </c>
    </row>
    <row r="230" spans="1:8" x14ac:dyDescent="0.25">
      <c r="A230" t="s">
        <v>61</v>
      </c>
      <c r="B230">
        <v>137730</v>
      </c>
      <c r="C230" s="3">
        <v>47843.27</v>
      </c>
      <c r="D230" s="6">
        <v>44508</v>
      </c>
      <c r="E230" t="str">
        <f>"128632"</f>
        <v>128632</v>
      </c>
      <c r="F230" t="str">
        <f>"ACCT#1268/PRECOAT/PCT#3"</f>
        <v>ACCT#1268/PRECOAT/PCT#3</v>
      </c>
      <c r="G230" s="3">
        <v>24264.04</v>
      </c>
      <c r="H230" t="str">
        <f>"ACCT#1268/PRECOAT/PCT#3"</f>
        <v>ACCT#1268/PRECOAT/PCT#3</v>
      </c>
    </row>
    <row r="231" spans="1:8" x14ac:dyDescent="0.25">
      <c r="E231" t="str">
        <f>"128633"</f>
        <v>128633</v>
      </c>
      <c r="F231" t="str">
        <f>"ACCT#1268/COMM BASE/PCT#3"</f>
        <v>ACCT#1268/COMM BASE/PCT#3</v>
      </c>
      <c r="G231" s="3">
        <v>518</v>
      </c>
      <c r="H231" t="str">
        <f>"ACCT#1268/COMM BASE/PCT#3"</f>
        <v>ACCT#1268/COMM BASE/PCT#3</v>
      </c>
    </row>
    <row r="232" spans="1:8" x14ac:dyDescent="0.25">
      <c r="E232" t="str">
        <f>"128947"</f>
        <v>128947</v>
      </c>
      <c r="F232" t="str">
        <f>"ACCT#1268/PCT#3"</f>
        <v>ACCT#1268/PCT#3</v>
      </c>
      <c r="G232" s="3">
        <v>22960.799999999999</v>
      </c>
      <c r="H232" t="str">
        <f>"ACCT#1268/PCT#3"</f>
        <v>ACCT#1268/PCT#3</v>
      </c>
    </row>
    <row r="233" spans="1:8" x14ac:dyDescent="0.25">
      <c r="E233" t="str">
        <f>"128948"</f>
        <v>128948</v>
      </c>
      <c r="F233" t="str">
        <f>"ACCT#1268/PCT#3"</f>
        <v>ACCT#1268/PCT#3</v>
      </c>
      <c r="G233" s="3">
        <v>100.43</v>
      </c>
      <c r="H233" t="str">
        <f>"ACCT#1268/PCT#3"</f>
        <v>ACCT#1268/PCT#3</v>
      </c>
    </row>
    <row r="234" spans="1:8" x14ac:dyDescent="0.25">
      <c r="A234" t="s">
        <v>61</v>
      </c>
      <c r="B234">
        <v>138006</v>
      </c>
      <c r="C234" s="3">
        <v>879.16</v>
      </c>
      <c r="D234" s="6">
        <v>44522</v>
      </c>
      <c r="E234" t="str">
        <f>"129216"</f>
        <v>129216</v>
      </c>
      <c r="F234" t="str">
        <f>"ACCT#1268 PCT3"</f>
        <v>ACCT#1268 PCT3</v>
      </c>
      <c r="G234" s="3">
        <v>393.81</v>
      </c>
      <c r="H234" t="str">
        <f>"ACCT#1268 PCT3"</f>
        <v>ACCT#1268 PCT3</v>
      </c>
    </row>
    <row r="235" spans="1:8" x14ac:dyDescent="0.25">
      <c r="E235" t="str">
        <f>"129485"</f>
        <v>129485</v>
      </c>
      <c r="F235" t="str">
        <f>"ACCT#1268/COMM BASE/PCT#3"</f>
        <v>ACCT#1268/COMM BASE/PCT#3</v>
      </c>
      <c r="G235" s="3">
        <v>485.35</v>
      </c>
      <c r="H235" t="str">
        <f>"ACCT#1268/COMM BASE/PCT#3"</f>
        <v>ACCT#1268/COMM BASE/PCT#3</v>
      </c>
    </row>
    <row r="236" spans="1:8" x14ac:dyDescent="0.25">
      <c r="A236" t="s">
        <v>62</v>
      </c>
      <c r="B236">
        <v>5388</v>
      </c>
      <c r="C236" s="3">
        <v>250</v>
      </c>
      <c r="D236" s="6">
        <v>44509</v>
      </c>
      <c r="E236" t="str">
        <f>"202110286722"</f>
        <v>202110286722</v>
      </c>
      <c r="F236" t="str">
        <f>"CC20200815-B/925 357 9544 A001"</f>
        <v>CC20200815-B/925 357 9544 A001</v>
      </c>
      <c r="G236" s="3">
        <v>250</v>
      </c>
      <c r="H236" t="str">
        <f>"CC20200815-B/925 357 9544 A001"</f>
        <v>CC20200815-B/925 357 9544 A001</v>
      </c>
    </row>
    <row r="237" spans="1:8" x14ac:dyDescent="0.25">
      <c r="A237" t="s">
        <v>63</v>
      </c>
      <c r="B237">
        <v>137731</v>
      </c>
      <c r="C237" s="3">
        <v>75</v>
      </c>
      <c r="D237" s="6">
        <v>44508</v>
      </c>
      <c r="E237" t="str">
        <f>"21-20969"</f>
        <v>21-20969</v>
      </c>
      <c r="F237" t="str">
        <f>"CENTRAL ADOPTION REGISTRY FUND"</f>
        <v>CENTRAL ADOPTION REGISTRY FUND</v>
      </c>
      <c r="G237" s="3">
        <v>15</v>
      </c>
      <c r="H237" t="str">
        <f>"CENTRAL ADOPTION REGISTRY FUND"</f>
        <v>CENTRAL ADOPTION REGISTRY FUND</v>
      </c>
    </row>
    <row r="238" spans="1:8" x14ac:dyDescent="0.25">
      <c r="E238" t="str">
        <f>"423-8152"</f>
        <v>423-8152</v>
      </c>
      <c r="F238" t="str">
        <f>"CAR FUND"</f>
        <v>CAR FUND</v>
      </c>
      <c r="G238" s="3">
        <v>15</v>
      </c>
      <c r="H238" t="str">
        <f>"CAR FUND"</f>
        <v>CAR FUND</v>
      </c>
    </row>
    <row r="239" spans="1:8" x14ac:dyDescent="0.25">
      <c r="E239" t="str">
        <f>"423-8159"</f>
        <v>423-8159</v>
      </c>
      <c r="F239" t="str">
        <f>"CENTRAL ADOPTION REGISTRY FUND"</f>
        <v>CENTRAL ADOPTION REGISTRY FUND</v>
      </c>
      <c r="G239" s="3">
        <v>15</v>
      </c>
      <c r="H239" t="str">
        <f>"CENTRAL ADOPTION REGISTRY FUND"</f>
        <v>CENTRAL ADOPTION REGISTRY FUND</v>
      </c>
    </row>
    <row r="240" spans="1:8" x14ac:dyDescent="0.25">
      <c r="E240" t="str">
        <f>"423-8165"</f>
        <v>423-8165</v>
      </c>
      <c r="F240" t="str">
        <f>"CAR FUND"</f>
        <v>CAR FUND</v>
      </c>
      <c r="G240" s="3">
        <v>15</v>
      </c>
      <c r="H240" t="str">
        <f>"CAR FUND"</f>
        <v>CAR FUND</v>
      </c>
    </row>
    <row r="241" spans="1:8" x14ac:dyDescent="0.25">
      <c r="E241" t="str">
        <f>"423-8169"</f>
        <v>423-8169</v>
      </c>
      <c r="F241" t="str">
        <f>"CENTRAL ADOPTION REGISTRY FUND"</f>
        <v>CENTRAL ADOPTION REGISTRY FUND</v>
      </c>
      <c r="G241" s="3">
        <v>15</v>
      </c>
      <c r="H241" t="str">
        <f>"CENTRAL ADOPTION REGISTRY FUND"</f>
        <v>CENTRAL ADOPTION REGISTRY FUND</v>
      </c>
    </row>
    <row r="242" spans="1:8" x14ac:dyDescent="0.25">
      <c r="A242" t="s">
        <v>63</v>
      </c>
      <c r="B242">
        <v>138007</v>
      </c>
      <c r="C242" s="3">
        <v>30</v>
      </c>
      <c r="D242" s="6">
        <v>44522</v>
      </c>
      <c r="E242" t="str">
        <f>"21-20992"</f>
        <v>21-20992</v>
      </c>
      <c r="F242" t="str">
        <f>"CENTRAL ADOPTION RGISTRY FUND"</f>
        <v>CENTRAL ADOPTION RGISTRY FUND</v>
      </c>
      <c r="G242" s="3">
        <v>15</v>
      </c>
      <c r="H242" t="str">
        <f>"CENTRAL ADOPTION RGISTRY FUND"</f>
        <v>CENTRAL ADOPTION RGISTRY FUND</v>
      </c>
    </row>
    <row r="243" spans="1:8" x14ac:dyDescent="0.25">
      <c r="E243" t="str">
        <f>"21-20993"</f>
        <v>21-20993</v>
      </c>
      <c r="F243" t="str">
        <f>"CENTRAL ADOPTION REGISTRY FUND"</f>
        <v>CENTRAL ADOPTION REGISTRY FUND</v>
      </c>
      <c r="G243" s="3">
        <v>15</v>
      </c>
      <c r="H243" t="str">
        <f>"CENTRAL ADOPTION REGISTRY FUND"</f>
        <v>CENTRAL ADOPTION REGISTRY FUND</v>
      </c>
    </row>
    <row r="244" spans="1:8" x14ac:dyDescent="0.25">
      <c r="A244" t="s">
        <v>64</v>
      </c>
      <c r="B244">
        <v>137732</v>
      </c>
      <c r="C244" s="3">
        <v>100</v>
      </c>
      <c r="D244" s="6">
        <v>44508</v>
      </c>
      <c r="E244" t="str">
        <f>"202111016873"</f>
        <v>202111016873</v>
      </c>
      <c r="F244" t="str">
        <f>"FERAL HOGS"</f>
        <v>FERAL HOGS</v>
      </c>
      <c r="G244" s="3">
        <v>100</v>
      </c>
      <c r="H244" t="str">
        <f>"FERAL HOGS"</f>
        <v>FERAL HOGS</v>
      </c>
    </row>
    <row r="245" spans="1:8" x14ac:dyDescent="0.25">
      <c r="A245" t="s">
        <v>65</v>
      </c>
      <c r="B245">
        <v>137733</v>
      </c>
      <c r="C245" s="3">
        <v>25.52</v>
      </c>
      <c r="D245" s="6">
        <v>44508</v>
      </c>
      <c r="E245" t="str">
        <f>"2021PS 279"</f>
        <v>2021PS 279</v>
      </c>
      <c r="F245" t="str">
        <f>"DATA/DIFF PD BY CAECD"</f>
        <v>DATA/DIFF PD BY CAECD</v>
      </c>
      <c r="G245" s="3">
        <v>25.52</v>
      </c>
      <c r="H245" t="str">
        <f>"DATA/DIFF PD BY CAECD"</f>
        <v>DATA/DIFF PD BY CAECD</v>
      </c>
    </row>
    <row r="246" spans="1:8" x14ac:dyDescent="0.25">
      <c r="A246" t="s">
        <v>66</v>
      </c>
      <c r="B246">
        <v>5368</v>
      </c>
      <c r="C246" s="3">
        <v>121.62</v>
      </c>
      <c r="D246" s="6">
        <v>44509</v>
      </c>
      <c r="E246" t="str">
        <f>"01827206"</f>
        <v>01827206</v>
      </c>
      <c r="F246" t="str">
        <f>"ACCT#000690/HYDRANT/PCT#4"</f>
        <v>ACCT#000690/HYDRANT/PCT#4</v>
      </c>
      <c r="G246" s="3">
        <v>121.62</v>
      </c>
      <c r="H246" t="str">
        <f>"ACCT#000690/HYDRANT/PCT#4"</f>
        <v>ACCT#000690/HYDRANT/PCT#4</v>
      </c>
    </row>
    <row r="247" spans="1:8" x14ac:dyDescent="0.25">
      <c r="A247" t="s">
        <v>66</v>
      </c>
      <c r="B247">
        <v>5441</v>
      </c>
      <c r="C247" s="3">
        <v>289.12</v>
      </c>
      <c r="D247" s="6">
        <v>44523</v>
      </c>
      <c r="E247" t="str">
        <f>"01827232"</f>
        <v>01827232</v>
      </c>
      <c r="F247" t="str">
        <f>"ORDER #01435312 PCT#1"</f>
        <v>ORDER #01435312 PCT#1</v>
      </c>
      <c r="G247" s="3">
        <v>197.61</v>
      </c>
      <c r="H247" t="str">
        <f>"ORDER #01435312 PCT#1"</f>
        <v>ORDER #01435312 PCT#1</v>
      </c>
    </row>
    <row r="248" spans="1:8" x14ac:dyDescent="0.25">
      <c r="E248" t="str">
        <f>"01827288"</f>
        <v>01827288</v>
      </c>
      <c r="F248" t="str">
        <f>"ORDER #01435314 PCT4"</f>
        <v>ORDER #01435314 PCT4</v>
      </c>
      <c r="G248" s="3">
        <v>91.51</v>
      </c>
      <c r="H248" t="str">
        <f>"ORDER #01435314 PCT4"</f>
        <v>ORDER #01435314 PCT4</v>
      </c>
    </row>
    <row r="249" spans="1:8" x14ac:dyDescent="0.25">
      <c r="A249" t="s">
        <v>67</v>
      </c>
      <c r="B249">
        <v>1426</v>
      </c>
      <c r="C249" s="3">
        <v>25.57</v>
      </c>
      <c r="D249" s="6">
        <v>44522</v>
      </c>
      <c r="E249" t="str">
        <f>"202111177216"</f>
        <v>202111177216</v>
      </c>
      <c r="F249" t="str">
        <f>"Statement"</f>
        <v>Statement</v>
      </c>
      <c r="G249" s="3">
        <v>56.69</v>
      </c>
      <c r="H249" t="str">
        <f>"fun town rv"</f>
        <v>fun town rv</v>
      </c>
    </row>
    <row r="250" spans="1:8" x14ac:dyDescent="0.25">
      <c r="E250" t="str">
        <f>""</f>
        <v/>
      </c>
      <c r="F250" t="str">
        <f>""</f>
        <v/>
      </c>
      <c r="G250" s="3">
        <v>30.6</v>
      </c>
      <c r="H250" t="str">
        <f>"bucees"</f>
        <v>bucees</v>
      </c>
    </row>
    <row r="251" spans="1:8" x14ac:dyDescent="0.25">
      <c r="E251" t="str">
        <f>""</f>
        <v/>
      </c>
      <c r="F251" t="str">
        <f>""</f>
        <v/>
      </c>
      <c r="G251" s="3">
        <v>18</v>
      </c>
      <c r="H251" t="str">
        <f>"pokejos"</f>
        <v>pokejos</v>
      </c>
    </row>
    <row r="252" spans="1:8" x14ac:dyDescent="0.25">
      <c r="E252" t="str">
        <f>""</f>
        <v/>
      </c>
      <c r="F252" t="str">
        <f>""</f>
        <v/>
      </c>
      <c r="G252" s="3">
        <v>18</v>
      </c>
      <c r="H252" t="str">
        <f>"pokejos"</f>
        <v>pokejos</v>
      </c>
    </row>
    <row r="253" spans="1:8" x14ac:dyDescent="0.25">
      <c r="E253" t="str">
        <f>""</f>
        <v/>
      </c>
      <c r="F253" t="str">
        <f>""</f>
        <v/>
      </c>
      <c r="G253" s="3">
        <v>322.18</v>
      </c>
      <c r="H253" t="str">
        <f>"walmart"</f>
        <v>walmart</v>
      </c>
    </row>
    <row r="254" spans="1:8" x14ac:dyDescent="0.25">
      <c r="E254" t="str">
        <f>""</f>
        <v/>
      </c>
      <c r="F254" t="str">
        <f>""</f>
        <v/>
      </c>
      <c r="G254" s="3">
        <v>-419.9</v>
      </c>
      <c r="H254" t="str">
        <f>"gt distributors"</f>
        <v>gt distributors</v>
      </c>
    </row>
    <row r="255" spans="1:8" x14ac:dyDescent="0.25">
      <c r="A255" t="s">
        <v>68</v>
      </c>
      <c r="B255">
        <v>138008</v>
      </c>
      <c r="C255" s="3">
        <v>2156.25</v>
      </c>
      <c r="D255" s="6">
        <v>44522</v>
      </c>
      <c r="E255" t="str">
        <f>"4"</f>
        <v>4</v>
      </c>
      <c r="F255" t="str">
        <f>"REIMB HOURS/TRAVEL OCT'21"</f>
        <v>REIMB HOURS/TRAVEL OCT'21</v>
      </c>
      <c r="G255" s="3">
        <v>2156.25</v>
      </c>
      <c r="H255" t="str">
        <f>"REIMB HOURS/TRAVEL OCT'21"</f>
        <v>REIMB HOURS/TRAVEL OCT'21</v>
      </c>
    </row>
    <row r="256" spans="1:8" x14ac:dyDescent="0.25">
      <c r="A256" t="s">
        <v>69</v>
      </c>
      <c r="B256">
        <v>137734</v>
      </c>
      <c r="C256" s="3">
        <v>557.5</v>
      </c>
      <c r="D256" s="6">
        <v>44508</v>
      </c>
      <c r="E256" t="str">
        <f>"202110276697"</f>
        <v>202110276697</v>
      </c>
      <c r="F256" t="str">
        <f>"19-19887"</f>
        <v>19-19887</v>
      </c>
      <c r="G256" s="3">
        <v>557.5</v>
      </c>
      <c r="H256" t="str">
        <f>"19-19887"</f>
        <v>19-19887</v>
      </c>
    </row>
    <row r="257" spans="1:8" x14ac:dyDescent="0.25">
      <c r="A257" t="s">
        <v>70</v>
      </c>
      <c r="B257">
        <v>5382</v>
      </c>
      <c r="C257" s="3">
        <v>2298.12</v>
      </c>
      <c r="D257" s="6">
        <v>44509</v>
      </c>
      <c r="E257" t="str">
        <f>"M312982"</f>
        <v>M312982</v>
      </c>
      <c r="F257" t="str">
        <f>"HP LaserJet"</f>
        <v>HP LaserJet</v>
      </c>
      <c r="G257" s="3">
        <v>817.64</v>
      </c>
      <c r="H257" t="str">
        <f>"HP LaserJet"</f>
        <v>HP LaserJet</v>
      </c>
    </row>
    <row r="258" spans="1:8" x14ac:dyDescent="0.25">
      <c r="E258" t="str">
        <f>"M329204"</f>
        <v>M329204</v>
      </c>
      <c r="F258" t="str">
        <f>"APC Smart-UPS SC"</f>
        <v>APC Smart-UPS SC</v>
      </c>
      <c r="G258" s="3">
        <v>758.08</v>
      </c>
      <c r="H258" t="str">
        <f>"APC Smart-UPS SC"</f>
        <v>APC Smart-UPS SC</v>
      </c>
    </row>
    <row r="259" spans="1:8" x14ac:dyDescent="0.25">
      <c r="E259" t="str">
        <f>"M380643"</f>
        <v>M380643</v>
      </c>
      <c r="F259" t="str">
        <f>"CDWG Webcams"</f>
        <v>CDWG Webcams</v>
      </c>
      <c r="G259" s="3">
        <v>297.45</v>
      </c>
      <c r="H259" t="str">
        <f>"CDWG Webcams"</f>
        <v>CDWG Webcams</v>
      </c>
    </row>
    <row r="260" spans="1:8" x14ac:dyDescent="0.25">
      <c r="E260" t="str">
        <f>""</f>
        <v/>
      </c>
      <c r="F260" t="str">
        <f>""</f>
        <v/>
      </c>
      <c r="G260" s="3">
        <v>424.95</v>
      </c>
      <c r="H260" t="str">
        <f>"CDWG Webcams"</f>
        <v>CDWG Webcams</v>
      </c>
    </row>
    <row r="261" spans="1:8" x14ac:dyDescent="0.25">
      <c r="A261" t="s">
        <v>70</v>
      </c>
      <c r="B261">
        <v>5458</v>
      </c>
      <c r="C261" s="3">
        <v>620.24</v>
      </c>
      <c r="D261" s="6">
        <v>44523</v>
      </c>
      <c r="E261" t="str">
        <f>"27280"</f>
        <v>27280</v>
      </c>
      <c r="F261" t="str">
        <f>"KANGURU DVD DUPLICATOR"</f>
        <v>KANGURU DVD DUPLICATOR</v>
      </c>
      <c r="G261" s="3">
        <v>620.24</v>
      </c>
      <c r="H261" t="str">
        <f>"KANGURU DVD DUPLICATOR"</f>
        <v>KANGURU DVD DUPLICATOR</v>
      </c>
    </row>
    <row r="262" spans="1:8" x14ac:dyDescent="0.25">
      <c r="A262" t="s">
        <v>71</v>
      </c>
      <c r="B262">
        <v>137735</v>
      </c>
      <c r="C262" s="3">
        <v>5</v>
      </c>
      <c r="D262" s="6">
        <v>44508</v>
      </c>
      <c r="E262" t="str">
        <f>"202111016871"</f>
        <v>202111016871</v>
      </c>
      <c r="F262" t="str">
        <f>"FERAL HOGS"</f>
        <v>FERAL HOGS</v>
      </c>
      <c r="G262" s="3">
        <v>5</v>
      </c>
      <c r="H262" t="str">
        <f>"FERAL HOGS"</f>
        <v>FERAL HOGS</v>
      </c>
    </row>
    <row r="263" spans="1:8" x14ac:dyDescent="0.25">
      <c r="A263" t="s">
        <v>72</v>
      </c>
      <c r="B263">
        <v>138009</v>
      </c>
      <c r="C263" s="3">
        <v>600</v>
      </c>
      <c r="D263" s="6">
        <v>44522</v>
      </c>
      <c r="E263" t="str">
        <f>"202111107131"</f>
        <v>202111107131</v>
      </c>
      <c r="F263" t="str">
        <f>"21-20542 / MEDIATION"</f>
        <v>21-20542 / MEDIATION</v>
      </c>
      <c r="G263" s="3">
        <v>300</v>
      </c>
      <c r="H263" t="str">
        <f>"21-20542 / MEDIATION"</f>
        <v>21-20542 / MEDIATION</v>
      </c>
    </row>
    <row r="264" spans="1:8" x14ac:dyDescent="0.25">
      <c r="E264" t="str">
        <f>"202111157144"</f>
        <v>202111157144</v>
      </c>
      <c r="F264" t="str">
        <f>"CAUSE #20-20179"</f>
        <v>CAUSE #20-20179</v>
      </c>
      <c r="G264" s="3">
        <v>300</v>
      </c>
      <c r="H264" t="str">
        <f>"CAUSE #20-20179"</f>
        <v>CAUSE #20-20179</v>
      </c>
    </row>
    <row r="265" spans="1:8" x14ac:dyDescent="0.25">
      <c r="A265" t="s">
        <v>73</v>
      </c>
      <c r="B265">
        <v>5363</v>
      </c>
      <c r="C265" s="3">
        <v>142.88999999999999</v>
      </c>
      <c r="D265" s="6">
        <v>44509</v>
      </c>
      <c r="E265" t="str">
        <f>"202110276713"</f>
        <v>202110276713</v>
      </c>
      <c r="F265" t="str">
        <f>"REIMBURSE UNIFORMS"</f>
        <v>REIMBURSE UNIFORMS</v>
      </c>
      <c r="G265" s="3">
        <v>142.88999999999999</v>
      </c>
      <c r="H265" t="str">
        <f>"REIMBURSE UNIFORMS"</f>
        <v>REIMBURSE UNIFORMS</v>
      </c>
    </row>
    <row r="266" spans="1:8" x14ac:dyDescent="0.25">
      <c r="A266" t="s">
        <v>74</v>
      </c>
      <c r="B266">
        <v>137736</v>
      </c>
      <c r="C266" s="3">
        <v>298.19</v>
      </c>
      <c r="D266" s="6">
        <v>44508</v>
      </c>
      <c r="E266" t="str">
        <f>"5081891700"</f>
        <v>5081891700</v>
      </c>
      <c r="F266" t="str">
        <f>"CUST#11167190/PCT#1"</f>
        <v>CUST#11167190/PCT#1</v>
      </c>
      <c r="G266" s="3">
        <v>148.19</v>
      </c>
      <c r="H266" t="str">
        <f>"CUST#11167190/PCT#1"</f>
        <v>CUST#11167190/PCT#1</v>
      </c>
    </row>
    <row r="267" spans="1:8" x14ac:dyDescent="0.25">
      <c r="E267" t="str">
        <f>"9152216527"</f>
        <v>9152216527</v>
      </c>
      <c r="F267" t="str">
        <f>"INV 9152216527"</f>
        <v>INV 9152216527</v>
      </c>
      <c r="G267" s="3">
        <v>100</v>
      </c>
      <c r="H267" t="str">
        <f>"INV 9152216527"</f>
        <v>INV 9152216527</v>
      </c>
    </row>
    <row r="268" spans="1:8" x14ac:dyDescent="0.25">
      <c r="E268" t="str">
        <f>"9152216528"</f>
        <v>9152216528</v>
      </c>
      <c r="F268" t="str">
        <f>"INV 9152216528"</f>
        <v>INV 9152216528</v>
      </c>
      <c r="G268" s="3">
        <v>50</v>
      </c>
      <c r="H268" t="str">
        <f>"INV 9152216528"</f>
        <v>INV 9152216528</v>
      </c>
    </row>
    <row r="269" spans="1:8" x14ac:dyDescent="0.25">
      <c r="A269" t="s">
        <v>75</v>
      </c>
      <c r="B269">
        <v>137737</v>
      </c>
      <c r="C269" s="3">
        <v>944.43</v>
      </c>
      <c r="D269" s="6">
        <v>44508</v>
      </c>
      <c r="E269" t="str">
        <f>"202111036989"</f>
        <v>202111036989</v>
      </c>
      <c r="F269" t="str">
        <f>"PAYER#14108367/PCT#2"</f>
        <v>PAYER#14108367/PCT#2</v>
      </c>
      <c r="G269" s="3">
        <v>680.27</v>
      </c>
      <c r="H269" t="str">
        <f>"PAYER#14108367/PCT#2"</f>
        <v>PAYER#14108367/PCT#2</v>
      </c>
    </row>
    <row r="270" spans="1:8" x14ac:dyDescent="0.25">
      <c r="E270" t="str">
        <f>"202111036990"</f>
        <v>202111036990</v>
      </c>
      <c r="F270" t="str">
        <f>"PAYER#14108463/ANIMAL SHELTER"</f>
        <v>PAYER#14108463/ANIMAL SHELTER</v>
      </c>
      <c r="G270" s="3">
        <v>264.16000000000003</v>
      </c>
      <c r="H270" t="str">
        <f>"PAYER#14108463/ANIMAL SHELTER"</f>
        <v>PAYER#14108463/ANIMAL SHELTER</v>
      </c>
    </row>
    <row r="271" spans="1:8" x14ac:dyDescent="0.25">
      <c r="A271" t="s">
        <v>75</v>
      </c>
      <c r="B271">
        <v>138010</v>
      </c>
      <c r="C271" s="3">
        <v>2862.11</v>
      </c>
      <c r="D271" s="6">
        <v>44522</v>
      </c>
      <c r="E271" t="str">
        <f>"13229998"</f>
        <v>13229998</v>
      </c>
      <c r="F271" t="str">
        <f>"PAYER #14108430 PCT#4"</f>
        <v>PAYER #14108430 PCT#4</v>
      </c>
      <c r="G271" s="3">
        <v>18.36</v>
      </c>
      <c r="H271" t="str">
        <f>"PAYER #14108430 PCT#4"</f>
        <v>PAYER #14108430 PCT#4</v>
      </c>
    </row>
    <row r="272" spans="1:8" x14ac:dyDescent="0.25">
      <c r="E272" t="str">
        <f>"13230106"</f>
        <v>13230106</v>
      </c>
      <c r="F272" t="str">
        <f>"PAYER#14108431 PCT#1"</f>
        <v>PAYER#14108431 PCT#1</v>
      </c>
      <c r="G272" s="3">
        <v>875.46</v>
      </c>
      <c r="H272" t="str">
        <f>"PAYER#14108431 PCT#1"</f>
        <v>PAYER#14108431 PCT#1</v>
      </c>
    </row>
    <row r="273" spans="1:8" x14ac:dyDescent="0.25">
      <c r="E273" t="str">
        <f>"4097833326"</f>
        <v>4097833326</v>
      </c>
      <c r="F273" t="str">
        <f>"PAYER#14108431/SIGN SHOP"</f>
        <v>PAYER#14108431/SIGN SHOP</v>
      </c>
      <c r="G273" s="3">
        <v>64.959999999999994</v>
      </c>
      <c r="H273" t="str">
        <f>"PAYER#14108431/SIGN SHOP"</f>
        <v>PAYER#14108431/SIGN SHOP</v>
      </c>
    </row>
    <row r="274" spans="1:8" x14ac:dyDescent="0.25">
      <c r="E274" t="str">
        <f>"4097833548"</f>
        <v>4097833548</v>
      </c>
      <c r="F274" t="str">
        <f>"PAYER #14108375/GEN SVCS"</f>
        <v>PAYER #14108375/GEN SVCS</v>
      </c>
      <c r="G274" s="3">
        <v>1903.33</v>
      </c>
      <c r="H274" t="str">
        <f>"PAYER #14108375/GEN SVCS"</f>
        <v>PAYER #14108375/GEN SVCS</v>
      </c>
    </row>
    <row r="275" spans="1:8" x14ac:dyDescent="0.25">
      <c r="A275" t="s">
        <v>75</v>
      </c>
      <c r="B275">
        <v>138011</v>
      </c>
      <c r="C275" s="3">
        <v>662.26</v>
      </c>
      <c r="D275" s="6">
        <v>44522</v>
      </c>
      <c r="E275" t="str">
        <f>"8405384606"</f>
        <v>8405384606</v>
      </c>
      <c r="F275" t="str">
        <f>"CUST#10377368 PCT#2"</f>
        <v>CUST#10377368 PCT#2</v>
      </c>
      <c r="G275" s="3">
        <v>43.35</v>
      </c>
      <c r="H275" t="str">
        <f>"CUST#10377368 PCT#2"</f>
        <v>CUST#10377368 PCT#2</v>
      </c>
    </row>
    <row r="276" spans="1:8" x14ac:dyDescent="0.25">
      <c r="E276" t="str">
        <f>"8405405504"</f>
        <v>8405405504</v>
      </c>
      <c r="F276" t="str">
        <f>"CUST#10377368/PCT#3"</f>
        <v>CUST#10377368/PCT#3</v>
      </c>
      <c r="G276" s="3">
        <v>618.91</v>
      </c>
      <c r="H276" t="str">
        <f>"CUST#10377368/PCT#3"</f>
        <v>CUST#10377368/PCT#3</v>
      </c>
    </row>
    <row r="277" spans="1:8" x14ac:dyDescent="0.25">
      <c r="A277" t="s">
        <v>76</v>
      </c>
      <c r="B277">
        <v>5420</v>
      </c>
      <c r="C277" s="3">
        <v>8530</v>
      </c>
      <c r="D277" s="6">
        <v>44523</v>
      </c>
      <c r="E277" t="str">
        <f>"27332"</f>
        <v>27332</v>
      </c>
      <c r="F277" t="str">
        <f>"Cistera Renewal 21-22"</f>
        <v>Cistera Renewal 21-22</v>
      </c>
      <c r="G277" s="3">
        <v>8530</v>
      </c>
      <c r="H277" t="str">
        <f>"Cistera Renewal 21-22"</f>
        <v>Cistera Renewal 21-22</v>
      </c>
    </row>
    <row r="278" spans="1:8" x14ac:dyDescent="0.25">
      <c r="A278" t="s">
        <v>77</v>
      </c>
      <c r="B278">
        <v>1465</v>
      </c>
      <c r="C278" s="3">
        <v>11529.96</v>
      </c>
      <c r="D278" s="6">
        <v>44522</v>
      </c>
      <c r="E278" t="str">
        <f>"202111227402"</f>
        <v>202111227402</v>
      </c>
      <c r="F278" t="str">
        <f>"ACCT #72-6513 / 11032021"</f>
        <v>ACCT #72-6513 / 11032021</v>
      </c>
      <c r="G278" s="3">
        <v>8246.9599999999991</v>
      </c>
      <c r="H278" t="str">
        <f>"ACCT #72-6513 / 11032021"</f>
        <v>ACCT #72-6513 / 11032021</v>
      </c>
    </row>
    <row r="279" spans="1:8" x14ac:dyDescent="0.25">
      <c r="E279" t="str">
        <f>"202111227404"</f>
        <v>202111227404</v>
      </c>
      <c r="F279" t="str">
        <f>"ACCT #72-6513 / 11032021"</f>
        <v>ACCT #72-6513 / 11032021</v>
      </c>
      <c r="G279" s="3">
        <v>3283</v>
      </c>
      <c r="H279" t="str">
        <f>"ACCT #72-6513 / 11032021"</f>
        <v>ACCT #72-6513 / 11032021</v>
      </c>
    </row>
    <row r="280" spans="1:8" x14ac:dyDescent="0.25">
      <c r="A280" t="s">
        <v>78</v>
      </c>
      <c r="B280">
        <v>137873</v>
      </c>
      <c r="C280" s="3">
        <v>45070.98</v>
      </c>
      <c r="D280" s="6">
        <v>44510</v>
      </c>
      <c r="E280" t="str">
        <f>"202111107113"</f>
        <v>202111107113</v>
      </c>
      <c r="F280" t="str">
        <f>"ACCT#02-2083-04 / 10292021"</f>
        <v>ACCT#02-2083-04 / 10292021</v>
      </c>
      <c r="G280" s="3">
        <v>6884.12</v>
      </c>
      <c r="H280" t="str">
        <f>"CITY OF BASTROP"</f>
        <v>CITY OF BASTROP</v>
      </c>
    </row>
    <row r="281" spans="1:8" x14ac:dyDescent="0.25">
      <c r="E281" t="str">
        <f>"202111107114"</f>
        <v>202111107114</v>
      </c>
      <c r="F281" t="str">
        <f>"COUNTY DEV CENTER / 10292021"</f>
        <v>COUNTY DEV CENTER / 10292021</v>
      </c>
      <c r="G281" s="3">
        <v>1738.63</v>
      </c>
      <c r="H281" t="str">
        <f>"CITY OF BASTROP"</f>
        <v>CITY OF BASTROP</v>
      </c>
    </row>
    <row r="282" spans="1:8" x14ac:dyDescent="0.25">
      <c r="E282" t="str">
        <f>"202111107115"</f>
        <v>202111107115</v>
      </c>
      <c r="F282" t="str">
        <f>"COUNTY LAW CENTER / 10292021"</f>
        <v>COUNTY LAW CENTER / 10292021</v>
      </c>
      <c r="G282" s="3">
        <v>24289.43</v>
      </c>
      <c r="H282" t="str">
        <f>"CITY OF BASTROP"</f>
        <v>CITY OF BASTROP</v>
      </c>
    </row>
    <row r="283" spans="1:8" x14ac:dyDescent="0.25">
      <c r="E283" t="str">
        <f>"202111107116"</f>
        <v>202111107116</v>
      </c>
      <c r="F283" t="str">
        <f>"BASTROP COURTHOUSE / 10292021"</f>
        <v>BASTROP COURTHOUSE / 10292021</v>
      </c>
      <c r="G283" s="3">
        <v>12158.8</v>
      </c>
      <c r="H283" t="str">
        <f>"CITY OF BASTROP"</f>
        <v>CITY OF BASTROP</v>
      </c>
    </row>
    <row r="284" spans="1:8" x14ac:dyDescent="0.25">
      <c r="A284" t="s">
        <v>78</v>
      </c>
      <c r="B284">
        <v>138012</v>
      </c>
      <c r="C284" s="3">
        <v>750</v>
      </c>
      <c r="D284" s="6">
        <v>44522</v>
      </c>
      <c r="E284" t="str">
        <f>"202111157140"</f>
        <v>202111157140</v>
      </c>
      <c r="F284" t="str">
        <f>"RENTAL-PARKING LOT"</f>
        <v>RENTAL-PARKING LOT</v>
      </c>
      <c r="G284" s="3">
        <v>750</v>
      </c>
      <c r="H284" t="str">
        <f>"RENTAL-PARKING LOT"</f>
        <v>RENTAL-PARKING LOT</v>
      </c>
    </row>
    <row r="285" spans="1:8" x14ac:dyDescent="0.25">
      <c r="A285" t="s">
        <v>79</v>
      </c>
      <c r="B285">
        <v>137701</v>
      </c>
      <c r="C285" s="3">
        <v>2538.0100000000002</v>
      </c>
      <c r="D285" s="6">
        <v>44504</v>
      </c>
      <c r="E285" t="str">
        <f>"202111047017"</f>
        <v>202111047017</v>
      </c>
      <c r="F285" t="str">
        <f>"ACCT#007-0000388-000/10282021"</f>
        <v>ACCT#007-0000388-000/10282021</v>
      </c>
      <c r="G285" s="3">
        <v>617.55999999999995</v>
      </c>
      <c r="H285" t="str">
        <f t="shared" ref="H285:H290" si="7">"CITY OF SMITHVILLE"</f>
        <v>CITY OF SMITHVILLE</v>
      </c>
    </row>
    <row r="286" spans="1:8" x14ac:dyDescent="0.25">
      <c r="E286" t="str">
        <f>"202111047018"</f>
        <v>202111047018</v>
      </c>
      <c r="F286" t="str">
        <f>"ACCT#007-0000389-000/10282021"</f>
        <v>ACCT#007-0000389-000/10282021</v>
      </c>
      <c r="G286" s="3">
        <v>79.87</v>
      </c>
      <c r="H286" t="str">
        <f t="shared" si="7"/>
        <v>CITY OF SMITHVILLE</v>
      </c>
    </row>
    <row r="287" spans="1:8" x14ac:dyDescent="0.25">
      <c r="E287" t="str">
        <f>"202111047019"</f>
        <v>202111047019</v>
      </c>
      <c r="F287" t="str">
        <f>"ACCT#044-0001240-000/10282021"</f>
        <v>ACCT#044-0001240-000/10282021</v>
      </c>
      <c r="G287" s="3">
        <v>426.8</v>
      </c>
      <c r="H287" t="str">
        <f t="shared" si="7"/>
        <v>CITY OF SMITHVILLE</v>
      </c>
    </row>
    <row r="288" spans="1:8" x14ac:dyDescent="0.25">
      <c r="E288" t="str">
        <f>"202111047020"</f>
        <v>202111047020</v>
      </c>
      <c r="F288" t="str">
        <f>"ACCT#004-0001250-000/10282021"</f>
        <v>ACCT#004-0001250-000/10282021</v>
      </c>
      <c r="G288" s="3">
        <v>86.08</v>
      </c>
      <c r="H288" t="str">
        <f t="shared" si="7"/>
        <v>CITY OF SMITHVILLE</v>
      </c>
    </row>
    <row r="289" spans="1:8" x14ac:dyDescent="0.25">
      <c r="E289" t="str">
        <f>"202111047021"</f>
        <v>202111047021</v>
      </c>
      <c r="F289" t="str">
        <f>"ACCT#044-0001252-000/10282021"</f>
        <v>ACCT#044-0001252-000/10282021</v>
      </c>
      <c r="G289" s="3">
        <v>1150.47</v>
      </c>
      <c r="H289" t="str">
        <f t="shared" si="7"/>
        <v>CITY OF SMITHVILLE</v>
      </c>
    </row>
    <row r="290" spans="1:8" x14ac:dyDescent="0.25">
      <c r="E290" t="str">
        <f>"202111047022"</f>
        <v>202111047022</v>
      </c>
      <c r="F290" t="str">
        <f>"ACCT#044-0001253-000/10282021"</f>
        <v>ACCT#044-0001253-000/10282021</v>
      </c>
      <c r="G290" s="3">
        <v>177.23</v>
      </c>
      <c r="H290" t="str">
        <f t="shared" si="7"/>
        <v>CITY OF SMITHVILLE</v>
      </c>
    </row>
    <row r="291" spans="1:8" x14ac:dyDescent="0.25">
      <c r="A291" t="s">
        <v>80</v>
      </c>
      <c r="B291">
        <v>137738</v>
      </c>
      <c r="C291" s="3">
        <v>25</v>
      </c>
      <c r="D291" s="6">
        <v>44508</v>
      </c>
      <c r="E291" t="str">
        <f>"202111016872"</f>
        <v>202111016872</v>
      </c>
      <c r="F291" t="str">
        <f>"FERAL HOGS"</f>
        <v>FERAL HOGS</v>
      </c>
      <c r="G291" s="3">
        <v>25</v>
      </c>
      <c r="H291" t="str">
        <f>"FERAL HOGS"</f>
        <v>FERAL HOGS</v>
      </c>
    </row>
    <row r="292" spans="1:8" x14ac:dyDescent="0.25">
      <c r="A292" t="s">
        <v>81</v>
      </c>
      <c r="B292">
        <v>5409</v>
      </c>
      <c r="C292" s="3">
        <v>210.5</v>
      </c>
      <c r="D292" s="6">
        <v>44523</v>
      </c>
      <c r="E292" t="str">
        <f>"PMA-0081370"</f>
        <v>PMA-0081370</v>
      </c>
      <c r="F292" t="str">
        <f>"PMA-010648/MAINT SVC AGREEMENT"</f>
        <v>PMA-010648/MAINT SVC AGREEMENT</v>
      </c>
      <c r="G292" s="3">
        <v>210.5</v>
      </c>
      <c r="H292" t="str">
        <f>"PMA-010648/MAINT SVC AGREEMENT"</f>
        <v>PMA-010648/MAINT SVC AGREEMENT</v>
      </c>
    </row>
    <row r="293" spans="1:8" x14ac:dyDescent="0.25">
      <c r="A293" t="s">
        <v>82</v>
      </c>
      <c r="B293">
        <v>5443</v>
      </c>
      <c r="C293" s="3">
        <v>95.2</v>
      </c>
      <c r="D293" s="6">
        <v>44523</v>
      </c>
      <c r="E293" t="str">
        <f>"202111167195"</f>
        <v>202111167195</v>
      </c>
      <c r="F293" t="str">
        <f>"INDIGENT HEALTH"</f>
        <v>INDIGENT HEALTH</v>
      </c>
      <c r="G293" s="3">
        <v>95.2</v>
      </c>
      <c r="H293" t="str">
        <f>"INDIGENT HEALTH"</f>
        <v>INDIGENT HEALTH</v>
      </c>
    </row>
    <row r="294" spans="1:8" x14ac:dyDescent="0.25">
      <c r="A294" t="s">
        <v>83</v>
      </c>
      <c r="B294">
        <v>138013</v>
      </c>
      <c r="C294" s="3">
        <v>150</v>
      </c>
      <c r="D294" s="6">
        <v>44522</v>
      </c>
      <c r="E294" t="str">
        <f>"202111157135"</f>
        <v>202111157135</v>
      </c>
      <c r="F294" t="str">
        <f>"BOND#15528644 CO#0601/DIST ATT"</f>
        <v>BOND#15528644 CO#0601/DIST ATT</v>
      </c>
      <c r="G294" s="3">
        <v>50</v>
      </c>
      <c r="H294" t="str">
        <f>"BOND#15528644 CO#0601/DIST ATT"</f>
        <v>BOND#15528644 CO#0601/DIST ATT</v>
      </c>
    </row>
    <row r="295" spans="1:8" x14ac:dyDescent="0.25">
      <c r="E295" t="str">
        <f>"202111157136"</f>
        <v>202111157136</v>
      </c>
      <c r="F295" t="str">
        <f>"BOND#15528646 CO#0601 DAVIS"</f>
        <v>BOND#15528646 CO#0601 DAVIS</v>
      </c>
      <c r="G295" s="3">
        <v>50</v>
      </c>
      <c r="H295" t="str">
        <f>"BOND#15528646 CO#0601 DAVIS"</f>
        <v>BOND#15528646 CO#0601 DAVIS</v>
      </c>
    </row>
    <row r="296" spans="1:8" x14ac:dyDescent="0.25">
      <c r="E296" t="str">
        <f>"202111157141"</f>
        <v>202111157141</v>
      </c>
      <c r="F296" t="str">
        <f>"BOND #69447529/MICHAEL OLSON"</f>
        <v>BOND #69447529/MICHAEL OLSON</v>
      </c>
      <c r="G296" s="3">
        <v>50</v>
      </c>
      <c r="H296" t="str">
        <f>"BOND #69447529/MICHAEL OLSON"</f>
        <v>BOND #69447529/MICHAEL OLSON</v>
      </c>
    </row>
    <row r="297" spans="1:8" x14ac:dyDescent="0.25">
      <c r="A297" t="s">
        <v>84</v>
      </c>
      <c r="B297">
        <v>138014</v>
      </c>
      <c r="C297" s="3">
        <v>244.5</v>
      </c>
      <c r="D297" s="6">
        <v>44522</v>
      </c>
      <c r="E297" t="str">
        <f>"0633471-IN"</f>
        <v>0633471-IN</v>
      </c>
      <c r="F297" t="str">
        <f>"INV 0633471-IN"</f>
        <v>INV 0633471-IN</v>
      </c>
      <c r="G297" s="3">
        <v>244.5</v>
      </c>
      <c r="H297" t="str">
        <f>"INV 0633471-IN"</f>
        <v>INV 0633471-IN</v>
      </c>
    </row>
    <row r="298" spans="1:8" x14ac:dyDescent="0.25">
      <c r="A298" t="s">
        <v>85</v>
      </c>
      <c r="B298">
        <v>138015</v>
      </c>
      <c r="C298" s="3">
        <v>1237.5</v>
      </c>
      <c r="D298" s="6">
        <v>44522</v>
      </c>
      <c r="E298" t="str">
        <f>"787"</f>
        <v>787</v>
      </c>
      <c r="F298" t="str">
        <f>"OCTOBER 2021 SERVICES/IT DEPT"</f>
        <v>OCTOBER 2021 SERVICES/IT DEPT</v>
      </c>
      <c r="G298" s="3">
        <v>1237.5</v>
      </c>
      <c r="H298" t="str">
        <f>"OCTOBER 2021 SERVICES/IT DEPT"</f>
        <v>OCTOBER 2021 SERVICES/IT DEPT</v>
      </c>
    </row>
    <row r="299" spans="1:8" x14ac:dyDescent="0.25">
      <c r="A299" t="s">
        <v>86</v>
      </c>
      <c r="B299">
        <v>5358</v>
      </c>
      <c r="C299" s="3">
        <v>250</v>
      </c>
      <c r="D299" s="6">
        <v>44509</v>
      </c>
      <c r="E299" t="str">
        <f>"202111036987"</f>
        <v>202111036987</v>
      </c>
      <c r="F299" t="str">
        <f>"RESET GATE LIMITS/PCT#1"</f>
        <v>RESET GATE LIMITS/PCT#1</v>
      </c>
      <c r="G299" s="3">
        <v>250</v>
      </c>
      <c r="H299" t="str">
        <f>"RESET GATE LIMITS/PCT#1"</f>
        <v>RESET GATE LIMITS/PCT#1</v>
      </c>
    </row>
    <row r="300" spans="1:8" x14ac:dyDescent="0.25">
      <c r="A300" t="s">
        <v>87</v>
      </c>
      <c r="B300">
        <v>5342</v>
      </c>
      <c r="C300" s="3">
        <v>235</v>
      </c>
      <c r="D300" s="6">
        <v>44509</v>
      </c>
      <c r="E300" t="str">
        <f>"20972"</f>
        <v>20972</v>
      </c>
      <c r="F300" t="str">
        <f>"20972 RR FIBER ANIMAL SHELTER"</f>
        <v>20972 RR FIBER ANIMAL SHELTER</v>
      </c>
      <c r="G300" s="3">
        <v>235</v>
      </c>
      <c r="H300" t="str">
        <f>"20972 RR FIBER ANIMAL SHELTER"</f>
        <v>20972 RR FIBER ANIMAL SHELTER</v>
      </c>
    </row>
    <row r="301" spans="1:8" x14ac:dyDescent="0.25">
      <c r="A301" t="s">
        <v>88</v>
      </c>
      <c r="B301">
        <v>5369</v>
      </c>
      <c r="C301" s="3">
        <v>2359.86</v>
      </c>
      <c r="D301" s="6">
        <v>44509</v>
      </c>
      <c r="E301" t="str">
        <f>"IG00986"</f>
        <v>IG00986</v>
      </c>
      <c r="F301" t="str">
        <f>"ACCT#063/PARTS/PCT#3"</f>
        <v>ACCT#063/PARTS/PCT#3</v>
      </c>
      <c r="G301" s="3">
        <v>1788.75</v>
      </c>
      <c r="H301" t="str">
        <f>"ACCT#063/PARTS/PCT#3"</f>
        <v>ACCT#063/PARTS/PCT#3</v>
      </c>
    </row>
    <row r="302" spans="1:8" x14ac:dyDescent="0.25">
      <c r="E302" t="str">
        <f>"IG00994"</f>
        <v>IG00994</v>
      </c>
      <c r="F302" t="str">
        <f>"ACCT#063/WAFER/PCT#3"</f>
        <v>ACCT#063/WAFER/PCT#3</v>
      </c>
      <c r="G302" s="3">
        <v>571.11</v>
      </c>
      <c r="H302" t="str">
        <f>"ACCT#063/WAFER/PCT#3"</f>
        <v>ACCT#063/WAFER/PCT#3</v>
      </c>
    </row>
    <row r="303" spans="1:8" x14ac:dyDescent="0.25">
      <c r="A303" t="s">
        <v>88</v>
      </c>
      <c r="B303">
        <v>5442</v>
      </c>
      <c r="C303" s="3">
        <v>8138.97</v>
      </c>
      <c r="D303" s="6">
        <v>44523</v>
      </c>
      <c r="E303" t="str">
        <f>"IG01004"</f>
        <v>IG01004</v>
      </c>
      <c r="F303" t="str">
        <f>"ACCT#063/CYL-AIR/PCT#3"</f>
        <v>ACCT#063/CYL-AIR/PCT#3</v>
      </c>
      <c r="G303" s="3">
        <v>241.42</v>
      </c>
      <c r="H303" t="str">
        <f>"ACCT#063/CYL-AIR/PCT#3"</f>
        <v>ACCT#063/CYL-AIR/PCT#3</v>
      </c>
    </row>
    <row r="304" spans="1:8" x14ac:dyDescent="0.25">
      <c r="E304" t="str">
        <f>"WS21282"</f>
        <v>WS21282</v>
      </c>
      <c r="F304" t="str">
        <f>"ACCT#063 PCT#2"</f>
        <v>ACCT#063 PCT#2</v>
      </c>
      <c r="G304" s="3">
        <v>7897.55</v>
      </c>
      <c r="H304" t="str">
        <f>"ACCT#063 PCT#2"</f>
        <v>ACCT#063 PCT#2</v>
      </c>
    </row>
    <row r="305" spans="1:8" x14ac:dyDescent="0.25">
      <c r="A305" t="s">
        <v>89</v>
      </c>
      <c r="B305">
        <v>137739</v>
      </c>
      <c r="C305" s="3">
        <v>85</v>
      </c>
      <c r="D305" s="6">
        <v>44508</v>
      </c>
      <c r="E305" t="str">
        <f>"13439"</f>
        <v>13439</v>
      </c>
      <c r="F305" t="str">
        <f>"SERVICE"</f>
        <v>SERVICE</v>
      </c>
      <c r="G305" s="3">
        <v>85</v>
      </c>
      <c r="H305" t="str">
        <f>"SERVICE"</f>
        <v>SERVICE</v>
      </c>
    </row>
    <row r="306" spans="1:8" x14ac:dyDescent="0.25">
      <c r="A306" t="s">
        <v>90</v>
      </c>
      <c r="B306">
        <v>137740</v>
      </c>
      <c r="C306" s="3">
        <v>75</v>
      </c>
      <c r="D306" s="6">
        <v>44508</v>
      </c>
      <c r="E306" t="str">
        <f>"13439"</f>
        <v>13439</v>
      </c>
      <c r="F306" t="str">
        <f>"SERVICE"</f>
        <v>SERVICE</v>
      </c>
      <c r="G306" s="3">
        <v>75</v>
      </c>
      <c r="H306" t="str">
        <f>"SERVICE"</f>
        <v>SERVICE</v>
      </c>
    </row>
    <row r="307" spans="1:8" x14ac:dyDescent="0.25">
      <c r="A307" t="s">
        <v>91</v>
      </c>
      <c r="B307">
        <v>137741</v>
      </c>
      <c r="C307" s="3">
        <v>2995.14</v>
      </c>
      <c r="D307" s="6">
        <v>44508</v>
      </c>
      <c r="E307" t="str">
        <f>"VM40821"</f>
        <v>VM40821</v>
      </c>
      <c r="F307" t="str">
        <f t="shared" ref="F307:F315" si="8">"ACCT#68930/ANIMAL SERVICES"</f>
        <v>ACCT#68930/ANIMAL SERVICES</v>
      </c>
      <c r="G307" s="3">
        <v>531.58000000000004</v>
      </c>
      <c r="H307" t="str">
        <f t="shared" ref="H307:H315" si="9">"ACCT#68930/ANIMAL SERVICES"</f>
        <v>ACCT#68930/ANIMAL SERVICES</v>
      </c>
    </row>
    <row r="308" spans="1:8" x14ac:dyDescent="0.25">
      <c r="E308" t="str">
        <f>"VM70753"</f>
        <v>VM70753</v>
      </c>
      <c r="F308" t="str">
        <f t="shared" si="8"/>
        <v>ACCT#68930/ANIMAL SERVICES</v>
      </c>
      <c r="G308" s="3">
        <v>7.24</v>
      </c>
      <c r="H308" t="str">
        <f t="shared" si="9"/>
        <v>ACCT#68930/ANIMAL SERVICES</v>
      </c>
    </row>
    <row r="309" spans="1:8" x14ac:dyDescent="0.25">
      <c r="E309" t="str">
        <f>"VM72811"</f>
        <v>VM72811</v>
      </c>
      <c r="F309" t="str">
        <f t="shared" si="8"/>
        <v>ACCT#68930/ANIMAL SERVICES</v>
      </c>
      <c r="G309" s="3">
        <v>16.850000000000001</v>
      </c>
      <c r="H309" t="str">
        <f t="shared" si="9"/>
        <v>ACCT#68930/ANIMAL SERVICES</v>
      </c>
    </row>
    <row r="310" spans="1:8" x14ac:dyDescent="0.25">
      <c r="E310" t="str">
        <f>"VM74305"</f>
        <v>VM74305</v>
      </c>
      <c r="F310" t="str">
        <f t="shared" si="8"/>
        <v>ACCT#68930/ANIMAL SERVICES</v>
      </c>
      <c r="G310" s="3">
        <v>1881.33</v>
      </c>
      <c r="H310" t="str">
        <f t="shared" si="9"/>
        <v>ACCT#68930/ANIMAL SERVICES</v>
      </c>
    </row>
    <row r="311" spans="1:8" x14ac:dyDescent="0.25">
      <c r="E311" t="str">
        <f>"VM89870"</f>
        <v>VM89870</v>
      </c>
      <c r="F311" t="str">
        <f t="shared" si="8"/>
        <v>ACCT#68930/ANIMAL SERVICES</v>
      </c>
      <c r="G311" s="3">
        <v>558.14</v>
      </c>
      <c r="H311" t="str">
        <f t="shared" si="9"/>
        <v>ACCT#68930/ANIMAL SERVICES</v>
      </c>
    </row>
    <row r="312" spans="1:8" x14ac:dyDescent="0.25">
      <c r="A312" t="s">
        <v>91</v>
      </c>
      <c r="B312">
        <v>138016</v>
      </c>
      <c r="C312" s="3">
        <v>1582.28</v>
      </c>
      <c r="D312" s="6">
        <v>44522</v>
      </c>
      <c r="E312" t="str">
        <f>"VP03360"</f>
        <v>VP03360</v>
      </c>
      <c r="F312" t="str">
        <f t="shared" si="8"/>
        <v>ACCT#68930/ANIMAL SERVICES</v>
      </c>
      <c r="G312" s="3">
        <v>101.8</v>
      </c>
      <c r="H312" t="str">
        <f t="shared" si="9"/>
        <v>ACCT#68930/ANIMAL SERVICES</v>
      </c>
    </row>
    <row r="313" spans="1:8" x14ac:dyDescent="0.25">
      <c r="E313" t="str">
        <f>"VP15516"</f>
        <v>VP15516</v>
      </c>
      <c r="F313" t="str">
        <f t="shared" si="8"/>
        <v>ACCT#68930/ANIMAL SERVICES</v>
      </c>
      <c r="G313" s="3">
        <v>699.56</v>
      </c>
      <c r="H313" t="str">
        <f t="shared" si="9"/>
        <v>ACCT#68930/ANIMAL SERVICES</v>
      </c>
    </row>
    <row r="314" spans="1:8" x14ac:dyDescent="0.25">
      <c r="E314" t="str">
        <f>"VP46626"</f>
        <v>VP46626</v>
      </c>
      <c r="F314" t="str">
        <f t="shared" si="8"/>
        <v>ACCT#68930/ANIMAL SERVICES</v>
      </c>
      <c r="G314" s="3">
        <v>60.92</v>
      </c>
      <c r="H314" t="str">
        <f t="shared" si="9"/>
        <v>ACCT#68930/ANIMAL SERVICES</v>
      </c>
    </row>
    <row r="315" spans="1:8" x14ac:dyDescent="0.25">
      <c r="E315" t="str">
        <f>"VP46637"</f>
        <v>VP46637</v>
      </c>
      <c r="F315" t="str">
        <f t="shared" si="8"/>
        <v>ACCT#68930/ANIMAL SERVICES</v>
      </c>
      <c r="G315" s="3">
        <v>720</v>
      </c>
      <c r="H315" t="str">
        <f t="shared" si="9"/>
        <v>ACCT#68930/ANIMAL SERVICES</v>
      </c>
    </row>
    <row r="316" spans="1:8" x14ac:dyDescent="0.25">
      <c r="A316" t="s">
        <v>92</v>
      </c>
      <c r="B316">
        <v>138017</v>
      </c>
      <c r="C316" s="3">
        <v>815.69</v>
      </c>
      <c r="D316" s="6">
        <v>44522</v>
      </c>
      <c r="E316" t="str">
        <f>"00228667"</f>
        <v>00228667</v>
      </c>
      <c r="F316" t="str">
        <f>"Cradlepoint"</f>
        <v>Cradlepoint</v>
      </c>
      <c r="G316" s="3">
        <v>815.69</v>
      </c>
      <c r="H316" t="str">
        <f>"INV. 00228667"</f>
        <v>INV. 00228667</v>
      </c>
    </row>
    <row r="317" spans="1:8" x14ac:dyDescent="0.25">
      <c r="A317" t="s">
        <v>93</v>
      </c>
      <c r="B317">
        <v>137742</v>
      </c>
      <c r="C317" s="3">
        <v>250</v>
      </c>
      <c r="D317" s="6">
        <v>44508</v>
      </c>
      <c r="E317" t="str">
        <f>"202111026968"</f>
        <v>202111026968</v>
      </c>
      <c r="F317" t="str">
        <f>"PSYC EVAL - D. LAIRD"</f>
        <v>PSYC EVAL - D. LAIRD</v>
      </c>
      <c r="G317" s="3">
        <v>250</v>
      </c>
      <c r="H317" t="str">
        <f>"PSYC EVAL - D. LAIRD"</f>
        <v>PSYC EVAL - D. LAIRD</v>
      </c>
    </row>
    <row r="318" spans="1:8" x14ac:dyDescent="0.25">
      <c r="A318" t="s">
        <v>93</v>
      </c>
      <c r="B318">
        <v>138018</v>
      </c>
      <c r="C318" s="3">
        <v>3250</v>
      </c>
      <c r="D318" s="6">
        <v>44522</v>
      </c>
      <c r="E318" t="str">
        <f>"202111177213"</f>
        <v>202111177213</v>
      </c>
      <c r="F318" t="str">
        <f>"PSYCH EVALS SEPT. &amp; OCT."</f>
        <v>PSYCH EVALS SEPT. &amp; OCT.</v>
      </c>
      <c r="G318" s="3">
        <v>3250</v>
      </c>
      <c r="H318" t="str">
        <f>"PSYCH EVALS SEPT. &amp; OCT."</f>
        <v>PSYCH EVALS SEPT. &amp; OCT.</v>
      </c>
    </row>
    <row r="319" spans="1:8" x14ac:dyDescent="0.25">
      <c r="A319" t="s">
        <v>94</v>
      </c>
      <c r="B319">
        <v>137743</v>
      </c>
      <c r="C319" s="3">
        <v>20</v>
      </c>
      <c r="D319" s="6">
        <v>44508</v>
      </c>
      <c r="E319" t="str">
        <f>"202111016874"</f>
        <v>202111016874</v>
      </c>
      <c r="F319" t="str">
        <f>"FERAL HOGS"</f>
        <v>FERAL HOGS</v>
      </c>
      <c r="G319" s="3">
        <v>20</v>
      </c>
      <c r="H319" t="str">
        <f>"FERAL HOGS"</f>
        <v>FERAL HOGS</v>
      </c>
    </row>
    <row r="320" spans="1:8" x14ac:dyDescent="0.25">
      <c r="A320" t="s">
        <v>95</v>
      </c>
      <c r="B320">
        <v>137744</v>
      </c>
      <c r="C320" s="3">
        <v>130</v>
      </c>
      <c r="D320" s="6">
        <v>44508</v>
      </c>
      <c r="E320" t="str">
        <f>"202111016875"</f>
        <v>202111016875</v>
      </c>
      <c r="F320" t="str">
        <f>"FERAL HOGS"</f>
        <v>FERAL HOGS</v>
      </c>
      <c r="G320" s="3">
        <v>130</v>
      </c>
      <c r="H320" t="str">
        <f>"FERAL HOGS"</f>
        <v>FERAL HOGS</v>
      </c>
    </row>
    <row r="321" spans="1:8" x14ac:dyDescent="0.25">
      <c r="A321" t="s">
        <v>96</v>
      </c>
      <c r="B321">
        <v>137745</v>
      </c>
      <c r="C321" s="3">
        <v>150</v>
      </c>
      <c r="D321" s="6">
        <v>44508</v>
      </c>
      <c r="E321" t="str">
        <f>"202111016876"</f>
        <v>202111016876</v>
      </c>
      <c r="F321" t="str">
        <f>"FERAL HOGS"</f>
        <v>FERAL HOGS</v>
      </c>
      <c r="G321" s="3">
        <v>150</v>
      </c>
      <c r="H321" t="str">
        <f>"FERAL HOGS"</f>
        <v>FERAL HOGS</v>
      </c>
    </row>
    <row r="322" spans="1:8" x14ac:dyDescent="0.25">
      <c r="A322" t="s">
        <v>97</v>
      </c>
      <c r="B322">
        <v>5366</v>
      </c>
      <c r="C322" s="3">
        <v>100</v>
      </c>
      <c r="D322" s="6">
        <v>44509</v>
      </c>
      <c r="E322" t="str">
        <f>"202111037004"</f>
        <v>202111037004</v>
      </c>
      <c r="F322" t="str">
        <f>"LEGAL CONSULTATION SVCS-OCT"</f>
        <v>LEGAL CONSULTATION SVCS-OCT</v>
      </c>
      <c r="G322" s="3">
        <v>100</v>
      </c>
      <c r="H322" t="str">
        <f>"LEGAL CONSULTATION SVCS-OCT"</f>
        <v>LEGAL CONSULTATION SVCS-OCT</v>
      </c>
    </row>
    <row r="323" spans="1:8" x14ac:dyDescent="0.25">
      <c r="A323" t="s">
        <v>98</v>
      </c>
      <c r="B323">
        <v>137746</v>
      </c>
      <c r="C323" s="3">
        <v>85</v>
      </c>
      <c r="D323" s="6">
        <v>44508</v>
      </c>
      <c r="E323" t="str">
        <f>"202111016877"</f>
        <v>202111016877</v>
      </c>
      <c r="F323" t="str">
        <f>"FERAL HOGS"</f>
        <v>FERAL HOGS</v>
      </c>
      <c r="G323" s="3">
        <v>85</v>
      </c>
      <c r="H323" t="str">
        <f>"FERAL HOGS"</f>
        <v>FERAL HOGS</v>
      </c>
    </row>
    <row r="324" spans="1:8" x14ac:dyDescent="0.25">
      <c r="A324" t="s">
        <v>99</v>
      </c>
      <c r="B324">
        <v>137747</v>
      </c>
      <c r="C324" s="3">
        <v>30</v>
      </c>
      <c r="D324" s="6">
        <v>44508</v>
      </c>
      <c r="E324" t="str">
        <f>"202111016878"</f>
        <v>202111016878</v>
      </c>
      <c r="F324" t="str">
        <f>"FERAL HOGS"</f>
        <v>FERAL HOGS</v>
      </c>
      <c r="G324" s="3">
        <v>30</v>
      </c>
      <c r="H324" t="str">
        <f>"FERAL HOGS"</f>
        <v>FERAL HOGS</v>
      </c>
    </row>
    <row r="325" spans="1:8" x14ac:dyDescent="0.25">
      <c r="A325" t="s">
        <v>100</v>
      </c>
      <c r="B325">
        <v>137748</v>
      </c>
      <c r="C325" s="3">
        <v>470</v>
      </c>
      <c r="D325" s="6">
        <v>44508</v>
      </c>
      <c r="E325" t="str">
        <f>"202111016879"</f>
        <v>202111016879</v>
      </c>
      <c r="F325" t="str">
        <f>"FERAL HOGS"</f>
        <v>FERAL HOGS</v>
      </c>
      <c r="G325" s="3">
        <v>470</v>
      </c>
      <c r="H325" t="str">
        <f>"FERAL HOGS"</f>
        <v>FERAL HOGS</v>
      </c>
    </row>
    <row r="326" spans="1:8" x14ac:dyDescent="0.25">
      <c r="A326" t="s">
        <v>101</v>
      </c>
      <c r="B326">
        <v>5340</v>
      </c>
      <c r="C326" s="3">
        <v>1645</v>
      </c>
      <c r="D326" s="6">
        <v>44509</v>
      </c>
      <c r="E326" t="str">
        <f>"202110276668"</f>
        <v>202110276668</v>
      </c>
      <c r="F326" t="str">
        <f>"21-20936"</f>
        <v>21-20936</v>
      </c>
      <c r="G326" s="3">
        <v>727.5</v>
      </c>
      <c r="H326" t="str">
        <f>"21-20936"</f>
        <v>21-20936</v>
      </c>
    </row>
    <row r="327" spans="1:8" x14ac:dyDescent="0.25">
      <c r="E327" t="str">
        <f>"202110276669"</f>
        <v>202110276669</v>
      </c>
      <c r="F327" t="str">
        <f>"21-20868"</f>
        <v>21-20868</v>
      </c>
      <c r="G327" s="3">
        <v>30</v>
      </c>
      <c r="H327" t="str">
        <f>"21-20868"</f>
        <v>21-20868</v>
      </c>
    </row>
    <row r="328" spans="1:8" x14ac:dyDescent="0.25">
      <c r="E328" t="str">
        <f>"202110276670"</f>
        <v>202110276670</v>
      </c>
      <c r="F328" t="str">
        <f>"21-20702"</f>
        <v>21-20702</v>
      </c>
      <c r="G328" s="3">
        <v>60</v>
      </c>
      <c r="H328" t="str">
        <f>"21-20702"</f>
        <v>21-20702</v>
      </c>
    </row>
    <row r="329" spans="1:8" x14ac:dyDescent="0.25">
      <c r="E329" t="str">
        <f>"202110276671"</f>
        <v>202110276671</v>
      </c>
      <c r="F329" t="str">
        <f>"21-20733"</f>
        <v>21-20733</v>
      </c>
      <c r="G329" s="3">
        <v>172.5</v>
      </c>
      <c r="H329" t="str">
        <f>"21-20733"</f>
        <v>21-20733</v>
      </c>
    </row>
    <row r="330" spans="1:8" x14ac:dyDescent="0.25">
      <c r="E330" t="str">
        <f>"202110276672"</f>
        <v>202110276672</v>
      </c>
      <c r="F330" t="str">
        <f>"21-20702"</f>
        <v>21-20702</v>
      </c>
      <c r="G330" s="3">
        <v>37.5</v>
      </c>
      <c r="H330" t="str">
        <f>"21-20702"</f>
        <v>21-20702</v>
      </c>
    </row>
    <row r="331" spans="1:8" x14ac:dyDescent="0.25">
      <c r="E331" t="str">
        <f>"202110276673"</f>
        <v>202110276673</v>
      </c>
      <c r="F331" t="str">
        <f>"21-20594"</f>
        <v>21-20594</v>
      </c>
      <c r="G331" s="3">
        <v>45</v>
      </c>
      <c r="H331" t="str">
        <f>"21-20594"</f>
        <v>21-20594</v>
      </c>
    </row>
    <row r="332" spans="1:8" x14ac:dyDescent="0.25">
      <c r="E332" t="str">
        <f>"202110276674"</f>
        <v>202110276674</v>
      </c>
      <c r="F332" t="str">
        <f>"21-20562"</f>
        <v>21-20562</v>
      </c>
      <c r="G332" s="3">
        <v>67.5</v>
      </c>
      <c r="H332" t="str">
        <f>"21-20562"</f>
        <v>21-20562</v>
      </c>
    </row>
    <row r="333" spans="1:8" x14ac:dyDescent="0.25">
      <c r="E333" t="str">
        <f>"202110276675"</f>
        <v>202110276675</v>
      </c>
      <c r="F333" t="str">
        <f>"20-20394"</f>
        <v>20-20394</v>
      </c>
      <c r="G333" s="3">
        <v>217.5</v>
      </c>
      <c r="H333" t="str">
        <f>"20-20394"</f>
        <v>20-20394</v>
      </c>
    </row>
    <row r="334" spans="1:8" x14ac:dyDescent="0.25">
      <c r="E334" t="str">
        <f>"202110276676"</f>
        <v>202110276676</v>
      </c>
      <c r="F334" t="str">
        <f>"20-20056"</f>
        <v>20-20056</v>
      </c>
      <c r="G334" s="3">
        <v>190</v>
      </c>
      <c r="H334" t="str">
        <f>"20-20056"</f>
        <v>20-20056</v>
      </c>
    </row>
    <row r="335" spans="1:8" x14ac:dyDescent="0.25">
      <c r="E335" t="str">
        <f>"202110276677"</f>
        <v>202110276677</v>
      </c>
      <c r="F335" t="str">
        <f>"20-20207"</f>
        <v>20-20207</v>
      </c>
      <c r="G335" s="3">
        <v>30</v>
      </c>
      <c r="H335" t="str">
        <f>"20-20207"</f>
        <v>20-20207</v>
      </c>
    </row>
    <row r="336" spans="1:8" x14ac:dyDescent="0.25">
      <c r="E336" t="str">
        <f>"202110276678"</f>
        <v>202110276678</v>
      </c>
      <c r="F336" t="str">
        <f>"19-19931"</f>
        <v>19-19931</v>
      </c>
      <c r="G336" s="3">
        <v>22.5</v>
      </c>
      <c r="H336" t="str">
        <f>"19-19931"</f>
        <v>19-19931</v>
      </c>
    </row>
    <row r="337" spans="1:8" x14ac:dyDescent="0.25">
      <c r="E337" t="str">
        <f>"202110276679"</f>
        <v>202110276679</v>
      </c>
      <c r="F337" t="str">
        <f>"20-20030"</f>
        <v>20-20030</v>
      </c>
      <c r="G337" s="3">
        <v>45</v>
      </c>
      <c r="H337" t="str">
        <f>"20-20030"</f>
        <v>20-20030</v>
      </c>
    </row>
    <row r="338" spans="1:8" x14ac:dyDescent="0.25">
      <c r="A338" t="s">
        <v>101</v>
      </c>
      <c r="B338">
        <v>5413</v>
      </c>
      <c r="C338" s="3">
        <v>2047.5</v>
      </c>
      <c r="D338" s="6">
        <v>44523</v>
      </c>
      <c r="E338" t="str">
        <f>"202111107111"</f>
        <v>202111107111</v>
      </c>
      <c r="F338" t="str">
        <f>"21-20594"</f>
        <v>21-20594</v>
      </c>
      <c r="G338" s="3">
        <v>62.5</v>
      </c>
      <c r="H338" t="str">
        <f>"21-20594"</f>
        <v>21-20594</v>
      </c>
    </row>
    <row r="339" spans="1:8" x14ac:dyDescent="0.25">
      <c r="E339" t="str">
        <f>"202111107120"</f>
        <v>202111107120</v>
      </c>
      <c r="F339" t="str">
        <f>"20-20056"</f>
        <v>20-20056</v>
      </c>
      <c r="G339" s="3">
        <v>640</v>
      </c>
      <c r="H339" t="str">
        <f>"20-20056"</f>
        <v>20-20056</v>
      </c>
    </row>
    <row r="340" spans="1:8" x14ac:dyDescent="0.25">
      <c r="E340" t="str">
        <f>"202111107121"</f>
        <v>202111107121</v>
      </c>
      <c r="F340" t="str">
        <f>"21-20562"</f>
        <v>21-20562</v>
      </c>
      <c r="G340" s="3">
        <v>100</v>
      </c>
      <c r="H340" t="str">
        <f>"21-20562"</f>
        <v>21-20562</v>
      </c>
    </row>
    <row r="341" spans="1:8" x14ac:dyDescent="0.25">
      <c r="E341" t="str">
        <f>"202111107122"</f>
        <v>202111107122</v>
      </c>
      <c r="F341" t="str">
        <f>"19-19931"</f>
        <v>19-19931</v>
      </c>
      <c r="G341" s="3">
        <v>85</v>
      </c>
      <c r="H341" t="str">
        <f>"19-19931"</f>
        <v>19-19931</v>
      </c>
    </row>
    <row r="342" spans="1:8" x14ac:dyDescent="0.25">
      <c r="E342" t="str">
        <f>"202111107123"</f>
        <v>202111107123</v>
      </c>
      <c r="F342" t="str">
        <f>"21-20905"</f>
        <v>21-20905</v>
      </c>
      <c r="G342" s="3">
        <v>150</v>
      </c>
      <c r="H342" t="str">
        <f>"21-20905"</f>
        <v>21-20905</v>
      </c>
    </row>
    <row r="343" spans="1:8" x14ac:dyDescent="0.25">
      <c r="E343" t="str">
        <f>"202111107124"</f>
        <v>202111107124</v>
      </c>
      <c r="F343" t="str">
        <f>"20-20030"</f>
        <v>20-20030</v>
      </c>
      <c r="G343" s="3">
        <v>387.5</v>
      </c>
      <c r="H343" t="str">
        <f>"20-20030"</f>
        <v>20-20030</v>
      </c>
    </row>
    <row r="344" spans="1:8" x14ac:dyDescent="0.25">
      <c r="E344" t="str">
        <f>"202111107125"</f>
        <v>202111107125</v>
      </c>
      <c r="F344" t="str">
        <f>"21-20936"</f>
        <v>21-20936</v>
      </c>
      <c r="G344" s="3">
        <v>622.5</v>
      </c>
      <c r="H344" t="str">
        <f>"21-20936"</f>
        <v>21-20936</v>
      </c>
    </row>
    <row r="345" spans="1:8" x14ac:dyDescent="0.25">
      <c r="A345" t="s">
        <v>102</v>
      </c>
      <c r="B345">
        <v>137749</v>
      </c>
      <c r="C345" s="3">
        <v>1058.42</v>
      </c>
      <c r="D345" s="6">
        <v>44508</v>
      </c>
      <c r="E345" t="str">
        <f>"2325901 2331902"</f>
        <v>2325901 2331902</v>
      </c>
      <c r="F345" t="str">
        <f>"INV 2325901  2331902"</f>
        <v>INV 2325901  2331902</v>
      </c>
      <c r="G345" s="3">
        <v>625.42999999999995</v>
      </c>
      <c r="H345" t="str">
        <f>"INV 2325901"</f>
        <v>INV 2325901</v>
      </c>
    </row>
    <row r="346" spans="1:8" x14ac:dyDescent="0.25">
      <c r="E346" t="str">
        <f>""</f>
        <v/>
      </c>
      <c r="F346" t="str">
        <f>""</f>
        <v/>
      </c>
      <c r="G346" s="3">
        <v>432.99</v>
      </c>
      <c r="H346" t="str">
        <f>"INV 2331902"</f>
        <v>INV 2331902</v>
      </c>
    </row>
    <row r="347" spans="1:8" x14ac:dyDescent="0.25">
      <c r="A347" t="s">
        <v>102</v>
      </c>
      <c r="B347">
        <v>138019</v>
      </c>
      <c r="C347" s="3">
        <v>1226.96</v>
      </c>
      <c r="D347" s="6">
        <v>44522</v>
      </c>
      <c r="E347" t="str">
        <f>"2338447 2344388"</f>
        <v>2338447 2344388</v>
      </c>
      <c r="F347" t="str">
        <f>"INV 2338447  2344388"</f>
        <v>INV 2338447  2344388</v>
      </c>
      <c r="G347" s="3">
        <v>726.16</v>
      </c>
      <c r="H347" t="str">
        <f>"INV 2338447"</f>
        <v>INV 2338447</v>
      </c>
    </row>
    <row r="348" spans="1:8" x14ac:dyDescent="0.25">
      <c r="E348" t="str">
        <f>""</f>
        <v/>
      </c>
      <c r="F348" t="str">
        <f>""</f>
        <v/>
      </c>
      <c r="G348" s="3">
        <v>500.8</v>
      </c>
      <c r="H348" t="str">
        <f>"INV 2344388"</f>
        <v>INV 2344388</v>
      </c>
    </row>
    <row r="349" spans="1:8" x14ac:dyDescent="0.25">
      <c r="A349" t="s">
        <v>103</v>
      </c>
      <c r="B349">
        <v>137750</v>
      </c>
      <c r="C349" s="3">
        <v>64781.279999999999</v>
      </c>
      <c r="D349" s="6">
        <v>44508</v>
      </c>
      <c r="E349" t="str">
        <f>"10530418938"</f>
        <v>10530418938</v>
      </c>
      <c r="F349" t="str">
        <f>"Monitor"</f>
        <v>Monitor</v>
      </c>
      <c r="G349" s="3">
        <v>349.99</v>
      </c>
      <c r="H349" t="str">
        <f>"P2419H"</f>
        <v>P2419H</v>
      </c>
    </row>
    <row r="350" spans="1:8" x14ac:dyDescent="0.25">
      <c r="E350" t="str">
        <f>""</f>
        <v/>
      </c>
      <c r="F350" t="str">
        <f>""</f>
        <v/>
      </c>
      <c r="G350" s="3">
        <v>-150.01</v>
      </c>
      <c r="H350" t="str">
        <f>"Premier Discount"</f>
        <v>Premier Discount</v>
      </c>
    </row>
    <row r="351" spans="1:8" x14ac:dyDescent="0.25">
      <c r="E351" t="str">
        <f>"10530447747"</f>
        <v>10530447747</v>
      </c>
      <c r="F351" t="str">
        <f>"DELL LAPTOPS FOR PCT2"</f>
        <v>DELL LAPTOPS FOR PCT2</v>
      </c>
      <c r="G351" s="3">
        <v>2555.12</v>
      </c>
      <c r="H351" t="str">
        <f>"DELL LAPTOPS FOR PCT2"</f>
        <v>DELL LAPTOPS FOR PCT2</v>
      </c>
    </row>
    <row r="352" spans="1:8" x14ac:dyDescent="0.25">
      <c r="E352" t="str">
        <f>"81059086"</f>
        <v>81059086</v>
      </c>
      <c r="F352" t="str">
        <f>"DELL Invoice FY 21-22"</f>
        <v>DELL Invoice FY 21-22</v>
      </c>
      <c r="G352" s="3">
        <v>50093.279999999999</v>
      </c>
      <c r="H352" t="str">
        <f>"DELL Invoice FY 21-22"</f>
        <v>DELL Invoice FY 21-22</v>
      </c>
    </row>
    <row r="353" spans="1:8" x14ac:dyDescent="0.25">
      <c r="E353" t="str">
        <f>"XPS 15 9510"</f>
        <v>XPS 15 9510</v>
      </c>
      <c r="F353" t="str">
        <f>"Laptops"</f>
        <v>Laptops</v>
      </c>
      <c r="G353" s="3">
        <v>11932.9</v>
      </c>
      <c r="H353" t="str">
        <f>"XPS 15"</f>
        <v>XPS 15</v>
      </c>
    </row>
    <row r="354" spans="1:8" x14ac:dyDescent="0.25">
      <c r="A354" t="s">
        <v>103</v>
      </c>
      <c r="B354">
        <v>138020</v>
      </c>
      <c r="C354" s="3">
        <v>475.54</v>
      </c>
      <c r="D354" s="6">
        <v>44522</v>
      </c>
      <c r="E354" t="str">
        <f>"10525999112"</f>
        <v>10525999112</v>
      </c>
      <c r="F354" t="str">
        <f>"Soundbars"</f>
        <v>Soundbars</v>
      </c>
      <c r="G354" s="3">
        <v>89.98</v>
      </c>
      <c r="H354" t="str">
        <f>"Soundbars"</f>
        <v>Soundbars</v>
      </c>
    </row>
    <row r="355" spans="1:8" x14ac:dyDescent="0.25">
      <c r="E355" t="str">
        <f>""</f>
        <v/>
      </c>
      <c r="F355" t="str">
        <f>""</f>
        <v/>
      </c>
      <c r="G355" s="3">
        <v>-14.4</v>
      </c>
      <c r="H355" t="str">
        <f>"Premier Discount"</f>
        <v>Premier Discount</v>
      </c>
    </row>
    <row r="356" spans="1:8" x14ac:dyDescent="0.25">
      <c r="E356" t="str">
        <f>"10533252341"</f>
        <v>10533252341</v>
      </c>
      <c r="F356" t="str">
        <f>"MonitorsColllectionsComp"</f>
        <v>MonitorsColllectionsComp</v>
      </c>
      <c r="G356" s="3">
        <v>399.96</v>
      </c>
      <c r="H356" t="str">
        <f>"MonitorsColllectionsComp"</f>
        <v>MonitorsColllectionsComp</v>
      </c>
    </row>
    <row r="357" spans="1:8" x14ac:dyDescent="0.25">
      <c r="A357" t="s">
        <v>104</v>
      </c>
      <c r="B357">
        <v>137751</v>
      </c>
      <c r="C357" s="3">
        <v>100</v>
      </c>
      <c r="D357" s="6">
        <v>44508</v>
      </c>
      <c r="E357" t="str">
        <f>"202111016880"</f>
        <v>202111016880</v>
      </c>
      <c r="F357" t="str">
        <f>"FERAL HOGS"</f>
        <v>FERAL HOGS</v>
      </c>
      <c r="G357" s="3">
        <v>100</v>
      </c>
      <c r="H357" t="str">
        <f>"FERAL HOGS"</f>
        <v>FERAL HOGS</v>
      </c>
    </row>
    <row r="358" spans="1:8" x14ac:dyDescent="0.25">
      <c r="A358" t="s">
        <v>105</v>
      </c>
      <c r="B358">
        <v>5370</v>
      </c>
      <c r="C358" s="3">
        <v>2546.25</v>
      </c>
      <c r="D358" s="6">
        <v>44509</v>
      </c>
      <c r="E358" t="str">
        <f>"BATX017575"</f>
        <v>BATX017575</v>
      </c>
      <c r="F358" t="str">
        <f>"INV BATX017575"</f>
        <v>INV BATX017575</v>
      </c>
      <c r="G358" s="3">
        <v>2546.25</v>
      </c>
      <c r="H358" t="str">
        <f>"INV BATX017575"</f>
        <v>INV BATX017575</v>
      </c>
    </row>
    <row r="359" spans="1:8" x14ac:dyDescent="0.25">
      <c r="A359" t="s">
        <v>106</v>
      </c>
      <c r="B359">
        <v>137752</v>
      </c>
      <c r="C359" s="3">
        <v>305</v>
      </c>
      <c r="D359" s="6">
        <v>44508</v>
      </c>
      <c r="E359" t="str">
        <f>"202111016881"</f>
        <v>202111016881</v>
      </c>
      <c r="F359" t="str">
        <f>"FERAL HOGS"</f>
        <v>FERAL HOGS</v>
      </c>
      <c r="G359" s="3">
        <v>305</v>
      </c>
      <c r="H359" t="str">
        <f>"FERAL HOGS"</f>
        <v>FERAL HOGS</v>
      </c>
    </row>
    <row r="360" spans="1:8" x14ac:dyDescent="0.25">
      <c r="A360" t="s">
        <v>107</v>
      </c>
      <c r="B360">
        <v>138021</v>
      </c>
      <c r="C360" s="3">
        <v>38.5</v>
      </c>
      <c r="D360" s="6">
        <v>44522</v>
      </c>
      <c r="E360" t="str">
        <f>"28691"</f>
        <v>28691</v>
      </c>
      <c r="F360" t="str">
        <f>"INV 28691"</f>
        <v>INV 28691</v>
      </c>
      <c r="G360" s="3">
        <v>38.5</v>
      </c>
      <c r="H360" t="str">
        <f>"INV 28691"</f>
        <v>INV 28691</v>
      </c>
    </row>
    <row r="361" spans="1:8" x14ac:dyDescent="0.25">
      <c r="A361" t="s">
        <v>108</v>
      </c>
      <c r="B361">
        <v>137753</v>
      </c>
      <c r="C361" s="3">
        <v>19346.07</v>
      </c>
      <c r="D361" s="6">
        <v>44508</v>
      </c>
      <c r="E361" t="str">
        <f>"22091107N"</f>
        <v>22091107N</v>
      </c>
      <c r="F361" t="str">
        <f>"ID#33133133133000/PKE500/SEPT"</f>
        <v>ID#33133133133000/PKE500/SEPT</v>
      </c>
      <c r="G361" s="3">
        <v>19346.07</v>
      </c>
      <c r="H361" t="str">
        <f>"ID#33133133133000/PKE500/SEPT"</f>
        <v>ID#33133133133000/PKE500/SEPT</v>
      </c>
    </row>
    <row r="362" spans="1:8" x14ac:dyDescent="0.25">
      <c r="A362" t="s">
        <v>109</v>
      </c>
      <c r="B362">
        <v>137754</v>
      </c>
      <c r="C362" s="3">
        <v>362.89</v>
      </c>
      <c r="D362" s="6">
        <v>44508</v>
      </c>
      <c r="E362" t="str">
        <f>"2941048"</f>
        <v>2941048</v>
      </c>
      <c r="F362" t="str">
        <f>"ACCT#27917/PCT#4"</f>
        <v>ACCT#27917/PCT#4</v>
      </c>
      <c r="G362" s="3">
        <v>181.54</v>
      </c>
      <c r="H362" t="str">
        <f>"ACCT#27917/PCT#4"</f>
        <v>ACCT#27917/PCT#4</v>
      </c>
    </row>
    <row r="363" spans="1:8" x14ac:dyDescent="0.25">
      <c r="E363" t="str">
        <f>"2942121"</f>
        <v>2942121</v>
      </c>
      <c r="F363" t="str">
        <f>"ACCT#27917/DEVELOPMENT SVCS"</f>
        <v>ACCT#27917/DEVELOPMENT SVCS</v>
      </c>
      <c r="G363" s="3">
        <v>181.35</v>
      </c>
      <c r="H363" t="str">
        <f>"ACCT#27917/DEVELOPMENT SVCS"</f>
        <v>ACCT#27917/DEVELOPMENT SVCS</v>
      </c>
    </row>
    <row r="364" spans="1:8" x14ac:dyDescent="0.25">
      <c r="A364" t="s">
        <v>110</v>
      </c>
      <c r="B364">
        <v>137755</v>
      </c>
      <c r="C364" s="3">
        <v>9750</v>
      </c>
      <c r="D364" s="6">
        <v>44508</v>
      </c>
      <c r="E364" t="str">
        <f>"33581"</f>
        <v>33581</v>
      </c>
      <c r="F364" t="str">
        <f>"DOBIE SUPPLY LLC"</f>
        <v>DOBIE SUPPLY LLC</v>
      </c>
      <c r="G364" s="3">
        <v>9750</v>
      </c>
      <c r="H364" t="str">
        <f>"Speed Limit Trailer"</f>
        <v>Speed Limit Trailer</v>
      </c>
    </row>
    <row r="365" spans="1:8" x14ac:dyDescent="0.25">
      <c r="A365" t="s">
        <v>111</v>
      </c>
      <c r="B365">
        <v>137756</v>
      </c>
      <c r="C365" s="3">
        <v>180</v>
      </c>
      <c r="D365" s="6">
        <v>44508</v>
      </c>
      <c r="E365" t="str">
        <f>"202111016882"</f>
        <v>202111016882</v>
      </c>
      <c r="F365" t="str">
        <f>"FERAL HOGS"</f>
        <v>FERAL HOGS</v>
      </c>
      <c r="G365" s="3">
        <v>80</v>
      </c>
      <c r="H365" t="str">
        <f>"FERAL HOGS"</f>
        <v>FERAL HOGS</v>
      </c>
    </row>
    <row r="366" spans="1:8" x14ac:dyDescent="0.25">
      <c r="E366" t="str">
        <f>"202111016883"</f>
        <v>202111016883</v>
      </c>
      <c r="F366" t="str">
        <f>"FERAL HOGS"</f>
        <v>FERAL HOGS</v>
      </c>
      <c r="G366" s="3">
        <v>100</v>
      </c>
      <c r="H366" t="str">
        <f>"FERAL HOGS"</f>
        <v>FERAL HOGS</v>
      </c>
    </row>
    <row r="367" spans="1:8" x14ac:dyDescent="0.25">
      <c r="A367" t="s">
        <v>112</v>
      </c>
      <c r="B367">
        <v>137757</v>
      </c>
      <c r="C367" s="3">
        <v>45</v>
      </c>
      <c r="D367" s="6">
        <v>44508</v>
      </c>
      <c r="E367" t="str">
        <f>"202111016885"</f>
        <v>202111016885</v>
      </c>
      <c r="F367" t="str">
        <f>"FERAL HOGS"</f>
        <v>FERAL HOGS</v>
      </c>
      <c r="G367" s="3">
        <v>45</v>
      </c>
      <c r="H367" t="str">
        <f>"FERAL HOGS"</f>
        <v>FERAL HOGS</v>
      </c>
    </row>
    <row r="368" spans="1:8" x14ac:dyDescent="0.25">
      <c r="A368" t="s">
        <v>113</v>
      </c>
      <c r="B368">
        <v>138147</v>
      </c>
      <c r="C368" s="3">
        <v>749.4</v>
      </c>
      <c r="D368" s="6">
        <v>44529</v>
      </c>
      <c r="E368" t="str">
        <f>"202111297411"</f>
        <v>202111297411</v>
      </c>
      <c r="F368" t="str">
        <f>"ACCT#405900029213 / 12312021"</f>
        <v>ACCT#405900029213 / 12312021</v>
      </c>
      <c r="G368" s="3">
        <v>374.7</v>
      </c>
      <c r="H368" t="str">
        <f>"ACCT#405900029213 / 12312021"</f>
        <v>ACCT#405900029213 / 12312021</v>
      </c>
    </row>
    <row r="369" spans="1:8" x14ac:dyDescent="0.25">
      <c r="E369" t="str">
        <f>"202111297412"</f>
        <v>202111297412</v>
      </c>
      <c r="F369" t="str">
        <f>"ACCT#405900029225 / 12312021"</f>
        <v>ACCT#405900029225 / 12312021</v>
      </c>
      <c r="G369" s="3">
        <v>187.35</v>
      </c>
      <c r="H369" t="str">
        <f>"ACCT#405900029225 / 12312021"</f>
        <v>ACCT#405900029225 / 12312021</v>
      </c>
    </row>
    <row r="370" spans="1:8" x14ac:dyDescent="0.25">
      <c r="E370" t="str">
        <f>"202111297413"</f>
        <v>202111297413</v>
      </c>
      <c r="F370" t="str">
        <f>"ACCT#405900028789 / 12312021"</f>
        <v>ACCT#405900028789 / 12312021</v>
      </c>
      <c r="G370" s="3">
        <v>187.35</v>
      </c>
      <c r="H370" t="str">
        <f>"ACCT#405900028789 / 12312021"</f>
        <v>ACCT#405900028789 / 12312021</v>
      </c>
    </row>
    <row r="371" spans="1:8" x14ac:dyDescent="0.25">
      <c r="A371" t="s">
        <v>114</v>
      </c>
      <c r="B371">
        <v>5354</v>
      </c>
      <c r="C371" s="3">
        <v>2483.38</v>
      </c>
      <c r="D371" s="6">
        <v>44509</v>
      </c>
      <c r="E371" t="str">
        <f>"30124B"</f>
        <v>30124B</v>
      </c>
      <c r="F371" t="str">
        <f>"INV 30124B"</f>
        <v>INV 30124B</v>
      </c>
      <c r="G371" s="3">
        <v>2483.38</v>
      </c>
      <c r="H371" t="str">
        <f>"INV 30124B"</f>
        <v>INV 30124B</v>
      </c>
    </row>
    <row r="372" spans="1:8" x14ac:dyDescent="0.25">
      <c r="A372" t="s">
        <v>115</v>
      </c>
      <c r="B372">
        <v>138022</v>
      </c>
      <c r="C372" s="3">
        <v>483.19</v>
      </c>
      <c r="D372" s="6">
        <v>44522</v>
      </c>
      <c r="E372" t="str">
        <f>"43141"</f>
        <v>43141</v>
      </c>
      <c r="F372" t="str">
        <f>"UNIT #J1  PCT#4"</f>
        <v>UNIT #J1  PCT#4</v>
      </c>
      <c r="G372" s="3">
        <v>483.19</v>
      </c>
      <c r="H372" t="str">
        <f>"UNIT #J1  PCT#4"</f>
        <v>UNIT #J1  PCT#4</v>
      </c>
    </row>
    <row r="373" spans="1:8" x14ac:dyDescent="0.25">
      <c r="A373" t="s">
        <v>116</v>
      </c>
      <c r="B373">
        <v>137758</v>
      </c>
      <c r="C373" s="3">
        <v>2084</v>
      </c>
      <c r="D373" s="6">
        <v>44508</v>
      </c>
      <c r="E373" t="str">
        <f>"9360111"</f>
        <v>9360111</v>
      </c>
      <c r="F373" t="str">
        <f>"PLUMBING SVCS/PCT#2"</f>
        <v>PLUMBING SVCS/PCT#2</v>
      </c>
      <c r="G373" s="3">
        <v>2084</v>
      </c>
      <c r="H373" t="str">
        <f>"PLUMBING SVCS/PCT#2"</f>
        <v>PLUMBING SVCS/PCT#2</v>
      </c>
    </row>
    <row r="374" spans="1:8" x14ac:dyDescent="0.25">
      <c r="A374" t="s">
        <v>117</v>
      </c>
      <c r="B374">
        <v>138023</v>
      </c>
      <c r="C374" s="3">
        <v>390</v>
      </c>
      <c r="D374" s="6">
        <v>44522</v>
      </c>
      <c r="E374" t="str">
        <f>"011"</f>
        <v>011</v>
      </c>
      <c r="F374" t="str">
        <f>"INTERPRETING SVCS"</f>
        <v>INTERPRETING SVCS</v>
      </c>
      <c r="G374" s="3">
        <v>390</v>
      </c>
      <c r="H374" t="str">
        <f>"INTERPRETING SVCS"</f>
        <v>INTERPRETING SVCS</v>
      </c>
    </row>
    <row r="375" spans="1:8" x14ac:dyDescent="0.25">
      <c r="A375" t="s">
        <v>118</v>
      </c>
      <c r="B375">
        <v>5389</v>
      </c>
      <c r="C375" s="3">
        <v>6026.25</v>
      </c>
      <c r="D375" s="6">
        <v>44509</v>
      </c>
      <c r="E375" t="str">
        <f>"202110276684"</f>
        <v>202110276684</v>
      </c>
      <c r="F375" t="str">
        <f>"02-0509-4"</f>
        <v>02-0509-4</v>
      </c>
      <c r="G375" s="3">
        <v>400</v>
      </c>
      <c r="H375" t="str">
        <f>"02-0509-4"</f>
        <v>02-0509-4</v>
      </c>
    </row>
    <row r="376" spans="1:8" x14ac:dyDescent="0.25">
      <c r="E376" t="str">
        <f>"202110276685"</f>
        <v>202110276685</v>
      </c>
      <c r="F376" t="str">
        <f>"17076"</f>
        <v>17076</v>
      </c>
      <c r="G376" s="3">
        <v>800</v>
      </c>
      <c r="H376" t="str">
        <f>"17076"</f>
        <v>17076</v>
      </c>
    </row>
    <row r="377" spans="1:8" x14ac:dyDescent="0.25">
      <c r="E377" t="str">
        <f>"202110276686"</f>
        <v>202110276686</v>
      </c>
      <c r="F377" t="str">
        <f>"17388  311092019C"</f>
        <v>17388  311092019C</v>
      </c>
      <c r="G377" s="3">
        <v>800</v>
      </c>
      <c r="H377" t="str">
        <f>"17388  311092019C"</f>
        <v>17388  311092019C</v>
      </c>
    </row>
    <row r="378" spans="1:8" x14ac:dyDescent="0.25">
      <c r="E378" t="str">
        <f>"202111026956"</f>
        <v>202111026956</v>
      </c>
      <c r="F378" t="str">
        <f>"17-18278"</f>
        <v>17-18278</v>
      </c>
      <c r="G378" s="3">
        <v>131.25</v>
      </c>
      <c r="H378" t="str">
        <f>"17-18278"</f>
        <v>17-18278</v>
      </c>
    </row>
    <row r="379" spans="1:8" x14ac:dyDescent="0.25">
      <c r="E379" t="str">
        <f>"202111026957"</f>
        <v>202111026957</v>
      </c>
      <c r="F379" t="str">
        <f>"19-19567"</f>
        <v>19-19567</v>
      </c>
      <c r="G379" s="3">
        <v>168.75</v>
      </c>
      <c r="H379" t="str">
        <f>"19-19567"</f>
        <v>19-19567</v>
      </c>
    </row>
    <row r="380" spans="1:8" x14ac:dyDescent="0.25">
      <c r="E380" t="str">
        <f>"202111026958"</f>
        <v>202111026958</v>
      </c>
      <c r="F380" t="str">
        <f>"20-20207"</f>
        <v>20-20207</v>
      </c>
      <c r="G380" s="3">
        <v>187.5</v>
      </c>
      <c r="H380" t="str">
        <f>"20-20207"</f>
        <v>20-20207</v>
      </c>
    </row>
    <row r="381" spans="1:8" x14ac:dyDescent="0.25">
      <c r="E381" t="str">
        <f>"202111026970"</f>
        <v>202111026970</v>
      </c>
      <c r="F381" t="str">
        <f>"19-19994"</f>
        <v>19-19994</v>
      </c>
      <c r="G381" s="3">
        <v>2895</v>
      </c>
      <c r="H381" t="str">
        <f>"19-19994"</f>
        <v>19-19994</v>
      </c>
    </row>
    <row r="382" spans="1:8" x14ac:dyDescent="0.25">
      <c r="E382" t="str">
        <f>"202111026971"</f>
        <v>202111026971</v>
      </c>
      <c r="F382" t="str">
        <f>"20-20060"</f>
        <v>20-20060</v>
      </c>
      <c r="G382" s="3">
        <v>225</v>
      </c>
      <c r="H382" t="str">
        <f>"20-20060"</f>
        <v>20-20060</v>
      </c>
    </row>
    <row r="383" spans="1:8" x14ac:dyDescent="0.25">
      <c r="E383" t="str">
        <f>"202111026972"</f>
        <v>202111026972</v>
      </c>
      <c r="F383" t="str">
        <f>"21-20839"</f>
        <v>21-20839</v>
      </c>
      <c r="G383" s="3">
        <v>418.75</v>
      </c>
      <c r="H383" t="str">
        <f>"21-20839"</f>
        <v>21-20839</v>
      </c>
    </row>
    <row r="384" spans="1:8" x14ac:dyDescent="0.25">
      <c r="A384" t="s">
        <v>118</v>
      </c>
      <c r="B384">
        <v>5464</v>
      </c>
      <c r="C384" s="3">
        <v>22756.25</v>
      </c>
      <c r="D384" s="6">
        <v>44523</v>
      </c>
      <c r="E384" t="str">
        <f>"202111107096"</f>
        <v>202111107096</v>
      </c>
      <c r="F384" t="str">
        <f>"16789"</f>
        <v>16789</v>
      </c>
      <c r="G384" s="3">
        <v>21000</v>
      </c>
      <c r="H384" t="str">
        <f>"16789"</f>
        <v>16789</v>
      </c>
    </row>
    <row r="385" spans="1:8" x14ac:dyDescent="0.25">
      <c r="E385" t="str">
        <f>"202111107105"</f>
        <v>202111107105</v>
      </c>
      <c r="F385" t="str">
        <f>"21-20947"</f>
        <v>21-20947</v>
      </c>
      <c r="G385" s="3">
        <v>100</v>
      </c>
      <c r="H385" t="str">
        <f>"21-20947"</f>
        <v>21-20947</v>
      </c>
    </row>
    <row r="386" spans="1:8" x14ac:dyDescent="0.25">
      <c r="E386" t="str">
        <f>"202111107106"</f>
        <v>202111107106</v>
      </c>
      <c r="F386" t="str">
        <f>"20-20527"</f>
        <v>20-20527</v>
      </c>
      <c r="G386" s="3">
        <v>312.5</v>
      </c>
      <c r="H386" t="str">
        <f>"20-20527"</f>
        <v>20-20527</v>
      </c>
    </row>
    <row r="387" spans="1:8" x14ac:dyDescent="0.25">
      <c r="E387" t="str">
        <f>"202111107107"</f>
        <v>202111107107</v>
      </c>
      <c r="F387" t="str">
        <f>"20-20394"</f>
        <v>20-20394</v>
      </c>
      <c r="G387" s="3">
        <v>212.5</v>
      </c>
      <c r="H387" t="str">
        <f>"20-20394"</f>
        <v>20-20394</v>
      </c>
    </row>
    <row r="388" spans="1:8" x14ac:dyDescent="0.25">
      <c r="E388" t="str">
        <f>"202111157155"</f>
        <v>202111157155</v>
      </c>
      <c r="F388" t="str">
        <f>"21-20975"</f>
        <v>21-20975</v>
      </c>
      <c r="G388" s="3">
        <v>531.25</v>
      </c>
      <c r="H388" t="str">
        <f>"21-20975"</f>
        <v>21-20975</v>
      </c>
    </row>
    <row r="389" spans="1:8" x14ac:dyDescent="0.25">
      <c r="E389" t="str">
        <f>"202111157156"</f>
        <v>202111157156</v>
      </c>
      <c r="F389" t="str">
        <f>"20-20107"</f>
        <v>20-20107</v>
      </c>
      <c r="G389" s="3">
        <v>600</v>
      </c>
      <c r="H389" t="str">
        <f>"20-20107"</f>
        <v>20-20107</v>
      </c>
    </row>
    <row r="390" spans="1:8" x14ac:dyDescent="0.25">
      <c r="A390" t="s">
        <v>119</v>
      </c>
      <c r="B390">
        <v>5353</v>
      </c>
      <c r="C390" s="3">
        <v>4570</v>
      </c>
      <c r="D390" s="6">
        <v>44509</v>
      </c>
      <c r="E390" t="str">
        <f>"INV-21276"</f>
        <v>INV-21276</v>
      </c>
      <c r="F390" t="str">
        <f>"EASYINVENTORY/TRAINING"</f>
        <v>EASYINVENTORY/TRAINING</v>
      </c>
      <c r="G390" s="3">
        <v>4570</v>
      </c>
      <c r="H390" t="str">
        <f>"EASYINVENTORY/TRAINING"</f>
        <v>EASYINVENTORY/TRAINING</v>
      </c>
    </row>
    <row r="391" spans="1:8" x14ac:dyDescent="0.25">
      <c r="A391" t="s">
        <v>120</v>
      </c>
      <c r="B391">
        <v>5371</v>
      </c>
      <c r="C391" s="3">
        <v>996.32</v>
      </c>
      <c r="D391" s="6">
        <v>44509</v>
      </c>
      <c r="E391" t="str">
        <f>"6264256018"</f>
        <v>6264256018</v>
      </c>
      <c r="F391" t="str">
        <f>"INV 6264256018"</f>
        <v>INV 6264256018</v>
      </c>
      <c r="G391" s="3">
        <v>996.32</v>
      </c>
      <c r="H391" t="str">
        <f>"INV 6264256018"</f>
        <v>INV 6264256018</v>
      </c>
    </row>
    <row r="392" spans="1:8" x14ac:dyDescent="0.25">
      <c r="A392" t="s">
        <v>120</v>
      </c>
      <c r="B392">
        <v>5444</v>
      </c>
      <c r="C392" s="3">
        <v>2104.8000000000002</v>
      </c>
      <c r="D392" s="6">
        <v>44523</v>
      </c>
      <c r="E392" t="str">
        <f>"6264560647"</f>
        <v>6264560647</v>
      </c>
      <c r="F392" t="str">
        <f>"INV 6264560647"</f>
        <v>INV 6264560647</v>
      </c>
      <c r="G392" s="3">
        <v>2104.8000000000002</v>
      </c>
      <c r="H392" t="str">
        <f>"INV 6264560647"</f>
        <v>INV 6264560647</v>
      </c>
    </row>
    <row r="393" spans="1:8" x14ac:dyDescent="0.25">
      <c r="A393" t="s">
        <v>121</v>
      </c>
      <c r="B393">
        <v>138024</v>
      </c>
      <c r="C393" s="3">
        <v>706.23</v>
      </c>
      <c r="D393" s="6">
        <v>44522</v>
      </c>
      <c r="E393" t="str">
        <f>"6000686582"</f>
        <v>6000686582</v>
      </c>
      <c r="F393" t="str">
        <f>"ACCT#3422853/ANIMAL CONTROL"</f>
        <v>ACCT#3422853/ANIMAL CONTROL</v>
      </c>
      <c r="G393" s="3">
        <v>706.23</v>
      </c>
      <c r="H393" t="str">
        <f>"ACCT#3422853/ANIMAL CONTROL"</f>
        <v>ACCT#3422853/ANIMAL CONTROL</v>
      </c>
    </row>
    <row r="394" spans="1:8" x14ac:dyDescent="0.25">
      <c r="A394" t="s">
        <v>122</v>
      </c>
      <c r="B394">
        <v>137759</v>
      </c>
      <c r="C394" s="3">
        <v>15675</v>
      </c>
      <c r="D394" s="6">
        <v>44508</v>
      </c>
      <c r="E394" t="str">
        <f>"CD2010926"</f>
        <v>CD2010926</v>
      </c>
      <c r="F394" t="str">
        <f>"CUST#30344/CART/COMBO"</f>
        <v>CUST#30344/CART/COMBO</v>
      </c>
      <c r="G394" s="3">
        <v>15675</v>
      </c>
      <c r="H394" t="str">
        <f>"CUST#30344/CART/COMBO"</f>
        <v>CUST#30344/CART/COMBO</v>
      </c>
    </row>
    <row r="395" spans="1:8" x14ac:dyDescent="0.25">
      <c r="A395" t="s">
        <v>122</v>
      </c>
      <c r="B395">
        <v>138025</v>
      </c>
      <c r="C395" s="3">
        <v>4675</v>
      </c>
      <c r="D395" s="6">
        <v>44522</v>
      </c>
      <c r="E395" t="str">
        <f>"CD2011917"</f>
        <v>CD2011917</v>
      </c>
      <c r="F395" t="str">
        <f>"CUST #30344/ELECTIONS"</f>
        <v>CUST #30344/ELECTIONS</v>
      </c>
      <c r="G395" s="3">
        <v>4675</v>
      </c>
      <c r="H395" t="str">
        <f>"CUST #30344/ELECTIONS"</f>
        <v>CUST #30344/ELECTIONS</v>
      </c>
    </row>
    <row r="396" spans="1:8" x14ac:dyDescent="0.25">
      <c r="A396" t="s">
        <v>123</v>
      </c>
      <c r="B396">
        <v>138026</v>
      </c>
      <c r="C396" s="3">
        <v>950</v>
      </c>
      <c r="D396" s="6">
        <v>44522</v>
      </c>
      <c r="E396" t="str">
        <f>"52421-29549"</f>
        <v>52421-29549</v>
      </c>
      <c r="F396" t="str">
        <f>"ELGUIN COURIER"</f>
        <v>ELGUIN COURIER</v>
      </c>
      <c r="G396" s="3">
        <v>945</v>
      </c>
      <c r="H396" t="str">
        <f>"ELGUIN COURIER"</f>
        <v>ELGUIN COURIER</v>
      </c>
    </row>
    <row r="397" spans="1:8" x14ac:dyDescent="0.25">
      <c r="E397" t="str">
        <f>""</f>
        <v/>
      </c>
      <c r="F397" t="str">
        <f>""</f>
        <v/>
      </c>
      <c r="G397" s="3">
        <v>5</v>
      </c>
      <c r="H397" t="str">
        <f>"AFFIDAVIT FEE"</f>
        <v>AFFIDAVIT FEE</v>
      </c>
    </row>
    <row r="398" spans="1:8" x14ac:dyDescent="0.25">
      <c r="A398" t="s">
        <v>124</v>
      </c>
      <c r="B398">
        <v>137702</v>
      </c>
      <c r="C398" s="3">
        <v>1729.13</v>
      </c>
      <c r="D398" s="6">
        <v>44504</v>
      </c>
      <c r="E398" t="str">
        <f>"202111047006"</f>
        <v>202111047006</v>
      </c>
      <c r="F398" t="str">
        <f>"ACCT#007-0008410-002 / 103121"</f>
        <v>ACCT#007-0008410-002 / 103121</v>
      </c>
      <c r="G398" s="3">
        <v>241.11</v>
      </c>
      <c r="H398" t="str">
        <f>"ACCT#007-0008410-002 / 103121"</f>
        <v>ACCT#007-0008410-002 / 103121</v>
      </c>
    </row>
    <row r="399" spans="1:8" x14ac:dyDescent="0.25">
      <c r="E399" t="str">
        <f>"202111047007"</f>
        <v>202111047007</v>
      </c>
      <c r="F399" t="str">
        <f>"ACCT#0070011501-000/103121"</f>
        <v>ACCT#0070011501-000/103121</v>
      </c>
      <c r="G399" s="3">
        <v>222.52</v>
      </c>
      <c r="H399" t="str">
        <f>"CITY OF ELGIN UTILITIES"</f>
        <v>CITY OF ELGIN UTILITIES</v>
      </c>
    </row>
    <row r="400" spans="1:8" x14ac:dyDescent="0.25">
      <c r="E400" t="str">
        <f>"202111047008"</f>
        <v>202111047008</v>
      </c>
      <c r="F400" t="str">
        <f>"ACCT#007-0011510-000 / 103121"</f>
        <v>ACCT#007-0011510-000 / 103121</v>
      </c>
      <c r="G400" s="3">
        <v>259.89999999999998</v>
      </c>
      <c r="H400" t="str">
        <f>"CITY OF ELGIN UTILITIES"</f>
        <v>CITY OF ELGIN UTILITIES</v>
      </c>
    </row>
    <row r="401" spans="1:8" x14ac:dyDescent="0.25">
      <c r="E401" t="str">
        <f>"202111047009"</f>
        <v>202111047009</v>
      </c>
      <c r="F401" t="str">
        <f>"ACCT#007-0011530-000 / 103121"</f>
        <v>ACCT#007-0011530-000 / 103121</v>
      </c>
      <c r="G401" s="3">
        <v>108.67</v>
      </c>
      <c r="H401" t="str">
        <f>"CITY OF ELGIN UTILITIES"</f>
        <v>CITY OF ELGIN UTILITIES</v>
      </c>
    </row>
    <row r="402" spans="1:8" x14ac:dyDescent="0.25">
      <c r="E402" t="str">
        <f>"202111047010"</f>
        <v>202111047010</v>
      </c>
      <c r="F402" t="str">
        <f>"ACCT#007-0011534-001 / 103121"</f>
        <v>ACCT#007-0011534-001 / 103121</v>
      </c>
      <c r="G402" s="3">
        <v>184.26</v>
      </c>
      <c r="H402" t="str">
        <f>"CITY OF ELGIN UTILITIES"</f>
        <v>CITY OF ELGIN UTILITIES</v>
      </c>
    </row>
    <row r="403" spans="1:8" x14ac:dyDescent="0.25">
      <c r="E403" t="str">
        <f>"202111047011"</f>
        <v>202111047011</v>
      </c>
      <c r="F403" t="str">
        <f>"ACCT#007-0011535-000 / 103121"</f>
        <v>ACCT#007-0011535-000 / 103121</v>
      </c>
      <c r="G403" s="3">
        <v>307.39999999999998</v>
      </c>
      <c r="H403" t="str">
        <f>"CITY OF ELGIN UTILITIES"</f>
        <v>CITY OF ELGIN UTILITIES</v>
      </c>
    </row>
    <row r="404" spans="1:8" x14ac:dyDescent="0.25">
      <c r="E404" t="str">
        <f>"202111047012"</f>
        <v>202111047012</v>
      </c>
      <c r="F404" t="str">
        <f>"ACCT#007-0011544-001 / 103121"</f>
        <v>ACCT#007-0011544-001 / 103121</v>
      </c>
      <c r="G404" s="3">
        <v>405.27</v>
      </c>
      <c r="H404" t="str">
        <f>"ACCT#007-0011544-001 / 103121"</f>
        <v>ACCT#007-0011544-001 / 103121</v>
      </c>
    </row>
    <row r="405" spans="1:8" x14ac:dyDescent="0.25">
      <c r="A405" t="s">
        <v>125</v>
      </c>
      <c r="B405">
        <v>137760</v>
      </c>
      <c r="C405" s="3">
        <v>41.7</v>
      </c>
      <c r="D405" s="6">
        <v>44508</v>
      </c>
      <c r="E405" t="str">
        <f>"202110276706"</f>
        <v>202110276706</v>
      </c>
      <c r="F405" t="str">
        <f>"REIMBURSEMENT FOR  PAPER"</f>
        <v>REIMBURSEMENT FOR  PAPER</v>
      </c>
      <c r="G405" s="3">
        <v>41.7</v>
      </c>
      <c r="H405" t="str">
        <f>"REIMBURSEMENT FOR  PAPER"</f>
        <v>REIMBURSEMENT FOR  PAPER</v>
      </c>
    </row>
    <row r="406" spans="1:8" x14ac:dyDescent="0.25">
      <c r="A406" t="s">
        <v>126</v>
      </c>
      <c r="B406">
        <v>137761</v>
      </c>
      <c r="C406" s="3">
        <v>98.4</v>
      </c>
      <c r="D406" s="6">
        <v>44508</v>
      </c>
      <c r="E406" t="str">
        <f>"202111016867"</f>
        <v>202111016867</v>
      </c>
      <c r="F406" t="str">
        <f>"CUST ID:0888336-1/GEN SVCS"</f>
        <v>CUST ID:0888336-1/GEN SVCS</v>
      </c>
      <c r="G406" s="3">
        <v>98.4</v>
      </c>
      <c r="H406" t="str">
        <f>"CUST ID:0888336-1/GEN SVCS"</f>
        <v>CUST ID:0888336-1/GEN SVCS</v>
      </c>
    </row>
    <row r="407" spans="1:8" x14ac:dyDescent="0.25">
      <c r="A407" t="s">
        <v>127</v>
      </c>
      <c r="B407">
        <v>137762</v>
      </c>
      <c r="C407" s="3">
        <v>151492.71</v>
      </c>
      <c r="D407" s="6">
        <v>44508</v>
      </c>
      <c r="E407" t="str">
        <f>"9402562192"</f>
        <v>9402562192</v>
      </c>
      <c r="F407" t="str">
        <f>"ACCT#912897/BOL#29630/PCT#3"</f>
        <v>ACCT#912897/BOL#29630/PCT#3</v>
      </c>
      <c r="G407" s="3">
        <v>15499.05</v>
      </c>
      <c r="H407" t="str">
        <f>"ACCT#912897/BOL#29630/PCT#3"</f>
        <v>ACCT#912897/BOL#29630/PCT#3</v>
      </c>
    </row>
    <row r="408" spans="1:8" x14ac:dyDescent="0.25">
      <c r="E408" t="str">
        <f>"9402565438"</f>
        <v>9402565438</v>
      </c>
      <c r="F408" t="str">
        <f>"ACCT#912897/BOL#29174/PCT#3"</f>
        <v>ACCT#912897/BOL#29174/PCT#3</v>
      </c>
      <c r="G408" s="3">
        <v>14774.34</v>
      </c>
      <c r="H408" t="str">
        <f>"ACCT#912897/BOL#29174/PCT#3"</f>
        <v>ACCT#912897/BOL#29174/PCT#3</v>
      </c>
    </row>
    <row r="409" spans="1:8" x14ac:dyDescent="0.25">
      <c r="E409" t="str">
        <f>"9402583949"</f>
        <v>9402583949</v>
      </c>
      <c r="F409" t="str">
        <f>"ACCT#912922/PCT#1"</f>
        <v>ACCT#912922/PCT#1</v>
      </c>
      <c r="G409" s="3">
        <v>12458.22</v>
      </c>
      <c r="H409" t="str">
        <f>"ACCT#912922/PCT#1"</f>
        <v>ACCT#912922/PCT#1</v>
      </c>
    </row>
    <row r="410" spans="1:8" x14ac:dyDescent="0.25">
      <c r="E410" t="str">
        <f>"9402584706"</f>
        <v>9402584706</v>
      </c>
      <c r="F410" t="str">
        <f>"ACCT#912897/BOL#29920/PCT#3"</f>
        <v>ACCT#912897/BOL#29920/PCT#3</v>
      </c>
      <c r="G410" s="3">
        <v>16156.77</v>
      </c>
      <c r="H410" t="str">
        <f>"ACCT#912897/BOL#29920/PCT#3"</f>
        <v>ACCT#912897/BOL#29920/PCT#3</v>
      </c>
    </row>
    <row r="411" spans="1:8" x14ac:dyDescent="0.25">
      <c r="E411" t="str">
        <f>"9402584707"</f>
        <v>9402584707</v>
      </c>
      <c r="F411" t="str">
        <f>"ACCT#912897/BOL#29922/PCT#3"</f>
        <v>ACCT#912897/BOL#29922/PCT#3</v>
      </c>
      <c r="G411" s="3">
        <v>15974.07</v>
      </c>
      <c r="H411" t="str">
        <f>"ACCT#912897/BOL#29922/PCT#3"</f>
        <v>ACCT#912897/BOL#29922/PCT#3</v>
      </c>
    </row>
    <row r="412" spans="1:8" x14ac:dyDescent="0.25">
      <c r="E412" t="str">
        <f>"9402585129"</f>
        <v>9402585129</v>
      </c>
      <c r="F412" t="str">
        <f>"ACCT#912897/BOL#29924/PCT#3"</f>
        <v>ACCT#912897/BOL#29924/PCT#3</v>
      </c>
      <c r="G412" s="3">
        <v>16034.97</v>
      </c>
      <c r="H412" t="str">
        <f>"ACCT#912897/BOL#29924/PCT#3"</f>
        <v>ACCT#912897/BOL#29924/PCT#3</v>
      </c>
    </row>
    <row r="413" spans="1:8" x14ac:dyDescent="0.25">
      <c r="E413" t="str">
        <f>"9402585976"</f>
        <v>9402585976</v>
      </c>
      <c r="F413" t="str">
        <f>"ACCT#912897/BOL#29936/PCT#3"</f>
        <v>ACCT#912897/BOL#29936/PCT#3</v>
      </c>
      <c r="G413" s="3">
        <v>15797.46</v>
      </c>
      <c r="H413" t="str">
        <f>"ACCT#912897/BOL#29936/PCT#3"</f>
        <v>ACCT#912897/BOL#29936/PCT#3</v>
      </c>
    </row>
    <row r="414" spans="1:8" x14ac:dyDescent="0.25">
      <c r="E414" t="str">
        <f>"9402586856"</f>
        <v>9402586856</v>
      </c>
      <c r="F414" t="str">
        <f>"ACCT#912922/PCT#1"</f>
        <v>ACCT#912922/PCT#1</v>
      </c>
      <c r="G414" s="3">
        <v>12874.74</v>
      </c>
      <c r="H414" t="str">
        <f>"ACCT#912922/PCT#1"</f>
        <v>ACCT#912922/PCT#1</v>
      </c>
    </row>
    <row r="415" spans="1:8" x14ac:dyDescent="0.25">
      <c r="E415" t="str">
        <f>"9402588925"</f>
        <v>9402588925</v>
      </c>
      <c r="F415" t="str">
        <f>"ACCT#912922/PCT#1"</f>
        <v>ACCT#912922/PCT#1</v>
      </c>
      <c r="G415" s="3">
        <v>13066.98</v>
      </c>
      <c r="H415" t="str">
        <f>"ACCT#912922/PCT#1"</f>
        <v>ACCT#912922/PCT#1</v>
      </c>
    </row>
    <row r="416" spans="1:8" x14ac:dyDescent="0.25">
      <c r="E416" t="str">
        <f>"9402589911"</f>
        <v>9402589911</v>
      </c>
      <c r="F416" t="str">
        <f>"ACCT#912922/PCT#1"</f>
        <v>ACCT#912922/PCT#1</v>
      </c>
      <c r="G416" s="3">
        <v>3819.9</v>
      </c>
      <c r="H416" t="str">
        <f>"ACCT#912922/PCT#1"</f>
        <v>ACCT#912922/PCT#1</v>
      </c>
    </row>
    <row r="417" spans="1:8" x14ac:dyDescent="0.25">
      <c r="E417" t="str">
        <f>"9402593482"</f>
        <v>9402593482</v>
      </c>
      <c r="F417" t="str">
        <f>"ACCT#912897/BOL#30001/PCT#3"</f>
        <v>ACCT#912897/BOL#30001/PCT#3</v>
      </c>
      <c r="G417" s="3">
        <v>15036.21</v>
      </c>
      <c r="H417" t="str">
        <f>"ACCT#912897/BOL#30001/PCT#3"</f>
        <v>ACCT#912897/BOL#30001/PCT#3</v>
      </c>
    </row>
    <row r="418" spans="1:8" x14ac:dyDescent="0.25">
      <c r="A418" t="s">
        <v>127</v>
      </c>
      <c r="B418">
        <v>138027</v>
      </c>
      <c r="C418" s="3">
        <v>25406.3</v>
      </c>
      <c r="D418" s="6">
        <v>44522</v>
      </c>
      <c r="E418" t="str">
        <f>"9402592739"</f>
        <v>9402592739</v>
      </c>
      <c r="F418" t="str">
        <f>"ACT#912922 BOL #29997 PCT#1"</f>
        <v>ACT#912922 BOL #29997 PCT#1</v>
      </c>
      <c r="G418" s="3">
        <v>13579.62</v>
      </c>
      <c r="H418" t="str">
        <f>"ACT#912922 BOL #29997 PCT#1"</f>
        <v>ACT#912922 BOL #29997 PCT#1</v>
      </c>
    </row>
    <row r="419" spans="1:8" x14ac:dyDescent="0.25">
      <c r="E419" t="str">
        <f>"9402597981"</f>
        <v>9402597981</v>
      </c>
      <c r="F419" t="str">
        <f>"BOL #30029 PCT3"</f>
        <v>BOL #30029 PCT3</v>
      </c>
      <c r="G419" s="3">
        <v>11406.57</v>
      </c>
      <c r="H419" t="str">
        <f>"BOL #30029 PCT3"</f>
        <v>BOL #30029 PCT3</v>
      </c>
    </row>
    <row r="420" spans="1:8" x14ac:dyDescent="0.25">
      <c r="E420" t="str">
        <f>"9402599582"</f>
        <v>9402599582</v>
      </c>
      <c r="F420" t="str">
        <f>"BOL NO: 29813 PCT#1"</f>
        <v>BOL NO: 29813 PCT#1</v>
      </c>
      <c r="G420" s="3">
        <v>420.11</v>
      </c>
      <c r="H420" t="str">
        <f>"BOL NO: 29813 PCT#1"</f>
        <v>BOL NO: 29813 PCT#1</v>
      </c>
    </row>
    <row r="421" spans="1:8" x14ac:dyDescent="0.25">
      <c r="A421" t="s">
        <v>128</v>
      </c>
      <c r="B421">
        <v>138028</v>
      </c>
      <c r="C421" s="3">
        <v>600</v>
      </c>
      <c r="D421" s="6">
        <v>44522</v>
      </c>
      <c r="E421" t="str">
        <f>"202111107079"</f>
        <v>202111107079</v>
      </c>
      <c r="F421" t="str">
        <f>"423-6341 INTERPRETER"</f>
        <v>423-6341 INTERPRETER</v>
      </c>
      <c r="G421" s="3">
        <v>600</v>
      </c>
      <c r="H421" t="str">
        <f>"423-6341 INTERPRETER"</f>
        <v>423-6341 INTERPRETER</v>
      </c>
    </row>
    <row r="422" spans="1:8" x14ac:dyDescent="0.25">
      <c r="A422" t="s">
        <v>129</v>
      </c>
      <c r="B422">
        <v>5457</v>
      </c>
      <c r="C422" s="3">
        <v>188.62</v>
      </c>
      <c r="D422" s="6">
        <v>44523</v>
      </c>
      <c r="E422" t="str">
        <f>"3436279"</f>
        <v>3436279</v>
      </c>
      <c r="F422" t="str">
        <f>"ACCT#00405/PARTS/PCT#2"</f>
        <v>ACCT#00405/PARTS/PCT#2</v>
      </c>
      <c r="G422" s="3">
        <v>188.62</v>
      </c>
      <c r="H422" t="str">
        <f>"PARTS PCT#1"</f>
        <v>PARTS PCT#1</v>
      </c>
    </row>
    <row r="423" spans="1:8" x14ac:dyDescent="0.25">
      <c r="A423" t="s">
        <v>130</v>
      </c>
      <c r="B423">
        <v>138029</v>
      </c>
      <c r="C423" s="3">
        <v>699</v>
      </c>
      <c r="D423" s="6">
        <v>44522</v>
      </c>
      <c r="E423" t="str">
        <f>"104726"</f>
        <v>104726</v>
      </c>
      <c r="F423" t="str">
        <f>"INV 104726"</f>
        <v>INV 104726</v>
      </c>
      <c r="G423" s="3">
        <v>699</v>
      </c>
      <c r="H423" t="str">
        <f>"INV 104726"</f>
        <v>INV 104726</v>
      </c>
    </row>
    <row r="424" spans="1:8" x14ac:dyDescent="0.25">
      <c r="A424" t="s">
        <v>131</v>
      </c>
      <c r="B424">
        <v>5372</v>
      </c>
      <c r="C424" s="3">
        <v>12000</v>
      </c>
      <c r="D424" s="6">
        <v>44509</v>
      </c>
      <c r="E424" t="str">
        <f>"202110276709"</f>
        <v>202110276709</v>
      </c>
      <c r="F424" t="str">
        <f>"FY 2022 BUDGET"</f>
        <v>FY 2022 BUDGET</v>
      </c>
      <c r="G424" s="3">
        <v>12000</v>
      </c>
      <c r="H424" t="str">
        <f>"FY 2022 BUDGET"</f>
        <v>FY 2022 BUDGET</v>
      </c>
    </row>
    <row r="425" spans="1:8" x14ac:dyDescent="0.25">
      <c r="A425" t="s">
        <v>131</v>
      </c>
      <c r="B425">
        <v>5445</v>
      </c>
      <c r="C425" s="3">
        <v>8886.89</v>
      </c>
      <c r="D425" s="6">
        <v>44523</v>
      </c>
      <c r="E425" t="str">
        <f>"202111167167"</f>
        <v>202111167167</v>
      </c>
      <c r="F425" t="str">
        <f>"GRANT REIMMURSEMENT"</f>
        <v>GRANT REIMMURSEMENT</v>
      </c>
      <c r="G425" s="3">
        <v>8886.89</v>
      </c>
      <c r="H425" t="str">
        <f>"GRANT REIMMURSEMENT"</f>
        <v>GRANT REIMMURSEMENT</v>
      </c>
    </row>
    <row r="426" spans="1:8" x14ac:dyDescent="0.25">
      <c r="A426" t="s">
        <v>132</v>
      </c>
      <c r="B426">
        <v>137763</v>
      </c>
      <c r="C426" s="3">
        <v>13.64</v>
      </c>
      <c r="D426" s="6">
        <v>44508</v>
      </c>
      <c r="E426" t="str">
        <f>"7-547-50163"</f>
        <v>7-547-50163</v>
      </c>
      <c r="F426" t="str">
        <f>"INV 7-547-50163"</f>
        <v>INV 7-547-50163</v>
      </c>
      <c r="G426" s="3">
        <v>13.64</v>
      </c>
      <c r="H426" t="str">
        <f>"INV 7-547-50163"</f>
        <v>INV 7-547-50163</v>
      </c>
    </row>
    <row r="427" spans="1:8" x14ac:dyDescent="0.25">
      <c r="A427" t="s">
        <v>133</v>
      </c>
      <c r="B427">
        <v>137764</v>
      </c>
      <c r="C427" s="3">
        <v>619.4</v>
      </c>
      <c r="D427" s="6">
        <v>44508</v>
      </c>
      <c r="E427" t="str">
        <f>"100747774"</f>
        <v>100747774</v>
      </c>
      <c r="F427" t="str">
        <f>"CUST#4704680/MATERIAL/LABOR"</f>
        <v>CUST#4704680/MATERIAL/LABOR</v>
      </c>
      <c r="G427" s="3">
        <v>619.4</v>
      </c>
      <c r="H427" t="str">
        <f>"CUST#4704680/MATERIAL/LABOR"</f>
        <v>CUST#4704680/MATERIAL/LABOR</v>
      </c>
    </row>
    <row r="428" spans="1:8" x14ac:dyDescent="0.25">
      <c r="A428" t="s">
        <v>134</v>
      </c>
      <c r="B428">
        <v>137765</v>
      </c>
      <c r="C428" s="3">
        <v>141.03</v>
      </c>
      <c r="D428" s="6">
        <v>44508</v>
      </c>
      <c r="E428" t="str">
        <f>"84740254"</f>
        <v>84740254</v>
      </c>
      <c r="F428" t="str">
        <f>"ACCT#80975-002/PCT#4"</f>
        <v>ACCT#80975-002/PCT#4</v>
      </c>
      <c r="G428" s="3">
        <v>141.03</v>
      </c>
      <c r="H428" t="str">
        <f>"ACCT#80975-002/PCT#4"</f>
        <v>ACCT#80975-002/PCT#4</v>
      </c>
    </row>
    <row r="429" spans="1:8" x14ac:dyDescent="0.25">
      <c r="A429" t="s">
        <v>135</v>
      </c>
      <c r="B429">
        <v>137766</v>
      </c>
      <c r="C429" s="3">
        <v>825</v>
      </c>
      <c r="D429" s="6">
        <v>44508</v>
      </c>
      <c r="E429" t="str">
        <f>"FM12291-I-0005"</f>
        <v>FM12291-I-0005</v>
      </c>
      <c r="F429" t="str">
        <f>"ACCT#FM12291/ANIMAL SERVICES"</f>
        <v>ACCT#FM12291/ANIMAL SERVICES</v>
      </c>
      <c r="G429" s="3">
        <v>825</v>
      </c>
      <c r="H429" t="str">
        <f>"ACCT#FM12291/ANIMAL SERVICES"</f>
        <v>ACCT#FM12291/ANIMAL SERVICES</v>
      </c>
    </row>
    <row r="430" spans="1:8" x14ac:dyDescent="0.25">
      <c r="A430" t="s">
        <v>136</v>
      </c>
      <c r="B430">
        <v>5446</v>
      </c>
      <c r="C430" s="3">
        <v>250</v>
      </c>
      <c r="D430" s="6">
        <v>44523</v>
      </c>
      <c r="E430" t="str">
        <f>"202111107082"</f>
        <v>202111107082</v>
      </c>
      <c r="F430" t="str">
        <f>"57 641"</f>
        <v>57 641</v>
      </c>
      <c r="G430" s="3">
        <v>250</v>
      </c>
      <c r="H430" t="str">
        <f>"57 641"</f>
        <v>57 641</v>
      </c>
    </row>
    <row r="431" spans="1:8" x14ac:dyDescent="0.25">
      <c r="A431" t="s">
        <v>137</v>
      </c>
      <c r="B431">
        <v>5434</v>
      </c>
      <c r="C431" s="3">
        <v>782.69</v>
      </c>
      <c r="D431" s="6">
        <v>44523</v>
      </c>
      <c r="E431" t="str">
        <f>"202111167186"</f>
        <v>202111167186</v>
      </c>
      <c r="F431" t="str">
        <f>"MILEAGE REIMB 11/4-11/10/21"</f>
        <v>MILEAGE REIMB 11/4-11/10/21</v>
      </c>
      <c r="G431" s="3">
        <v>62.72</v>
      </c>
      <c r="H431" t="str">
        <f>"MILEAGE REIMB 11/4-11/10/21"</f>
        <v>MILEAGE REIMB 11/4-11/10/21</v>
      </c>
    </row>
    <row r="432" spans="1:8" x14ac:dyDescent="0.25">
      <c r="E432" t="str">
        <f>"202111167189"</f>
        <v>202111167189</v>
      </c>
      <c r="F432" t="str">
        <f>"MILEAGE REIMB 10/15-11/4/21"</f>
        <v>MILEAGE REIMB 10/15-11/4/21</v>
      </c>
      <c r="G432" s="3">
        <v>189.28</v>
      </c>
      <c r="H432" t="str">
        <f>"MILEAGE REIMB 10/15-11/4/21"</f>
        <v>MILEAGE REIMB 10/15-11/4/21</v>
      </c>
    </row>
    <row r="433" spans="1:8" x14ac:dyDescent="0.25">
      <c r="E433" t="str">
        <f>"202111167190"</f>
        <v>202111167190</v>
      </c>
      <c r="F433" t="str">
        <f>"MILEAGE REIMB 9/20-10/14/21"</f>
        <v>MILEAGE REIMB 9/20-10/14/21</v>
      </c>
      <c r="G433" s="3">
        <v>286.72000000000003</v>
      </c>
      <c r="H433" t="str">
        <f>"MILEAGE REIMB 9/20-10/14/21"</f>
        <v>MILEAGE REIMB 9/20-10/14/21</v>
      </c>
    </row>
    <row r="434" spans="1:8" x14ac:dyDescent="0.25">
      <c r="E434" t="str">
        <f>"202111167191"</f>
        <v>202111167191</v>
      </c>
      <c r="F434" t="str">
        <f>"REIMB FOR EXPENSES"</f>
        <v>REIMB FOR EXPENSES</v>
      </c>
      <c r="G434" s="3">
        <v>243.97</v>
      </c>
      <c r="H434" t="str">
        <f>"REIMB FOR EXPENSES"</f>
        <v>REIMB FOR EXPENSES</v>
      </c>
    </row>
    <row r="435" spans="1:8" x14ac:dyDescent="0.25">
      <c r="A435" t="s">
        <v>138</v>
      </c>
      <c r="B435">
        <v>138030</v>
      </c>
      <c r="C435" s="3">
        <v>245</v>
      </c>
      <c r="D435" s="6">
        <v>44522</v>
      </c>
      <c r="E435" t="str">
        <f>"11981"</f>
        <v>11981</v>
      </c>
      <c r="F435" t="str">
        <f>"INV 11981"</f>
        <v>INV 11981</v>
      </c>
      <c r="G435" s="3">
        <v>245</v>
      </c>
      <c r="H435" t="str">
        <f>"INV 11981"</f>
        <v>INV 11981</v>
      </c>
    </row>
    <row r="436" spans="1:8" x14ac:dyDescent="0.25">
      <c r="A436" t="s">
        <v>139</v>
      </c>
      <c r="B436">
        <v>5365</v>
      </c>
      <c r="C436" s="3">
        <v>752.83</v>
      </c>
      <c r="D436" s="6">
        <v>44509</v>
      </c>
      <c r="E436" t="str">
        <f>"79305AP"</f>
        <v>79305AP</v>
      </c>
      <c r="F436" t="str">
        <f>"ACCT#3326/PCT#4"</f>
        <v>ACCT#3326/PCT#4</v>
      </c>
      <c r="G436" s="3">
        <v>36.5</v>
      </c>
      <c r="H436" t="str">
        <f>"ACCT#3326/PCT#4"</f>
        <v>ACCT#3326/PCT#4</v>
      </c>
    </row>
    <row r="437" spans="1:8" x14ac:dyDescent="0.25">
      <c r="E437" t="str">
        <f>"79409AP"</f>
        <v>79409AP</v>
      </c>
      <c r="F437" t="str">
        <f>"ACCT#3326/PCT#4"</f>
        <v>ACCT#3326/PCT#4</v>
      </c>
      <c r="G437" s="3">
        <v>183.22</v>
      </c>
      <c r="H437" t="str">
        <f>"ACCT#3326/PCT#4"</f>
        <v>ACCT#3326/PCT#4</v>
      </c>
    </row>
    <row r="438" spans="1:8" x14ac:dyDescent="0.25">
      <c r="E438" t="str">
        <f>"79678AP"</f>
        <v>79678AP</v>
      </c>
      <c r="F438" t="str">
        <f>"ACCT#3326/PCT#4"</f>
        <v>ACCT#3326/PCT#4</v>
      </c>
      <c r="G438" s="3">
        <v>503.25</v>
      </c>
      <c r="H438" t="str">
        <f>"ACCT#3326/PCT#4"</f>
        <v>ACCT#3326/PCT#4</v>
      </c>
    </row>
    <row r="439" spans="1:8" x14ac:dyDescent="0.25">
      <c r="E439" t="str">
        <f>"79828AP"</f>
        <v>79828AP</v>
      </c>
      <c r="F439" t="str">
        <f>"ACCT#3326/NOZZLE/PCT#4"</f>
        <v>ACCT#3326/NOZZLE/PCT#4</v>
      </c>
      <c r="G439" s="3">
        <v>29.86</v>
      </c>
      <c r="H439" t="str">
        <f>"ACCT#3326/NOZZLE/PCT#4"</f>
        <v>ACCT#3326/NOZZLE/PCT#4</v>
      </c>
    </row>
    <row r="440" spans="1:8" x14ac:dyDescent="0.25">
      <c r="A440" t="s">
        <v>139</v>
      </c>
      <c r="B440">
        <v>5439</v>
      </c>
      <c r="C440" s="3">
        <v>523.25</v>
      </c>
      <c r="D440" s="6">
        <v>44523</v>
      </c>
      <c r="E440" t="str">
        <f>"CM79828AP"</f>
        <v>CM79828AP</v>
      </c>
      <c r="F440" t="str">
        <f>"ACCT#3326 PCT4"</f>
        <v>ACCT#3326 PCT4</v>
      </c>
      <c r="G440" s="3">
        <v>-29.86</v>
      </c>
      <c r="H440" t="str">
        <f>"ACCT#3326 PCT4"</f>
        <v>ACCT#3326 PCT4</v>
      </c>
    </row>
    <row r="441" spans="1:8" x14ac:dyDescent="0.25">
      <c r="E441" t="str">
        <f>"CM80315AP"</f>
        <v>CM80315AP</v>
      </c>
      <c r="F441" t="str">
        <f>"ACCT#3326 PCT4"</f>
        <v>ACCT#3326 PCT4</v>
      </c>
      <c r="G441" s="3">
        <v>-200</v>
      </c>
      <c r="H441" t="str">
        <f>"ACCT#3326 PCT4"</f>
        <v>ACCT#3326 PCT4</v>
      </c>
    </row>
    <row r="442" spans="1:8" x14ac:dyDescent="0.25">
      <c r="E442" t="str">
        <f>"50814BP"</f>
        <v>50814BP</v>
      </c>
      <c r="F442" t="str">
        <f>"ACCT#3326 PCT4"</f>
        <v>ACCT#3326 PCT4</v>
      </c>
      <c r="G442" s="3">
        <v>54.48</v>
      </c>
      <c r="H442" t="str">
        <f>"ACCT#3326 PCT4"</f>
        <v>ACCT#3326 PCT4</v>
      </c>
    </row>
    <row r="443" spans="1:8" x14ac:dyDescent="0.25">
      <c r="E443" t="str">
        <f>"80315AP"</f>
        <v>80315AP</v>
      </c>
      <c r="F443" t="str">
        <f>"ACCT#3326 PCT4"</f>
        <v>ACCT#3326 PCT4</v>
      </c>
      <c r="G443" s="3">
        <v>698.63</v>
      </c>
      <c r="H443" t="str">
        <f>"ACCT#3326 PCT4"</f>
        <v>ACCT#3326 PCT4</v>
      </c>
    </row>
    <row r="444" spans="1:8" x14ac:dyDescent="0.25">
      <c r="A444" t="s">
        <v>140</v>
      </c>
      <c r="B444">
        <v>5447</v>
      </c>
      <c r="C444" s="3">
        <v>80.59</v>
      </c>
      <c r="D444" s="6">
        <v>44523</v>
      </c>
      <c r="E444" t="str">
        <f>"GC 115503"</f>
        <v>GC 115503</v>
      </c>
      <c r="F444" t="str">
        <f>"INV GC 115503"</f>
        <v>INV GC 115503</v>
      </c>
      <c r="G444" s="3">
        <v>39.630000000000003</v>
      </c>
      <c r="H444" t="str">
        <f>"INV GC 115503"</f>
        <v>INV GC 115503</v>
      </c>
    </row>
    <row r="445" spans="1:8" x14ac:dyDescent="0.25">
      <c r="E445" t="str">
        <f>"GC 115504"</f>
        <v>GC 115504</v>
      </c>
      <c r="F445" t="str">
        <f>"INV GC 115504"</f>
        <v>INV GC 115504</v>
      </c>
      <c r="G445" s="3">
        <v>40.96</v>
      </c>
      <c r="H445" t="str">
        <f>"INV GC 115504"</f>
        <v>INV GC 115504</v>
      </c>
    </row>
    <row r="446" spans="1:8" x14ac:dyDescent="0.25">
      <c r="A446" t="s">
        <v>141</v>
      </c>
      <c r="B446">
        <v>137767</v>
      </c>
      <c r="C446" s="3">
        <v>689.96</v>
      </c>
      <c r="D446" s="6">
        <v>44508</v>
      </c>
      <c r="E446" t="str">
        <f>"019536416"</f>
        <v>019536416</v>
      </c>
      <c r="F446" t="str">
        <f>"INV 019536416"</f>
        <v>INV 019536416</v>
      </c>
      <c r="G446" s="3">
        <v>22.96</v>
      </c>
      <c r="H446" t="str">
        <f>"INV 019536416"</f>
        <v>INV 019536416</v>
      </c>
    </row>
    <row r="447" spans="1:8" x14ac:dyDescent="0.25">
      <c r="E447" t="str">
        <f>"019555286"</f>
        <v>019555286</v>
      </c>
      <c r="F447" t="str">
        <f>"Galls Uniform Pants"</f>
        <v>Galls Uniform Pants</v>
      </c>
      <c r="G447" s="3">
        <v>55</v>
      </c>
      <c r="H447" t="str">
        <f>"Galls Uniform Pants"</f>
        <v>Galls Uniform Pants</v>
      </c>
    </row>
    <row r="448" spans="1:8" x14ac:dyDescent="0.25">
      <c r="E448" t="str">
        <f>"019562233"</f>
        <v>019562233</v>
      </c>
      <c r="F448" t="str">
        <f>"INV 019562233"</f>
        <v>INV 019562233</v>
      </c>
      <c r="G448" s="3">
        <v>382.5</v>
      </c>
      <c r="H448" t="str">
        <f>"INV 019562233"</f>
        <v>INV 019562233</v>
      </c>
    </row>
    <row r="449" spans="1:8" x14ac:dyDescent="0.25">
      <c r="E449" t="str">
        <f>"019596051"</f>
        <v>019596051</v>
      </c>
      <c r="F449" t="str">
        <f>"INV 019596051"</f>
        <v>INV 019596051</v>
      </c>
      <c r="G449" s="3">
        <v>229.5</v>
      </c>
      <c r="H449" t="str">
        <f>"INV 019596051"</f>
        <v>INV 019596051</v>
      </c>
    </row>
    <row r="450" spans="1:8" x14ac:dyDescent="0.25">
      <c r="A450" t="s">
        <v>141</v>
      </c>
      <c r="B450">
        <v>138031</v>
      </c>
      <c r="C450" s="3">
        <v>2080.4</v>
      </c>
      <c r="D450" s="6">
        <v>44522</v>
      </c>
      <c r="E450" t="str">
        <f>"019663357"</f>
        <v>019663357</v>
      </c>
      <c r="F450" t="str">
        <f>"INV 019663357"</f>
        <v>INV 019663357</v>
      </c>
      <c r="G450" s="3">
        <v>57.4</v>
      </c>
      <c r="H450" t="str">
        <f>"INV 019663357"</f>
        <v>INV 019663357</v>
      </c>
    </row>
    <row r="451" spans="1:8" x14ac:dyDescent="0.25">
      <c r="E451" t="str">
        <f>"019663999"</f>
        <v>019663999</v>
      </c>
      <c r="F451" t="str">
        <f>"INV 019663999"</f>
        <v>INV 019663999</v>
      </c>
      <c r="G451" s="3">
        <v>1564</v>
      </c>
      <c r="H451" t="str">
        <f>"INV 019663999"</f>
        <v>INV 019663999</v>
      </c>
    </row>
    <row r="452" spans="1:8" x14ac:dyDescent="0.25">
      <c r="E452" t="str">
        <f>"019675067"</f>
        <v>019675067</v>
      </c>
      <c r="F452" t="str">
        <f>"INV 019675067"</f>
        <v>INV 019675067</v>
      </c>
      <c r="G452" s="3">
        <v>459</v>
      </c>
      <c r="H452" t="str">
        <f>"INV 019675067"</f>
        <v>INV 019675067</v>
      </c>
    </row>
    <row r="453" spans="1:8" x14ac:dyDescent="0.25">
      <c r="A453" t="s">
        <v>142</v>
      </c>
      <c r="B453">
        <v>137768</v>
      </c>
      <c r="C453" s="3">
        <v>3282.47</v>
      </c>
      <c r="D453" s="6">
        <v>44508</v>
      </c>
      <c r="E453" t="str">
        <f>"387692"</f>
        <v>387692</v>
      </c>
      <c r="F453" t="str">
        <f>"INV 387692"</f>
        <v>INV 387692</v>
      </c>
      <c r="G453" s="3">
        <v>1938.15</v>
      </c>
      <c r="H453" t="str">
        <f>"INV 387692"</f>
        <v>INV 387692</v>
      </c>
    </row>
    <row r="454" spans="1:8" x14ac:dyDescent="0.25">
      <c r="E454" t="str">
        <f>"388072"</f>
        <v>388072</v>
      </c>
      <c r="F454" t="str">
        <f>"INV 388072"</f>
        <v>INV 388072</v>
      </c>
      <c r="G454" s="3">
        <v>1344.32</v>
      </c>
      <c r="H454" t="str">
        <f>""</f>
        <v/>
      </c>
    </row>
    <row r="455" spans="1:8" x14ac:dyDescent="0.25">
      <c r="A455" t="s">
        <v>143</v>
      </c>
      <c r="B455">
        <v>5351</v>
      </c>
      <c r="C455" s="3">
        <v>6213.65</v>
      </c>
      <c r="D455" s="6">
        <v>44509</v>
      </c>
      <c r="E455" t="str">
        <f>"42785236242"</f>
        <v>42785236242</v>
      </c>
      <c r="F455" t="str">
        <f>"EIFS Repairs"</f>
        <v>EIFS Repairs</v>
      </c>
      <c r="G455" s="3">
        <v>6213.65</v>
      </c>
      <c r="H455" t="str">
        <f>"EIFS Repairs"</f>
        <v>EIFS Repairs</v>
      </c>
    </row>
    <row r="456" spans="1:8" x14ac:dyDescent="0.25">
      <c r="A456" t="s">
        <v>144</v>
      </c>
      <c r="B456">
        <v>138032</v>
      </c>
      <c r="C456" s="3">
        <v>329.5</v>
      </c>
      <c r="D456" s="6">
        <v>44522</v>
      </c>
      <c r="E456" t="str">
        <f>"N74581 N74456"</f>
        <v>N74581 N74456</v>
      </c>
      <c r="F456" t="str">
        <f>"INV N74581"</f>
        <v>INV N74581</v>
      </c>
      <c r="G456" s="3">
        <v>167.25</v>
      </c>
      <c r="H456" t="str">
        <f>"INV N74581"</f>
        <v>INV N74581</v>
      </c>
    </row>
    <row r="457" spans="1:8" x14ac:dyDescent="0.25">
      <c r="E457" t="str">
        <f>""</f>
        <v/>
      </c>
      <c r="F457" t="str">
        <f>""</f>
        <v/>
      </c>
      <c r="G457" s="3">
        <v>162.25</v>
      </c>
      <c r="H457" t="str">
        <f>"INV N74456"</f>
        <v>INV N74456</v>
      </c>
    </row>
    <row r="458" spans="1:8" x14ac:dyDescent="0.25">
      <c r="A458" t="s">
        <v>145</v>
      </c>
      <c r="B458">
        <v>138033</v>
      </c>
      <c r="C458" s="3">
        <v>425</v>
      </c>
      <c r="D458" s="6">
        <v>44522</v>
      </c>
      <c r="E458" t="str">
        <f>"1165"</f>
        <v>1165</v>
      </c>
      <c r="F458" t="str">
        <f>"TRANSPORT - S. HORTON"</f>
        <v>TRANSPORT - S. HORTON</v>
      </c>
      <c r="G458" s="3">
        <v>425</v>
      </c>
      <c r="H458" t="str">
        <f>"TRANSPORT - S. HORTON"</f>
        <v>TRANSPORT - S. HORTON</v>
      </c>
    </row>
    <row r="459" spans="1:8" x14ac:dyDescent="0.25">
      <c r="A459" t="s">
        <v>146</v>
      </c>
      <c r="B459">
        <v>137769</v>
      </c>
      <c r="C459" s="3">
        <v>210</v>
      </c>
      <c r="D459" s="6">
        <v>44508</v>
      </c>
      <c r="E459" t="str">
        <f>"202111016886"</f>
        <v>202111016886</v>
      </c>
      <c r="F459" t="str">
        <f>"FERAL HOGS"</f>
        <v>FERAL HOGS</v>
      </c>
      <c r="G459" s="3">
        <v>210</v>
      </c>
      <c r="H459" t="str">
        <f>"FERAL HOGS"</f>
        <v>FERAL HOGS</v>
      </c>
    </row>
    <row r="460" spans="1:8" x14ac:dyDescent="0.25">
      <c r="A460" t="s">
        <v>147</v>
      </c>
      <c r="B460">
        <v>137770</v>
      </c>
      <c r="C460" s="3">
        <v>814</v>
      </c>
      <c r="D460" s="6">
        <v>44508</v>
      </c>
      <c r="E460" t="str">
        <f>"1364"</f>
        <v>1364</v>
      </c>
      <c r="F460" t="str">
        <f>"CHARGEBACK - MEDHANIT ABEBE"</f>
        <v>CHARGEBACK - MEDHANIT ABEBE</v>
      </c>
      <c r="G460" s="3">
        <v>814</v>
      </c>
      <c r="H460" t="str">
        <f>"CHARGEBACK - MEDHANIT ABEBE"</f>
        <v>CHARGEBACK - MEDHANIT ABEBE</v>
      </c>
    </row>
    <row r="461" spans="1:8" x14ac:dyDescent="0.25">
      <c r="A461" t="s">
        <v>148</v>
      </c>
      <c r="B461">
        <v>138034</v>
      </c>
      <c r="C461" s="3">
        <v>362.72</v>
      </c>
      <c r="D461" s="6">
        <v>44522</v>
      </c>
      <c r="E461" t="str">
        <f>"2374"</f>
        <v>2374</v>
      </c>
      <c r="F461" t="str">
        <f>"INTERPRETER SVCS 423-7959"</f>
        <v>INTERPRETER SVCS 423-7959</v>
      </c>
      <c r="G461" s="3">
        <v>362.72</v>
      </c>
      <c r="H461" t="str">
        <f>"INTERPRETER SVCS 423-7959"</f>
        <v>INTERPRETER SVCS 423-7959</v>
      </c>
    </row>
    <row r="462" spans="1:8" x14ac:dyDescent="0.25">
      <c r="A462" t="s">
        <v>149</v>
      </c>
      <c r="B462">
        <v>137771</v>
      </c>
      <c r="C462" s="3">
        <v>330</v>
      </c>
      <c r="D462" s="6">
        <v>44508</v>
      </c>
      <c r="E462" t="str">
        <f>"202111016887"</f>
        <v>202111016887</v>
      </c>
      <c r="F462" t="str">
        <f>"FERAL HOGS"</f>
        <v>FERAL HOGS</v>
      </c>
      <c r="G462" s="3">
        <v>235</v>
      </c>
      <c r="H462" t="str">
        <f>"FERAL HOGS"</f>
        <v>FERAL HOGS</v>
      </c>
    </row>
    <row r="463" spans="1:8" x14ac:dyDescent="0.25">
      <c r="E463" t="str">
        <f>"202111016888"</f>
        <v>202111016888</v>
      </c>
      <c r="F463" t="str">
        <f>"FERAL HOGS"</f>
        <v>FERAL HOGS</v>
      </c>
      <c r="G463" s="3">
        <v>95</v>
      </c>
      <c r="H463" t="str">
        <f>"FERAL HOGS"</f>
        <v>FERAL HOGS</v>
      </c>
    </row>
    <row r="464" spans="1:8" x14ac:dyDescent="0.25">
      <c r="A464" t="s">
        <v>150</v>
      </c>
      <c r="B464">
        <v>5373</v>
      </c>
      <c r="C464" s="3">
        <v>38.49</v>
      </c>
      <c r="D464" s="6">
        <v>44509</v>
      </c>
      <c r="E464" t="str">
        <f>"858827"</f>
        <v>858827</v>
      </c>
      <c r="F464" t="str">
        <f>"INV0858827"</f>
        <v>INV0858827</v>
      </c>
      <c r="G464" s="3">
        <v>38.49</v>
      </c>
      <c r="H464" t="str">
        <f>"INV0858827"</f>
        <v>INV0858827</v>
      </c>
    </row>
    <row r="465" spans="1:8" x14ac:dyDescent="0.25">
      <c r="A465" t="s">
        <v>150</v>
      </c>
      <c r="B465">
        <v>5448</v>
      </c>
      <c r="C465" s="3">
        <v>2101.04</v>
      </c>
      <c r="D465" s="6">
        <v>44523</v>
      </c>
      <c r="E465" t="str">
        <f>"0868560 0871740"</f>
        <v>0868560 0871740</v>
      </c>
      <c r="F465" t="str">
        <f>"INV 0868560/0871740/..."</f>
        <v>INV 0868560/0871740/...</v>
      </c>
      <c r="G465" s="3">
        <v>59.94</v>
      </c>
      <c r="H465" t="str">
        <f>"INV 0868560"</f>
        <v>INV 0868560</v>
      </c>
    </row>
    <row r="466" spans="1:8" x14ac:dyDescent="0.25">
      <c r="E466" t="str">
        <f>""</f>
        <v/>
      </c>
      <c r="F466" t="str">
        <f>""</f>
        <v/>
      </c>
      <c r="G466" s="3">
        <v>13</v>
      </c>
      <c r="H466" t="str">
        <f>"INV 0871740"</f>
        <v>INV 0871740</v>
      </c>
    </row>
    <row r="467" spans="1:8" x14ac:dyDescent="0.25">
      <c r="E467" t="str">
        <f>""</f>
        <v/>
      </c>
      <c r="F467" t="str">
        <f>""</f>
        <v/>
      </c>
      <c r="G467" s="3">
        <v>533.46</v>
      </c>
      <c r="H467" t="str">
        <f>"INV 0872705"</f>
        <v>INV 0872705</v>
      </c>
    </row>
    <row r="468" spans="1:8" x14ac:dyDescent="0.25">
      <c r="E468" t="str">
        <f>"0873602"</f>
        <v>0873602</v>
      </c>
      <c r="F468" t="str">
        <f>"INV 0873602"</f>
        <v>INV 0873602</v>
      </c>
      <c r="G468" s="3">
        <v>99.98</v>
      </c>
      <c r="H468" t="str">
        <f>"INV 0873602"</f>
        <v>INV 0873602</v>
      </c>
    </row>
    <row r="469" spans="1:8" x14ac:dyDescent="0.25">
      <c r="E469" t="str">
        <f>"0873604"</f>
        <v>0873604</v>
      </c>
      <c r="F469" t="str">
        <f>"INV 0873604"</f>
        <v>INV 0873604</v>
      </c>
      <c r="G469" s="3">
        <v>99.98</v>
      </c>
      <c r="H469" t="str">
        <f>"INV 0873604"</f>
        <v>INV 0873604</v>
      </c>
    </row>
    <row r="470" spans="1:8" x14ac:dyDescent="0.25">
      <c r="E470" t="str">
        <f>"0873891"</f>
        <v>0873891</v>
      </c>
      <c r="F470" t="str">
        <f>"INV 0873891"</f>
        <v>INV 0873891</v>
      </c>
      <c r="G470" s="3">
        <v>54.99</v>
      </c>
      <c r="H470" t="str">
        <f>"INV 0873891"</f>
        <v>INV 0873891</v>
      </c>
    </row>
    <row r="471" spans="1:8" x14ac:dyDescent="0.25">
      <c r="E471" t="str">
        <f>"0873910"</f>
        <v>0873910</v>
      </c>
      <c r="F471" t="str">
        <f>"INV 0873910"</f>
        <v>INV 0873910</v>
      </c>
      <c r="G471" s="3">
        <v>593.4</v>
      </c>
      <c r="H471" t="str">
        <f>"INV 0873910"</f>
        <v>INV 0873910</v>
      </c>
    </row>
    <row r="472" spans="1:8" x14ac:dyDescent="0.25">
      <c r="E472" t="str">
        <f>"0874257"</f>
        <v>0874257</v>
      </c>
      <c r="F472" t="str">
        <f>"INV 0874257"</f>
        <v>INV 0874257</v>
      </c>
      <c r="G472" s="3">
        <v>99.98</v>
      </c>
      <c r="H472" t="str">
        <f>"INV 0874257"</f>
        <v>INV 0874257</v>
      </c>
    </row>
    <row r="473" spans="1:8" x14ac:dyDescent="0.25">
      <c r="E473" t="str">
        <f>"DPT000286831"</f>
        <v>DPT000286831</v>
      </c>
      <c r="F473" t="str">
        <f>"CUST ID:000825/CONSTABLE PCT 1"</f>
        <v>CUST ID:000825/CONSTABLE PCT 1</v>
      </c>
      <c r="G473" s="3">
        <v>199.9</v>
      </c>
      <c r="H473" t="str">
        <f>"CUST ID:000825/CONSTABLE PCT 1"</f>
        <v>CUST ID:000825/CONSTABLE PCT 1</v>
      </c>
    </row>
    <row r="474" spans="1:8" x14ac:dyDescent="0.25">
      <c r="E474" t="str">
        <f>"INV0872665"</f>
        <v>INV0872665</v>
      </c>
      <c r="F474" t="str">
        <f>"INV0872665"</f>
        <v>INV0872665</v>
      </c>
      <c r="G474" s="3">
        <v>346.41</v>
      </c>
      <c r="H474" t="str">
        <f>"INV0872665"</f>
        <v>INV0872665</v>
      </c>
    </row>
    <row r="475" spans="1:8" x14ac:dyDescent="0.25">
      <c r="A475" t="s">
        <v>151</v>
      </c>
      <c r="B475">
        <v>5381</v>
      </c>
      <c r="C475" s="3">
        <v>2482.16</v>
      </c>
      <c r="D475" s="6">
        <v>44509</v>
      </c>
      <c r="E475" t="str">
        <f>"2109112 2104545 21"</f>
        <v>2109112 2104545 21</v>
      </c>
      <c r="F475" t="str">
        <f>"FY 20-21"</f>
        <v>FY 20-21</v>
      </c>
      <c r="G475" s="3">
        <v>844</v>
      </c>
      <c r="H475" t="str">
        <f>"2109112"</f>
        <v>2109112</v>
      </c>
    </row>
    <row r="476" spans="1:8" x14ac:dyDescent="0.25">
      <c r="E476" t="str">
        <f>""</f>
        <v/>
      </c>
      <c r="F476" t="str">
        <f>""</f>
        <v/>
      </c>
      <c r="G476" s="3">
        <v>1055.1600000000001</v>
      </c>
      <c r="H476" t="str">
        <f>"2104545"</f>
        <v>2104545</v>
      </c>
    </row>
    <row r="477" spans="1:8" x14ac:dyDescent="0.25">
      <c r="E477" t="str">
        <f>""</f>
        <v/>
      </c>
      <c r="F477" t="str">
        <f>""</f>
        <v/>
      </c>
      <c r="G477" s="3">
        <v>18</v>
      </c>
      <c r="H477" t="str">
        <f>"2104543"</f>
        <v>2104543</v>
      </c>
    </row>
    <row r="478" spans="1:8" x14ac:dyDescent="0.25">
      <c r="E478" t="str">
        <f>"2125827"</f>
        <v>2125827</v>
      </c>
      <c r="F478" t="str">
        <f>"INV 2125827"</f>
        <v>INV 2125827</v>
      </c>
      <c r="G478" s="3">
        <v>565</v>
      </c>
      <c r="H478" t="str">
        <f>"INV 2125827"</f>
        <v>INV 2125827</v>
      </c>
    </row>
    <row r="479" spans="1:8" x14ac:dyDescent="0.25">
      <c r="A479" t="s">
        <v>152</v>
      </c>
      <c r="B479">
        <v>137772</v>
      </c>
      <c r="C479" s="3">
        <v>247.5</v>
      </c>
      <c r="D479" s="6">
        <v>44508</v>
      </c>
      <c r="E479" t="str">
        <f>"1173893"</f>
        <v>1173893</v>
      </c>
      <c r="F479" t="str">
        <f>"ACCT#55026/PCT#4"</f>
        <v>ACCT#55026/PCT#4</v>
      </c>
      <c r="G479" s="3">
        <v>247.5</v>
      </c>
      <c r="H479" t="str">
        <f>"ACCT#55026/PCT#4"</f>
        <v>ACCT#55026/PCT#4</v>
      </c>
    </row>
    <row r="480" spans="1:8" x14ac:dyDescent="0.25">
      <c r="A480" t="s">
        <v>152</v>
      </c>
      <c r="B480">
        <v>138035</v>
      </c>
      <c r="C480" s="3">
        <v>202.5</v>
      </c>
      <c r="D480" s="6">
        <v>44522</v>
      </c>
      <c r="E480" t="str">
        <f>"1183715"</f>
        <v>1183715</v>
      </c>
      <c r="F480" t="str">
        <f>"ORDER #1198908 PCT4"</f>
        <v>ORDER #1198908 PCT4</v>
      </c>
      <c r="G480" s="3">
        <v>202.5</v>
      </c>
      <c r="H480" t="str">
        <f>"ORDER #1198908 PCT4"</f>
        <v>ORDER #1198908 PCT4</v>
      </c>
    </row>
    <row r="481" spans="1:8" x14ac:dyDescent="0.25">
      <c r="A481" t="s">
        <v>153</v>
      </c>
      <c r="B481">
        <v>5449</v>
      </c>
      <c r="C481" s="3">
        <v>111.06</v>
      </c>
      <c r="D481" s="6">
        <v>44523</v>
      </c>
      <c r="E481" t="str">
        <f>"583022"</f>
        <v>583022</v>
      </c>
      <c r="F481" t="str">
        <f>"INV 583022"</f>
        <v>INV 583022</v>
      </c>
      <c r="G481" s="3">
        <v>111.06</v>
      </c>
      <c r="H481" t="str">
        <f>"INV 583022"</f>
        <v>INV 583022</v>
      </c>
    </row>
    <row r="482" spans="1:8" x14ac:dyDescent="0.25">
      <c r="A482" t="s">
        <v>154</v>
      </c>
      <c r="B482">
        <v>5362</v>
      </c>
      <c r="C482" s="3">
        <v>1086</v>
      </c>
      <c r="D482" s="6">
        <v>44509</v>
      </c>
      <c r="E482" t="str">
        <f>"25102100"</f>
        <v>25102100</v>
      </c>
      <c r="F482" t="str">
        <f>"REPORTER'S RECORD"</f>
        <v>REPORTER'S RECORD</v>
      </c>
      <c r="G482" s="3">
        <v>1086</v>
      </c>
      <c r="H482" t="str">
        <f>"REPORTER'S RECORD"</f>
        <v>REPORTER'S RECORD</v>
      </c>
    </row>
    <row r="483" spans="1:8" x14ac:dyDescent="0.25">
      <c r="A483" t="s">
        <v>155</v>
      </c>
      <c r="B483">
        <v>137773</v>
      </c>
      <c r="C483" s="3">
        <v>776.24</v>
      </c>
      <c r="D483" s="6">
        <v>44508</v>
      </c>
      <c r="E483" t="str">
        <f>"10899637"</f>
        <v>10899637</v>
      </c>
      <c r="F483" t="str">
        <f>"ACCT#0083705/PCT#4"</f>
        <v>ACCT#0083705/PCT#4</v>
      </c>
      <c r="G483" s="3">
        <v>355.47</v>
      </c>
      <c r="H483" t="str">
        <f>"ACCT#0083705/PCT#4"</f>
        <v>ACCT#0083705/PCT#4</v>
      </c>
    </row>
    <row r="484" spans="1:8" x14ac:dyDescent="0.25">
      <c r="E484" t="str">
        <f>"10899638"</f>
        <v>10899638</v>
      </c>
      <c r="F484" t="str">
        <f>"ACCT#0083705/PCT#4"</f>
        <v>ACCT#0083705/PCT#4</v>
      </c>
      <c r="G484" s="3">
        <v>420.77</v>
      </c>
      <c r="H484" t="str">
        <f>"ACCT#0083705/PCT#4"</f>
        <v>ACCT#0083705/PCT#4</v>
      </c>
    </row>
    <row r="485" spans="1:8" x14ac:dyDescent="0.25">
      <c r="A485" t="s">
        <v>156</v>
      </c>
      <c r="B485">
        <v>5450</v>
      </c>
      <c r="C485" s="3">
        <v>650</v>
      </c>
      <c r="D485" s="6">
        <v>44523</v>
      </c>
      <c r="E485" t="str">
        <f>"202111177212"</f>
        <v>202111177212</v>
      </c>
      <c r="F485" t="str">
        <f>"BASCOM L HODGES JR"</f>
        <v>BASCOM L HODGES JR</v>
      </c>
      <c r="G485" s="3">
        <v>650</v>
      </c>
      <c r="H485" t="str">
        <f>""</f>
        <v/>
      </c>
    </row>
    <row r="486" spans="1:8" x14ac:dyDescent="0.25">
      <c r="A486" t="s">
        <v>157</v>
      </c>
      <c r="B486">
        <v>5374</v>
      </c>
      <c r="C486" s="3">
        <v>8675.89</v>
      </c>
      <c r="D486" s="6">
        <v>44509</v>
      </c>
      <c r="E486" t="str">
        <f>"PIM60073007"</f>
        <v>PIM60073007</v>
      </c>
      <c r="F486" t="str">
        <f>"CUST#0129200/PCT#4"</f>
        <v>CUST#0129200/PCT#4</v>
      </c>
      <c r="G486" s="3">
        <v>3460.6</v>
      </c>
      <c r="H486" t="str">
        <f>"CUST#0129200/PCT#4"</f>
        <v>CUST#0129200/PCT#4</v>
      </c>
    </row>
    <row r="487" spans="1:8" x14ac:dyDescent="0.25">
      <c r="E487" t="str">
        <f>"PIMA0365579"</f>
        <v>PIMA0365579</v>
      </c>
      <c r="F487" t="str">
        <f>"CUST#0129150/PCT#3"</f>
        <v>CUST#0129150/PCT#3</v>
      </c>
      <c r="G487" s="3">
        <v>423.96</v>
      </c>
      <c r="H487" t="str">
        <f>"CUST#0129150/PCT#3"</f>
        <v>CUST#0129150/PCT#3</v>
      </c>
    </row>
    <row r="488" spans="1:8" x14ac:dyDescent="0.25">
      <c r="E488" t="str">
        <f>"SIM603488010"</f>
        <v>SIM603488010</v>
      </c>
      <c r="F488" t="str">
        <f>"CUST#0129150/PCT#3"</f>
        <v>CUST#0129150/PCT#3</v>
      </c>
      <c r="G488" s="3">
        <v>1500</v>
      </c>
      <c r="H488" t="str">
        <f>"CUST#0129150/PCT#3"</f>
        <v>CUST#0129150/PCT#3</v>
      </c>
    </row>
    <row r="489" spans="1:8" x14ac:dyDescent="0.25">
      <c r="E489" t="str">
        <f>"WIM60025715"</f>
        <v>WIM60025715</v>
      </c>
      <c r="F489" t="str">
        <f>"CUST#0129050/PCT#1"</f>
        <v>CUST#0129050/PCT#1</v>
      </c>
      <c r="G489" s="3">
        <v>1433.41</v>
      </c>
      <c r="H489" t="str">
        <f>"CUST#0129050/PCT#1"</f>
        <v>CUST#0129050/PCT#1</v>
      </c>
    </row>
    <row r="490" spans="1:8" x14ac:dyDescent="0.25">
      <c r="E490" t="str">
        <f>"WIUS0148629"</f>
        <v>WIUS0148629</v>
      </c>
      <c r="F490" t="str">
        <f>"CUST#0129200/PCT#4"</f>
        <v>CUST#0129200/PCT#4</v>
      </c>
      <c r="G490" s="3">
        <v>1857.92</v>
      </c>
      <c r="H490" t="str">
        <f>"CUST#0129200/PCT#4"</f>
        <v>CUST#0129200/PCT#4</v>
      </c>
    </row>
    <row r="491" spans="1:8" x14ac:dyDescent="0.25">
      <c r="A491" t="s">
        <v>158</v>
      </c>
      <c r="B491">
        <v>137774</v>
      </c>
      <c r="C491" s="3">
        <v>395.06</v>
      </c>
      <c r="D491" s="6">
        <v>44508</v>
      </c>
      <c r="E491" t="str">
        <f>"104307"</f>
        <v>104307</v>
      </c>
      <c r="F491" t="str">
        <f>"Statement"</f>
        <v>Statement</v>
      </c>
      <c r="G491" s="3">
        <v>73.31</v>
      </c>
      <c r="H491" t="str">
        <f>"8023446"</f>
        <v>8023446</v>
      </c>
    </row>
    <row r="492" spans="1:8" x14ac:dyDescent="0.25">
      <c r="E492" t="str">
        <f>""</f>
        <v/>
      </c>
      <c r="F492" t="str">
        <f>""</f>
        <v/>
      </c>
      <c r="G492" s="3">
        <v>55.79</v>
      </c>
      <c r="H492" t="str">
        <f>"5023723"</f>
        <v>5023723</v>
      </c>
    </row>
    <row r="493" spans="1:8" x14ac:dyDescent="0.25">
      <c r="E493" t="str">
        <f>""</f>
        <v/>
      </c>
      <c r="F493" t="str">
        <f>""</f>
        <v/>
      </c>
      <c r="G493" s="3">
        <v>155.47999999999999</v>
      </c>
      <c r="H493" t="str">
        <f>"8530239"</f>
        <v>8530239</v>
      </c>
    </row>
    <row r="494" spans="1:8" x14ac:dyDescent="0.25">
      <c r="E494" t="str">
        <f>""</f>
        <v/>
      </c>
      <c r="F494" t="str">
        <f>""</f>
        <v/>
      </c>
      <c r="G494" s="3">
        <v>79.97</v>
      </c>
      <c r="H494" t="str">
        <f>"5543579"</f>
        <v>5543579</v>
      </c>
    </row>
    <row r="495" spans="1:8" x14ac:dyDescent="0.25">
      <c r="E495" t="str">
        <f>""</f>
        <v/>
      </c>
      <c r="F495" t="str">
        <f>""</f>
        <v/>
      </c>
      <c r="G495" s="3">
        <v>27.82</v>
      </c>
      <c r="H495" t="str">
        <f>"151714"</f>
        <v>151714</v>
      </c>
    </row>
    <row r="496" spans="1:8" x14ac:dyDescent="0.25">
      <c r="E496" t="str">
        <f>""</f>
        <v/>
      </c>
      <c r="F496" t="str">
        <f>""</f>
        <v/>
      </c>
      <c r="G496" s="3">
        <v>30.12</v>
      </c>
      <c r="H496" t="str">
        <f>"22375"</f>
        <v>22375</v>
      </c>
    </row>
    <row r="497" spans="1:8" x14ac:dyDescent="0.25">
      <c r="E497" t="str">
        <f>""</f>
        <v/>
      </c>
      <c r="F497" t="str">
        <f>""</f>
        <v/>
      </c>
      <c r="G497" s="3">
        <v>-27.43</v>
      </c>
      <c r="H497" t="str">
        <f>"104307"</f>
        <v>104307</v>
      </c>
    </row>
    <row r="498" spans="1:8" x14ac:dyDescent="0.25">
      <c r="A498" t="s">
        <v>159</v>
      </c>
      <c r="B498">
        <v>5436</v>
      </c>
      <c r="C498" s="3">
        <v>801.25</v>
      </c>
      <c r="D498" s="6">
        <v>44523</v>
      </c>
      <c r="E498" t="str">
        <f>"212645-0002"</f>
        <v>212645-0002</v>
      </c>
      <c r="F498" t="str">
        <f>"CUST#212645/BOAT LAUNCH"</f>
        <v>CUST#212645/BOAT LAUNCH</v>
      </c>
      <c r="G498" s="3">
        <v>-191.97</v>
      </c>
      <c r="H498" t="str">
        <f>"CUST#212645"</f>
        <v>CUST#212645</v>
      </c>
    </row>
    <row r="499" spans="1:8" x14ac:dyDescent="0.25">
      <c r="E499" t="str">
        <f>"0552431112"</f>
        <v>0552431112</v>
      </c>
      <c r="F499" t="str">
        <f>"CUST #212645 GEN SVCS"</f>
        <v>CUST #212645 GEN SVCS</v>
      </c>
      <c r="G499" s="3">
        <v>290</v>
      </c>
      <c r="H499" t="str">
        <f>"CUST #212645 GEN SVCS"</f>
        <v>CUST #212645 GEN SVCS</v>
      </c>
    </row>
    <row r="500" spans="1:8" x14ac:dyDescent="0.25">
      <c r="E500" t="str">
        <f>"0552433806"</f>
        <v>0552433806</v>
      </c>
      <c r="F500" t="str">
        <f>"CUST#212645/BOAT LAUNCH"</f>
        <v>CUST#212645/BOAT LAUNCH</v>
      </c>
      <c r="G500" s="3">
        <v>703.22</v>
      </c>
      <c r="H500" t="str">
        <f>"CUST#212645/BOAT LAUNCH"</f>
        <v>CUST#212645/BOAT LAUNCH</v>
      </c>
    </row>
    <row r="501" spans="1:8" x14ac:dyDescent="0.25">
      <c r="A501" t="s">
        <v>160</v>
      </c>
      <c r="B501">
        <v>138036</v>
      </c>
      <c r="C501" s="3">
        <v>50</v>
      </c>
      <c r="D501" s="6">
        <v>44522</v>
      </c>
      <c r="E501" t="str">
        <f>"202111187233"</f>
        <v>202111187233</v>
      </c>
      <c r="F501" t="str">
        <f>"REIMBURSEMENT FOR CASH BOND"</f>
        <v>REIMBURSEMENT FOR CASH BOND</v>
      </c>
      <c r="G501" s="3">
        <v>50</v>
      </c>
      <c r="H501" t="str">
        <f>"REIMBURSEMENT FOR CASH BOND"</f>
        <v>REIMBURSEMENT FOR CASH BOND</v>
      </c>
    </row>
    <row r="502" spans="1:8" x14ac:dyDescent="0.25">
      <c r="A502" t="s">
        <v>161</v>
      </c>
      <c r="B502">
        <v>137775</v>
      </c>
      <c r="C502" s="3">
        <v>2445</v>
      </c>
      <c r="D502" s="6">
        <v>44508</v>
      </c>
      <c r="E502" t="str">
        <f>"2738"</f>
        <v>2738</v>
      </c>
      <c r="F502" t="str">
        <f>"MINI MICROCHIPS/ANIMAL SERVICE"</f>
        <v>MINI MICROCHIPS/ANIMAL SERVICE</v>
      </c>
      <c r="G502" s="3">
        <v>2445</v>
      </c>
      <c r="H502" t="str">
        <f>"MINI MICROCHIPS/ANIMAL SERVICE"</f>
        <v>MINI MICROCHIPS/ANIMAL SERVICE</v>
      </c>
    </row>
    <row r="503" spans="1:8" x14ac:dyDescent="0.25">
      <c r="A503" t="s">
        <v>162</v>
      </c>
      <c r="B503">
        <v>137776</v>
      </c>
      <c r="C503" s="3">
        <v>125</v>
      </c>
      <c r="D503" s="6">
        <v>44508</v>
      </c>
      <c r="E503" t="str">
        <f>"202111016889"</f>
        <v>202111016889</v>
      </c>
      <c r="F503" t="str">
        <f>"FERAL HOGS"</f>
        <v>FERAL HOGS</v>
      </c>
      <c r="G503" s="3">
        <v>45</v>
      </c>
      <c r="H503" t="str">
        <f>"FERAL HOGS"</f>
        <v>FERAL HOGS</v>
      </c>
    </row>
    <row r="504" spans="1:8" x14ac:dyDescent="0.25">
      <c r="E504" t="str">
        <f>"202111016890"</f>
        <v>202111016890</v>
      </c>
      <c r="F504" t="str">
        <f>"FERAL HOGS"</f>
        <v>FERAL HOGS</v>
      </c>
      <c r="G504" s="3">
        <v>40</v>
      </c>
      <c r="H504" t="str">
        <f>"FERAL HOGS"</f>
        <v>FERAL HOGS</v>
      </c>
    </row>
    <row r="505" spans="1:8" x14ac:dyDescent="0.25">
      <c r="E505" t="str">
        <f>"202111016891"</f>
        <v>202111016891</v>
      </c>
      <c r="F505" t="str">
        <f>"FERAL HOGS"</f>
        <v>FERAL HOGS</v>
      </c>
      <c r="G505" s="3">
        <v>40</v>
      </c>
      <c r="H505" t="str">
        <f>"FERAL HOGS"</f>
        <v>FERAL HOGS</v>
      </c>
    </row>
    <row r="506" spans="1:8" x14ac:dyDescent="0.25">
      <c r="A506" t="s">
        <v>163</v>
      </c>
      <c r="B506">
        <v>138037</v>
      </c>
      <c r="C506" s="3">
        <v>5600</v>
      </c>
      <c r="D506" s="6">
        <v>44522</v>
      </c>
      <c r="E506" t="str">
        <f>"WI-34402-K4MO"</f>
        <v>WI-34402-K4MO</v>
      </c>
      <c r="F506" t="str">
        <f>"INV WI-34402-K4M0"</f>
        <v>INV WI-34402-K4M0</v>
      </c>
      <c r="G506" s="3">
        <v>5600</v>
      </c>
      <c r="H506" t="str">
        <f>"INV WI-34402-K4M0"</f>
        <v>INV WI-34402-K4M0</v>
      </c>
    </row>
    <row r="507" spans="1:8" x14ac:dyDescent="0.25">
      <c r="A507" t="s">
        <v>164</v>
      </c>
      <c r="B507">
        <v>5341</v>
      </c>
      <c r="C507" s="3">
        <v>25</v>
      </c>
      <c r="D507" s="6">
        <v>44509</v>
      </c>
      <c r="E507" t="str">
        <f>"208428"</f>
        <v>208428</v>
      </c>
      <c r="F507" t="str">
        <f>"CAMLOCK/PCT#3"</f>
        <v>CAMLOCK/PCT#3</v>
      </c>
      <c r="G507" s="3">
        <v>25</v>
      </c>
      <c r="H507" t="str">
        <f>"CAMLOCK/PCT#3"</f>
        <v>CAMLOCK/PCT#3</v>
      </c>
    </row>
    <row r="508" spans="1:8" x14ac:dyDescent="0.25">
      <c r="A508" t="s">
        <v>164</v>
      </c>
      <c r="B508">
        <v>5414</v>
      </c>
      <c r="C508" s="3">
        <v>220.26</v>
      </c>
      <c r="D508" s="6">
        <v>44523</v>
      </c>
      <c r="E508" t="str">
        <f>"208482"</f>
        <v>208482</v>
      </c>
      <c r="F508" t="str">
        <f>"PARTS PCT#1"</f>
        <v>PARTS PCT#1</v>
      </c>
      <c r="G508" s="3">
        <v>163.57</v>
      </c>
      <c r="H508" t="str">
        <f>"PARTS PCT#1"</f>
        <v>PARTS PCT#1</v>
      </c>
    </row>
    <row r="509" spans="1:8" x14ac:dyDescent="0.25">
      <c r="E509" t="str">
        <f>"208576"</f>
        <v>208576</v>
      </c>
      <c r="F509" t="str">
        <f>"HIGH PRESSURE 2-WIRE BRAID"</f>
        <v>HIGH PRESSURE 2-WIRE BRAID</v>
      </c>
      <c r="G509" s="3">
        <v>56.69</v>
      </c>
      <c r="H509" t="str">
        <f>"HIGH PRESSURE 2-WIRE BRAID"</f>
        <v>HIGH PRESSURE 2-WIRE BRAID</v>
      </c>
    </row>
    <row r="510" spans="1:8" x14ac:dyDescent="0.25">
      <c r="A510" t="s">
        <v>165</v>
      </c>
      <c r="B510">
        <v>5396</v>
      </c>
      <c r="C510" s="3">
        <v>190</v>
      </c>
      <c r="D510" s="6">
        <v>44523</v>
      </c>
      <c r="E510" t="str">
        <f>"W4888000"</f>
        <v>W4888000</v>
      </c>
      <c r="F510" t="str">
        <f>"INV W4888000"</f>
        <v>INV W4888000</v>
      </c>
      <c r="G510" s="3">
        <v>190</v>
      </c>
      <c r="H510" t="str">
        <f>"INV W4888000"</f>
        <v>INV W4888000</v>
      </c>
    </row>
    <row r="511" spans="1:8" x14ac:dyDescent="0.25">
      <c r="A511" t="s">
        <v>166</v>
      </c>
      <c r="B511">
        <v>138038</v>
      </c>
      <c r="C511" s="3">
        <v>204</v>
      </c>
      <c r="D511" s="6">
        <v>44522</v>
      </c>
      <c r="E511" t="str">
        <f>"3091489854"</f>
        <v>3091489854</v>
      </c>
      <c r="F511" t="str">
        <f>"ACCT#187947/ANIMAL CONTROL"</f>
        <v>ACCT#187947/ANIMAL CONTROL</v>
      </c>
      <c r="G511" s="3">
        <v>204</v>
      </c>
      <c r="H511" t="str">
        <f>"ACCT#187947/ANIMAL CONTROL"</f>
        <v>ACCT#187947/ANIMAL CONTROL</v>
      </c>
    </row>
    <row r="512" spans="1:8" x14ac:dyDescent="0.25">
      <c r="A512" t="s">
        <v>167</v>
      </c>
      <c r="B512">
        <v>137876</v>
      </c>
      <c r="C512" s="3">
        <v>393896.22</v>
      </c>
      <c r="D512" s="6">
        <v>44517</v>
      </c>
      <c r="E512" t="str">
        <f>"202111177221"</f>
        <v>202111177221</v>
      </c>
      <c r="F512" t="str">
        <f>"CLOSING - 805 WALNUT STREET"</f>
        <v>CLOSING - 805 WALNUT STREET</v>
      </c>
      <c r="G512" s="3">
        <v>393896.22</v>
      </c>
      <c r="H512" t="str">
        <f>"CLOSING - 805 WALNUT STREET"</f>
        <v>CLOSING - 805 WALNUT STREET</v>
      </c>
    </row>
    <row r="513" spans="1:8" x14ac:dyDescent="0.25">
      <c r="A513" t="s">
        <v>168</v>
      </c>
      <c r="B513">
        <v>5453</v>
      </c>
      <c r="C513" s="3">
        <v>2430</v>
      </c>
      <c r="D513" s="6">
        <v>44523</v>
      </c>
      <c r="E513" t="str">
        <f>"72622"</f>
        <v>72622</v>
      </c>
      <c r="F513" t="str">
        <f>"PROF SVCS DEC 2021"</f>
        <v>PROF SVCS DEC 2021</v>
      </c>
      <c r="G513" s="3">
        <v>1973</v>
      </c>
      <c r="H513" t="str">
        <f>"PROF SVCS DEC 2021"</f>
        <v>PROF SVCS DEC 2021</v>
      </c>
    </row>
    <row r="514" spans="1:8" x14ac:dyDescent="0.25">
      <c r="E514" t="str">
        <f>""</f>
        <v/>
      </c>
      <c r="F514" t="str">
        <f>""</f>
        <v/>
      </c>
      <c r="G514" s="3">
        <v>457</v>
      </c>
      <c r="H514" t="str">
        <f>"PROF SVCS DEC 2021"</f>
        <v>PROF SVCS DEC 2021</v>
      </c>
    </row>
    <row r="515" spans="1:8" x14ac:dyDescent="0.25">
      <c r="A515" t="s">
        <v>169</v>
      </c>
      <c r="B515">
        <v>138039</v>
      </c>
      <c r="C515" s="3">
        <v>162.36000000000001</v>
      </c>
      <c r="D515" s="6">
        <v>44522</v>
      </c>
      <c r="E515" t="str">
        <f>"IN-1008344"</f>
        <v>IN-1008344</v>
      </c>
      <c r="F515" t="str">
        <f>"CUST ACCT#020798 PCT3"</f>
        <v>CUST ACCT#020798 PCT3</v>
      </c>
      <c r="G515" s="3">
        <v>162.36000000000001</v>
      </c>
      <c r="H515" t="str">
        <f>"CUST ACCT#020798 PCT3"</f>
        <v>CUST ACCT#020798 PCT3</v>
      </c>
    </row>
    <row r="516" spans="1:8" x14ac:dyDescent="0.25">
      <c r="A516" t="s">
        <v>170</v>
      </c>
      <c r="B516">
        <v>5350</v>
      </c>
      <c r="C516" s="3">
        <v>2716.24</v>
      </c>
      <c r="D516" s="6">
        <v>44509</v>
      </c>
      <c r="E516" t="str">
        <f>"180413A"</f>
        <v>180413A</v>
      </c>
      <c r="F516" t="str">
        <f>"CUST#31226/ELECTIONS"</f>
        <v>CUST#31226/ELECTIONS</v>
      </c>
      <c r="G516" s="3">
        <v>2716.24</v>
      </c>
      <c r="H516" t="str">
        <f>"CUST#31226/ELECTIONS"</f>
        <v>CUST#31226/ELECTIONS</v>
      </c>
    </row>
    <row r="517" spans="1:8" x14ac:dyDescent="0.25">
      <c r="A517" t="s">
        <v>171</v>
      </c>
      <c r="B517">
        <v>138040</v>
      </c>
      <c r="C517" s="3">
        <v>455</v>
      </c>
      <c r="D517" s="6">
        <v>44522</v>
      </c>
      <c r="E517" t="str">
        <f>"202111177217"</f>
        <v>202111177217</v>
      </c>
      <c r="F517" t="str">
        <f>"MEMBERSHIP TYPE:PA4"</f>
        <v>MEMBERSHIP TYPE:PA4</v>
      </c>
      <c r="G517" s="3">
        <v>455</v>
      </c>
      <c r="H517" t="str">
        <f>"MEMBERSHIP TYPE:PA4"</f>
        <v>MEMBERSHIP TYPE:PA4</v>
      </c>
    </row>
    <row r="518" spans="1:8" x14ac:dyDescent="0.25">
      <c r="A518" t="s">
        <v>172</v>
      </c>
      <c r="B518">
        <v>138041</v>
      </c>
      <c r="C518" s="3">
        <v>180.12</v>
      </c>
      <c r="D518" s="6">
        <v>44522</v>
      </c>
      <c r="E518" t="str">
        <f>"DZTM974"</f>
        <v>DZTM974</v>
      </c>
      <c r="F518" t="str">
        <f>"CUST# AX773/COUNTY CLERK"</f>
        <v>CUST# AX773/COUNTY CLERK</v>
      </c>
      <c r="G518" s="3">
        <v>180.12</v>
      </c>
      <c r="H518" t="str">
        <f>"CUST# AX773/COUNTY CLERK"</f>
        <v>CUST# AX773/COUNTY CLERK</v>
      </c>
    </row>
    <row r="519" spans="1:8" x14ac:dyDescent="0.25">
      <c r="A519" t="s">
        <v>173</v>
      </c>
      <c r="B519">
        <v>138042</v>
      </c>
      <c r="C519" s="3">
        <v>622.36</v>
      </c>
      <c r="D519" s="6">
        <v>44522</v>
      </c>
      <c r="E519" t="str">
        <f>"202111157142"</f>
        <v>202111157142</v>
      </c>
      <c r="F519" t="str">
        <f>"11/2-11/5/21 TRAVEL REIMB"</f>
        <v>11/2-11/5/21 TRAVEL REIMB</v>
      </c>
      <c r="G519" s="3">
        <v>622.36</v>
      </c>
      <c r="H519" t="str">
        <f>"11/2-11/5/21 TRAVEL REIMB"</f>
        <v>11/2-11/5/21 TRAVEL REIMB</v>
      </c>
    </row>
    <row r="520" spans="1:8" x14ac:dyDescent="0.25">
      <c r="A520" t="s">
        <v>174</v>
      </c>
      <c r="B520">
        <v>138043</v>
      </c>
      <c r="C520" s="3">
        <v>136</v>
      </c>
      <c r="D520" s="6">
        <v>44522</v>
      </c>
      <c r="E520" t="str">
        <f>"202111167209"</f>
        <v>202111167209</v>
      </c>
      <c r="F520" t="str">
        <f>"REIMBURSEMENT"</f>
        <v>REIMBURSEMENT</v>
      </c>
      <c r="G520" s="3">
        <v>136</v>
      </c>
      <c r="H520" t="str">
        <f>"REIMBURSEMENT"</f>
        <v>REIMBURSEMENT</v>
      </c>
    </row>
    <row r="521" spans="1:8" x14ac:dyDescent="0.25">
      <c r="A521" t="s">
        <v>175</v>
      </c>
      <c r="B521">
        <v>137777</v>
      </c>
      <c r="C521" s="3">
        <v>40.32</v>
      </c>
      <c r="D521" s="6">
        <v>44508</v>
      </c>
      <c r="E521" t="str">
        <f>"202110276687"</f>
        <v>202110276687</v>
      </c>
      <c r="F521" t="str">
        <f>"MILEAGE REIMBURSEMENT"</f>
        <v>MILEAGE REIMBURSEMENT</v>
      </c>
      <c r="G521" s="3">
        <v>40.32</v>
      </c>
      <c r="H521" t="str">
        <f>"MILEAGE REIMBURSEMENT"</f>
        <v>MILEAGE REIMBURSEMENT</v>
      </c>
    </row>
    <row r="522" spans="1:8" x14ac:dyDescent="0.25">
      <c r="A522" t="s">
        <v>176</v>
      </c>
      <c r="B522">
        <v>137778</v>
      </c>
      <c r="C522" s="3">
        <v>35</v>
      </c>
      <c r="D522" s="6">
        <v>44508</v>
      </c>
      <c r="E522" t="str">
        <f>"202111026985"</f>
        <v>202111026985</v>
      </c>
      <c r="F522" t="str">
        <f>"CUST ID:08176/PCT#4"</f>
        <v>CUST ID:08176/PCT#4</v>
      </c>
      <c r="G522" s="3">
        <v>35</v>
      </c>
      <c r="H522" t="str">
        <f>"CUST ID:08176/PCT#4"</f>
        <v>CUST ID:08176/PCT#4</v>
      </c>
    </row>
    <row r="523" spans="1:8" x14ac:dyDescent="0.25">
      <c r="A523" t="s">
        <v>177</v>
      </c>
      <c r="B523">
        <v>5387</v>
      </c>
      <c r="C523" s="3">
        <v>250</v>
      </c>
      <c r="D523" s="6">
        <v>44509</v>
      </c>
      <c r="E523" t="str">
        <f>"202110276664"</f>
        <v>202110276664</v>
      </c>
      <c r="F523" t="str">
        <f>"CM20210703-A TRN9253603879A001"</f>
        <v>CM20210703-A TRN9253603879A001</v>
      </c>
      <c r="G523" s="3">
        <v>250</v>
      </c>
      <c r="H523" t="str">
        <f>"CM20210703-A TRN9253603879A001"</f>
        <v>CM20210703-A TRN9253603879A001</v>
      </c>
    </row>
    <row r="524" spans="1:8" x14ac:dyDescent="0.25">
      <c r="A524" t="s">
        <v>178</v>
      </c>
      <c r="B524">
        <v>138044</v>
      </c>
      <c r="C524" s="3">
        <v>56</v>
      </c>
      <c r="D524" s="6">
        <v>44522</v>
      </c>
      <c r="E524" t="str">
        <f>"202111157145"</f>
        <v>202111157145</v>
      </c>
      <c r="F524" t="str">
        <f>"REFUND CASE#1SC-0038-21"</f>
        <v>REFUND CASE#1SC-0038-21</v>
      </c>
      <c r="G524" s="3">
        <v>56</v>
      </c>
      <c r="H524" t="str">
        <f>"REFUND CASE#1SC-0038-21"</f>
        <v>REFUND CASE#1SC-0038-21</v>
      </c>
    </row>
    <row r="525" spans="1:8" x14ac:dyDescent="0.25">
      <c r="A525" t="s">
        <v>179</v>
      </c>
      <c r="B525">
        <v>137779</v>
      </c>
      <c r="C525" s="3">
        <v>525</v>
      </c>
      <c r="D525" s="6">
        <v>44508</v>
      </c>
      <c r="E525" t="str">
        <f>"202111016892"</f>
        <v>202111016892</v>
      </c>
      <c r="F525" t="str">
        <f>"FERAL HOGS"</f>
        <v>FERAL HOGS</v>
      </c>
      <c r="G525" s="3">
        <v>525</v>
      </c>
      <c r="H525" t="str">
        <f>"FERAL HOGS"</f>
        <v>FERAL HOGS</v>
      </c>
    </row>
    <row r="526" spans="1:8" x14ac:dyDescent="0.25">
      <c r="A526" t="s">
        <v>180</v>
      </c>
      <c r="B526">
        <v>5427</v>
      </c>
      <c r="C526" s="3">
        <v>399.14</v>
      </c>
      <c r="D526" s="6">
        <v>44523</v>
      </c>
      <c r="E526" t="str">
        <f>"202111157134"</f>
        <v>202111157134</v>
      </c>
      <c r="F526" t="str">
        <f>"2021 TX PUBLIC FUNDS INV CONF"</f>
        <v>2021 TX PUBLIC FUNDS INV CONF</v>
      </c>
      <c r="G526" s="3">
        <v>399.14</v>
      </c>
      <c r="H526" t="str">
        <f>"2021 TX PUBLIC FUNDS INV CONF"</f>
        <v>2021 TX PUBLIC FUNDS INV CONF</v>
      </c>
    </row>
    <row r="527" spans="1:8" x14ac:dyDescent="0.25">
      <c r="A527" t="s">
        <v>181</v>
      </c>
      <c r="B527">
        <v>137780</v>
      </c>
      <c r="C527" s="3">
        <v>85</v>
      </c>
      <c r="D527" s="6">
        <v>44508</v>
      </c>
      <c r="E527" t="str">
        <f>"202111016893"</f>
        <v>202111016893</v>
      </c>
      <c r="F527" t="str">
        <f>"FERAL HOGS"</f>
        <v>FERAL HOGS</v>
      </c>
      <c r="G527" s="3">
        <v>85</v>
      </c>
      <c r="H527" t="str">
        <f>"FERAL HOGS"</f>
        <v>FERAL HOGS</v>
      </c>
    </row>
    <row r="528" spans="1:8" x14ac:dyDescent="0.25">
      <c r="A528" t="s">
        <v>182</v>
      </c>
      <c r="B528">
        <v>138045</v>
      </c>
      <c r="C528" s="3">
        <v>3562.5</v>
      </c>
      <c r="D528" s="6">
        <v>44522</v>
      </c>
      <c r="E528" t="str">
        <f>"202111107083"</f>
        <v>202111107083</v>
      </c>
      <c r="F528" t="str">
        <f>"19-19889"</f>
        <v>19-19889</v>
      </c>
      <c r="G528" s="3">
        <v>225</v>
      </c>
      <c r="H528" t="str">
        <f>"19-19889"</f>
        <v>19-19889</v>
      </c>
    </row>
    <row r="529" spans="1:8" x14ac:dyDescent="0.25">
      <c r="E529" t="str">
        <f>"202111107084"</f>
        <v>202111107084</v>
      </c>
      <c r="F529" t="str">
        <f>"21-20845"</f>
        <v>21-20845</v>
      </c>
      <c r="G529" s="3">
        <v>1050</v>
      </c>
      <c r="H529" t="str">
        <f>"21-20845"</f>
        <v>21-20845</v>
      </c>
    </row>
    <row r="530" spans="1:8" x14ac:dyDescent="0.25">
      <c r="E530" t="str">
        <f>"202111107085"</f>
        <v>202111107085</v>
      </c>
      <c r="F530" t="str">
        <f>"20-20215"</f>
        <v>20-20215</v>
      </c>
      <c r="G530" s="3">
        <v>450</v>
      </c>
      <c r="H530" t="str">
        <f>"20-20215"</f>
        <v>20-20215</v>
      </c>
    </row>
    <row r="531" spans="1:8" x14ac:dyDescent="0.25">
      <c r="E531" t="str">
        <f>"202111107086"</f>
        <v>202111107086</v>
      </c>
      <c r="F531" t="str">
        <f>"20-20403"</f>
        <v>20-20403</v>
      </c>
      <c r="G531" s="3">
        <v>525</v>
      </c>
      <c r="H531" t="str">
        <f>"20-20403"</f>
        <v>20-20403</v>
      </c>
    </row>
    <row r="532" spans="1:8" x14ac:dyDescent="0.25">
      <c r="E532" t="str">
        <f>"202111107087"</f>
        <v>202111107087</v>
      </c>
      <c r="F532" t="str">
        <f>"19-9994"</f>
        <v>19-9994</v>
      </c>
      <c r="G532" s="3">
        <v>1312.5</v>
      </c>
      <c r="H532" t="str">
        <f>"19-9994"</f>
        <v>19-9994</v>
      </c>
    </row>
    <row r="533" spans="1:8" x14ac:dyDescent="0.25">
      <c r="A533" t="s">
        <v>183</v>
      </c>
      <c r="B533">
        <v>5380</v>
      </c>
      <c r="C533" s="3">
        <v>1400</v>
      </c>
      <c r="D533" s="6">
        <v>44509</v>
      </c>
      <c r="E533" t="str">
        <f>"202110276665"</f>
        <v>202110276665</v>
      </c>
      <c r="F533" t="str">
        <f>"1906-21 DCPC-21-070 1910-335"</f>
        <v>1906-21 DCPC-21-070 1910-335</v>
      </c>
      <c r="G533" s="3">
        <v>300</v>
      </c>
      <c r="H533" t="str">
        <f>"1906-21 DCPC-21-070 1910-335"</f>
        <v>1906-21 DCPC-21-070 1910-335</v>
      </c>
    </row>
    <row r="534" spans="1:8" x14ac:dyDescent="0.25">
      <c r="E534" t="str">
        <f>"202110276666"</f>
        <v>202110276666</v>
      </c>
      <c r="F534" t="str">
        <f>"1907-21  1911-335"</f>
        <v>1907-21  1911-335</v>
      </c>
      <c r="G534" s="3">
        <v>200</v>
      </c>
      <c r="H534" t="str">
        <f>"1907-21  1911-335"</f>
        <v>1907-21  1911-335</v>
      </c>
    </row>
    <row r="535" spans="1:8" x14ac:dyDescent="0.25">
      <c r="E535" t="str">
        <f>"202110276667"</f>
        <v>202110276667</v>
      </c>
      <c r="F535" t="str">
        <f>"305142020D 305142020E"</f>
        <v>305142020D 305142020E</v>
      </c>
      <c r="G535" s="3">
        <v>900</v>
      </c>
      <c r="H535" t="str">
        <f>"305142020D 305142020E"</f>
        <v>305142020D 305142020E</v>
      </c>
    </row>
    <row r="536" spans="1:8" x14ac:dyDescent="0.25">
      <c r="A536" t="s">
        <v>183</v>
      </c>
      <c r="B536">
        <v>5456</v>
      </c>
      <c r="C536" s="3">
        <v>15800</v>
      </c>
      <c r="D536" s="6">
        <v>44523</v>
      </c>
      <c r="E536" t="str">
        <f>"202111107076"</f>
        <v>202111107076</v>
      </c>
      <c r="F536" t="str">
        <f>"423-8164"</f>
        <v>423-8164</v>
      </c>
      <c r="G536" s="3">
        <v>100</v>
      </c>
      <c r="H536" t="str">
        <f>"423-8164"</f>
        <v>423-8164</v>
      </c>
    </row>
    <row r="537" spans="1:8" x14ac:dyDescent="0.25">
      <c r="E537" t="str">
        <f>"202111107077"</f>
        <v>202111107077</v>
      </c>
      <c r="F537" t="str">
        <f>"DCPC-21-092"</f>
        <v>DCPC-21-092</v>
      </c>
      <c r="G537" s="3">
        <v>100</v>
      </c>
      <c r="H537" t="str">
        <f>"DCPC-21-092"</f>
        <v>DCPC-21-092</v>
      </c>
    </row>
    <row r="538" spans="1:8" x14ac:dyDescent="0.25">
      <c r="E538" t="str">
        <f>"202111107078"</f>
        <v>202111107078</v>
      </c>
      <c r="F538" t="str">
        <f>"17073"</f>
        <v>17073</v>
      </c>
      <c r="G538" s="3">
        <v>400</v>
      </c>
      <c r="H538" t="str">
        <f>"17073"</f>
        <v>17073</v>
      </c>
    </row>
    <row r="539" spans="1:8" x14ac:dyDescent="0.25">
      <c r="E539" t="str">
        <f>"202111107097"</f>
        <v>202111107097</v>
      </c>
      <c r="F539" t="str">
        <f>"16789"</f>
        <v>16789</v>
      </c>
      <c r="G539" s="3">
        <v>12150</v>
      </c>
      <c r="H539" t="str">
        <f>"16789"</f>
        <v>16789</v>
      </c>
    </row>
    <row r="540" spans="1:8" x14ac:dyDescent="0.25">
      <c r="E540" t="str">
        <f>"202111107098"</f>
        <v>202111107098</v>
      </c>
      <c r="F540" t="str">
        <f>"1921-335 423-8107"</f>
        <v>1921-335 423-8107</v>
      </c>
      <c r="G540" s="3">
        <v>200</v>
      </c>
      <c r="H540" t="str">
        <f>"1921-335 423-8107"</f>
        <v>1921-335 423-8107</v>
      </c>
    </row>
    <row r="541" spans="1:8" x14ac:dyDescent="0.25">
      <c r="E541" t="str">
        <f>"202111107100"</f>
        <v>202111107100</v>
      </c>
      <c r="F541" t="str">
        <f>"21-20937"</f>
        <v>21-20937</v>
      </c>
      <c r="G541" s="3">
        <v>100</v>
      </c>
      <c r="H541" t="str">
        <f>"21-20937"</f>
        <v>21-20937</v>
      </c>
    </row>
    <row r="542" spans="1:8" x14ac:dyDescent="0.25">
      <c r="E542" t="str">
        <f>"202111107101"</f>
        <v>202111107101</v>
      </c>
      <c r="F542" t="str">
        <f>"CM-20210508-A"</f>
        <v>CM-20210508-A</v>
      </c>
      <c r="G542" s="3">
        <v>250</v>
      </c>
      <c r="H542" t="str">
        <f>"CM-20210508-A"</f>
        <v>CM-20210508-A</v>
      </c>
    </row>
    <row r="543" spans="1:8" x14ac:dyDescent="0.25">
      <c r="E543" t="str">
        <f>"202111107102"</f>
        <v>202111107102</v>
      </c>
      <c r="F543" t="str">
        <f>"308232021B"</f>
        <v>308232021B</v>
      </c>
      <c r="G543" s="3">
        <v>250</v>
      </c>
      <c r="H543" t="str">
        <f>"308232021B"</f>
        <v>308232021B</v>
      </c>
    </row>
    <row r="544" spans="1:8" x14ac:dyDescent="0.25">
      <c r="E544" t="str">
        <f>"202111107103"</f>
        <v>202111107103</v>
      </c>
      <c r="F544" t="str">
        <f>"21-20962"</f>
        <v>21-20962</v>
      </c>
      <c r="G544" s="3">
        <v>100</v>
      </c>
      <c r="H544" t="str">
        <f>"21-20962"</f>
        <v>21-20962</v>
      </c>
    </row>
    <row r="545" spans="1:8" x14ac:dyDescent="0.25">
      <c r="E545" t="str">
        <f>"202111157159"</f>
        <v>202111157159</v>
      </c>
      <c r="F545" t="str">
        <f>"1940-21"</f>
        <v>1940-21</v>
      </c>
      <c r="G545" s="3">
        <v>100</v>
      </c>
      <c r="H545" t="str">
        <f>"1940-21"</f>
        <v>1940-21</v>
      </c>
    </row>
    <row r="546" spans="1:8" x14ac:dyDescent="0.25">
      <c r="E546" t="str">
        <f>"202111157160"</f>
        <v>202111157160</v>
      </c>
      <c r="F546" t="str">
        <f>"1945-335"</f>
        <v>1945-335</v>
      </c>
      <c r="G546" s="3">
        <v>100</v>
      </c>
      <c r="H546" t="str">
        <f>"1945-335"</f>
        <v>1945-335</v>
      </c>
    </row>
    <row r="547" spans="1:8" x14ac:dyDescent="0.25">
      <c r="E547" t="str">
        <f>"202111157161"</f>
        <v>202111157161</v>
      </c>
      <c r="F547" t="str">
        <f>"17438"</f>
        <v>17438</v>
      </c>
      <c r="G547" s="3">
        <v>400</v>
      </c>
      <c r="H547" t="str">
        <f>"17438"</f>
        <v>17438</v>
      </c>
    </row>
    <row r="548" spans="1:8" x14ac:dyDescent="0.25">
      <c r="E548" t="str">
        <f>"202111157162"</f>
        <v>202111157162</v>
      </c>
      <c r="F548" t="str">
        <f>"17215"</f>
        <v>17215</v>
      </c>
      <c r="G548" s="3">
        <v>550</v>
      </c>
      <c r="H548" t="str">
        <f>"17215"</f>
        <v>17215</v>
      </c>
    </row>
    <row r="549" spans="1:8" x14ac:dyDescent="0.25">
      <c r="E549" t="str">
        <f>"202111157163"</f>
        <v>202111157163</v>
      </c>
      <c r="F549" t="str">
        <f>"17322  17323"</f>
        <v>17322  17323</v>
      </c>
      <c r="G549" s="3">
        <v>1000</v>
      </c>
      <c r="H549" t="str">
        <f>"17322  17323"</f>
        <v>17322  17323</v>
      </c>
    </row>
    <row r="550" spans="1:8" x14ac:dyDescent="0.25">
      <c r="A550" t="s">
        <v>184</v>
      </c>
      <c r="B550">
        <v>138046</v>
      </c>
      <c r="C550" s="3">
        <v>400</v>
      </c>
      <c r="D550" s="6">
        <v>44522</v>
      </c>
      <c r="E550" t="str">
        <f>"1225"</f>
        <v>1225</v>
      </c>
      <c r="F550" t="str">
        <f>"INTERPRETING SVCS"</f>
        <v>INTERPRETING SVCS</v>
      </c>
      <c r="G550" s="3">
        <v>400</v>
      </c>
      <c r="H550" t="str">
        <f>"INTERPRETING SVCS"</f>
        <v>INTERPRETING SVCS</v>
      </c>
    </row>
    <row r="551" spans="1:8" x14ac:dyDescent="0.25">
      <c r="A551" t="s">
        <v>185</v>
      </c>
      <c r="B551">
        <v>138047</v>
      </c>
      <c r="C551" s="3">
        <v>49.28</v>
      </c>
      <c r="D551" s="6">
        <v>44522</v>
      </c>
      <c r="E551" t="str">
        <f>"202111157137"</f>
        <v>202111157137</v>
      </c>
      <c r="F551" t="str">
        <f>"MILEAGE REIMBURSEMENT"</f>
        <v>MILEAGE REIMBURSEMENT</v>
      </c>
      <c r="G551" s="3">
        <v>49.28</v>
      </c>
      <c r="H551" t="str">
        <f>"MILEAGE REIMBURSEMENT"</f>
        <v>MILEAGE REIMBURSEMENT</v>
      </c>
    </row>
    <row r="552" spans="1:8" x14ac:dyDescent="0.25">
      <c r="A552" t="s">
        <v>186</v>
      </c>
      <c r="B552">
        <v>137781</v>
      </c>
      <c r="C552" s="3">
        <v>10</v>
      </c>
      <c r="D552" s="6">
        <v>44508</v>
      </c>
      <c r="E552" t="str">
        <f>"202111016894"</f>
        <v>202111016894</v>
      </c>
      <c r="F552" t="str">
        <f>"FERAL HOGS"</f>
        <v>FERAL HOGS</v>
      </c>
      <c r="G552" s="3">
        <v>10</v>
      </c>
      <c r="H552" t="str">
        <f>"FERAL HOGS"</f>
        <v>FERAL HOGS</v>
      </c>
    </row>
    <row r="553" spans="1:8" x14ac:dyDescent="0.25">
      <c r="A553" t="s">
        <v>187</v>
      </c>
      <c r="B553">
        <v>138048</v>
      </c>
      <c r="C553" s="3">
        <v>640</v>
      </c>
      <c r="D553" s="6">
        <v>44522</v>
      </c>
      <c r="E553" t="str">
        <f>"533038"</f>
        <v>533038</v>
      </c>
      <c r="F553" t="str">
        <f>"10/21-11/8/21 SHILOH RD PCT#1"</f>
        <v>10/21-11/8/21 SHILOH RD PCT#1</v>
      </c>
      <c r="G553" s="3">
        <v>640</v>
      </c>
      <c r="H553" t="str">
        <f>"10/21-11/8/21 SHILOH RD PCT#1"</f>
        <v>10/21-11/8/21 SHILOH RD PCT#1</v>
      </c>
    </row>
    <row r="554" spans="1:8" x14ac:dyDescent="0.25">
      <c r="A554" t="s">
        <v>188</v>
      </c>
      <c r="B554">
        <v>137782</v>
      </c>
      <c r="C554" s="3">
        <v>70</v>
      </c>
      <c r="D554" s="6">
        <v>44508</v>
      </c>
      <c r="E554" t="str">
        <f>"202111016895"</f>
        <v>202111016895</v>
      </c>
      <c r="F554" t="str">
        <f>"FERAL HOGS"</f>
        <v>FERAL HOGS</v>
      </c>
      <c r="G554" s="3">
        <v>70</v>
      </c>
      <c r="H554" t="str">
        <f>"FERAL HOGS"</f>
        <v>FERAL HOGS</v>
      </c>
    </row>
    <row r="555" spans="1:8" x14ac:dyDescent="0.25">
      <c r="A555" t="s">
        <v>189</v>
      </c>
      <c r="B555">
        <v>137783</v>
      </c>
      <c r="C555" s="3">
        <v>97</v>
      </c>
      <c r="D555" s="6">
        <v>44508</v>
      </c>
      <c r="E555" t="str">
        <f>"202111016921"</f>
        <v>202111016921</v>
      </c>
      <c r="F555" t="str">
        <f>"REIMBURSE DL RENEWAL FEE"</f>
        <v>REIMBURSE DL RENEWAL FEE</v>
      </c>
      <c r="G555" s="3">
        <v>97</v>
      </c>
      <c r="H555" t="str">
        <f>"REIMBURSE DL RENEWAL FEE"</f>
        <v>REIMBURSE DL RENEWAL FEE</v>
      </c>
    </row>
    <row r="556" spans="1:8" x14ac:dyDescent="0.25">
      <c r="A556" t="s">
        <v>190</v>
      </c>
      <c r="B556">
        <v>5375</v>
      </c>
      <c r="C556" s="3">
        <v>2717</v>
      </c>
      <c r="D556" s="6">
        <v>44509</v>
      </c>
      <c r="E556" t="str">
        <f>"482"</f>
        <v>482</v>
      </c>
      <c r="F556" t="str">
        <f>"TOWER RENT"</f>
        <v>TOWER RENT</v>
      </c>
      <c r="G556" s="3">
        <v>2717</v>
      </c>
      <c r="H556" t="str">
        <f>"TOWER RENT"</f>
        <v>TOWER RENT</v>
      </c>
    </row>
    <row r="557" spans="1:8" x14ac:dyDescent="0.25">
      <c r="A557" t="s">
        <v>191</v>
      </c>
      <c r="B557">
        <v>137784</v>
      </c>
      <c r="C557" s="3">
        <v>1161</v>
      </c>
      <c r="D557" s="6">
        <v>44508</v>
      </c>
      <c r="E557" t="str">
        <f>"21787"</f>
        <v>21787</v>
      </c>
      <c r="F557" t="str">
        <f>"INV 21787"</f>
        <v>INV 21787</v>
      </c>
      <c r="G557" s="3">
        <v>1161</v>
      </c>
      <c r="H557" t="str">
        <f>"INV 21787"</f>
        <v>INV 21787</v>
      </c>
    </row>
    <row r="558" spans="1:8" x14ac:dyDescent="0.25">
      <c r="A558" t="s">
        <v>192</v>
      </c>
      <c r="B558">
        <v>5333</v>
      </c>
      <c r="C558" s="3">
        <v>6652.27</v>
      </c>
      <c r="D558" s="6">
        <v>44509</v>
      </c>
      <c r="E558" t="str">
        <f>"829259"</f>
        <v>829259</v>
      </c>
      <c r="F558" t="str">
        <f>"CUST#10222/20561-1"</f>
        <v>CUST#10222/20561-1</v>
      </c>
      <c r="G558" s="3">
        <v>4596.37</v>
      </c>
      <c r="H558" t="str">
        <f>"CUST#10222/20561-1"</f>
        <v>CUST#10222/20561-1</v>
      </c>
    </row>
    <row r="559" spans="1:8" x14ac:dyDescent="0.25">
      <c r="E559" t="str">
        <f>"829459"</f>
        <v>829459</v>
      </c>
      <c r="F559" t="str">
        <f>"Knight Security DNA-01808"</f>
        <v>Knight Security DNA-01808</v>
      </c>
      <c r="G559" s="3">
        <v>1929.56</v>
      </c>
      <c r="H559" t="str">
        <f>"CC-DNA-01808"</f>
        <v>CC-DNA-01808</v>
      </c>
    </row>
    <row r="560" spans="1:8" x14ac:dyDescent="0.25">
      <c r="E560" t="str">
        <f>""</f>
        <v/>
      </c>
      <c r="F560" t="str">
        <f>""</f>
        <v/>
      </c>
      <c r="G560" s="3">
        <v>126.34</v>
      </c>
      <c r="H560" t="str">
        <f>"DIR-CC-CWS"</f>
        <v>DIR-CC-CWS</v>
      </c>
    </row>
    <row r="561" spans="1:8" x14ac:dyDescent="0.25">
      <c r="A561" t="s">
        <v>193</v>
      </c>
      <c r="B561">
        <v>5343</v>
      </c>
      <c r="C561" s="3">
        <v>277.2</v>
      </c>
      <c r="D561" s="6">
        <v>44509</v>
      </c>
      <c r="E561" t="str">
        <f>"283451"</f>
        <v>283451</v>
      </c>
      <c r="F561" t="str">
        <f>"ORD#23084799/911 CALL CENTER"</f>
        <v>ORD#23084799/911 CALL CENTER</v>
      </c>
      <c r="G561" s="3">
        <v>277.2</v>
      </c>
      <c r="H561" t="str">
        <f>"ORD#23084799/911 CALL CENTER"</f>
        <v>ORD#23084799/911 CALL CENTER</v>
      </c>
    </row>
    <row r="562" spans="1:8" x14ac:dyDescent="0.25">
      <c r="A562" t="s">
        <v>193</v>
      </c>
      <c r="B562">
        <v>5417</v>
      </c>
      <c r="C562" s="3">
        <v>720</v>
      </c>
      <c r="D562" s="6">
        <v>44523</v>
      </c>
      <c r="E562" t="str">
        <f>"283113"</f>
        <v>283113</v>
      </c>
      <c r="F562" t="str">
        <f>"OCT-SEPT'22 ANNUAL ANIMAL SHEL"</f>
        <v>OCT-SEPT'22 ANNUAL ANIMAL SHEL</v>
      </c>
      <c r="G562" s="3">
        <v>720</v>
      </c>
      <c r="H562" t="str">
        <f>"OCT-SEPT'22 ANNUAL ANIMAL SHEL"</f>
        <v>OCT-SEPT'22 ANNUAL ANIMAL SHEL</v>
      </c>
    </row>
    <row r="563" spans="1:8" x14ac:dyDescent="0.25">
      <c r="A563" t="s">
        <v>194</v>
      </c>
      <c r="B563">
        <v>5361</v>
      </c>
      <c r="C563" s="3">
        <v>51645.95</v>
      </c>
      <c r="D563" s="6">
        <v>44509</v>
      </c>
      <c r="E563" t="str">
        <f>"202111026977"</f>
        <v>202111026977</v>
      </c>
      <c r="F563" t="str">
        <f>"Manuscript"</f>
        <v>Manuscript</v>
      </c>
      <c r="G563" s="3">
        <v>2646.25</v>
      </c>
      <c r="H563" t="str">
        <f>"PS20020_X"</f>
        <v>PS20020_X</v>
      </c>
    </row>
    <row r="564" spans="1:8" x14ac:dyDescent="0.25">
      <c r="E564" t="str">
        <f>"INV-KT-004665"</f>
        <v>INV-KT-004665</v>
      </c>
      <c r="F564" t="str">
        <f>"ORDER#SO119374"</f>
        <v>ORDER#SO119374</v>
      </c>
      <c r="G564" s="3">
        <v>48999.7</v>
      </c>
      <c r="H564" t="str">
        <f>"ORDER#SO119374"</f>
        <v>ORDER#SO119374</v>
      </c>
    </row>
    <row r="565" spans="1:8" x14ac:dyDescent="0.25">
      <c r="A565" t="s">
        <v>195</v>
      </c>
      <c r="B565">
        <v>138049</v>
      </c>
      <c r="C565" s="3">
        <v>149.28</v>
      </c>
      <c r="D565" s="6">
        <v>44522</v>
      </c>
      <c r="E565" t="str">
        <f>"1000972996-001"</f>
        <v>1000972996-001</v>
      </c>
      <c r="F565" t="str">
        <f>"CUST#118413-001/MIKE FISHER BL"</f>
        <v>CUST#118413-001/MIKE FISHER BL</v>
      </c>
      <c r="G565" s="3">
        <v>149.28</v>
      </c>
      <c r="H565" t="str">
        <f>"CUST#118413-001/MIKE FISHER BL"</f>
        <v>CUST#118413-001/MIKE FISHER BL</v>
      </c>
    </row>
    <row r="566" spans="1:8" x14ac:dyDescent="0.25">
      <c r="A566" t="s">
        <v>196</v>
      </c>
      <c r="B566">
        <v>137785</v>
      </c>
      <c r="C566" s="3">
        <v>733.85</v>
      </c>
      <c r="D566" s="6">
        <v>44508</v>
      </c>
      <c r="E566" t="str">
        <f>"202111036988"</f>
        <v>202111036988</v>
      </c>
      <c r="F566" t="str">
        <f>"ACCT#1800/PCT#4"</f>
        <v>ACCT#1800/PCT#4</v>
      </c>
      <c r="G566" s="3">
        <v>14.71</v>
      </c>
      <c r="H566" t="str">
        <f>"ACCT#1800/PCT#4"</f>
        <v>ACCT#1800/PCT#4</v>
      </c>
    </row>
    <row r="567" spans="1:8" x14ac:dyDescent="0.25">
      <c r="E567" t="str">
        <f>"202111036991"</f>
        <v>202111036991</v>
      </c>
      <c r="F567" t="str">
        <f>"ACCT#1650/PCT#1"</f>
        <v>ACCT#1650/PCT#1</v>
      </c>
      <c r="G567" s="3">
        <v>155.51</v>
      </c>
      <c r="H567" t="str">
        <f>"ACCT#1650/PCT#1"</f>
        <v>ACCT#1650/PCT#1</v>
      </c>
    </row>
    <row r="568" spans="1:8" x14ac:dyDescent="0.25">
      <c r="E568" t="str">
        <f>"202111037003"</f>
        <v>202111037003</v>
      </c>
      <c r="F568" t="str">
        <f>"ACCT#1750/PCT#3"</f>
        <v>ACCT#1750/PCT#3</v>
      </c>
      <c r="G568" s="3">
        <v>563.63</v>
      </c>
      <c r="H568" t="str">
        <f>"ACCT#1750/PCT#3"</f>
        <v>ACCT#1750/PCT#3</v>
      </c>
    </row>
    <row r="569" spans="1:8" x14ac:dyDescent="0.25">
      <c r="A569" t="s">
        <v>196</v>
      </c>
      <c r="B569">
        <v>138050</v>
      </c>
      <c r="C569" s="3">
        <v>606.79</v>
      </c>
      <c r="D569" s="6">
        <v>44522</v>
      </c>
      <c r="E569" t="str">
        <f>"379-182681"</f>
        <v>379-182681</v>
      </c>
      <c r="F569" t="str">
        <f>"ACCT#1645/MITIGATION"</f>
        <v>ACCT#1645/MITIGATION</v>
      </c>
      <c r="G569" s="3">
        <v>606.79</v>
      </c>
      <c r="H569" t="str">
        <f>"ACCT#1645/MITIGATION"</f>
        <v>ACCT#1645/MITIGATION</v>
      </c>
    </row>
    <row r="570" spans="1:8" x14ac:dyDescent="0.25">
      <c r="A570" t="s">
        <v>197</v>
      </c>
      <c r="B570">
        <v>5331</v>
      </c>
      <c r="C570" s="3">
        <v>2697.36</v>
      </c>
      <c r="D570" s="6">
        <v>44509</v>
      </c>
      <c r="E570" t="str">
        <f>"10204865/10277096"</f>
        <v>10204865/10277096</v>
      </c>
      <c r="F570" t="str">
        <f>"INV 10204865  10277096"</f>
        <v>INV 10204865  10277096</v>
      </c>
      <c r="G570" s="3">
        <v>1239.46</v>
      </c>
      <c r="H570" t="str">
        <f>"INV 10204865"</f>
        <v>INV 10204865</v>
      </c>
    </row>
    <row r="571" spans="1:8" x14ac:dyDescent="0.25">
      <c r="E571" t="str">
        <f>""</f>
        <v/>
      </c>
      <c r="F571" t="str">
        <f>""</f>
        <v/>
      </c>
      <c r="G571" s="3">
        <v>1457.9</v>
      </c>
      <c r="H571" t="str">
        <f>"INV 10277096"</f>
        <v>INV 10277096</v>
      </c>
    </row>
    <row r="572" spans="1:8" x14ac:dyDescent="0.25">
      <c r="A572" t="s">
        <v>197</v>
      </c>
      <c r="B572">
        <v>5406</v>
      </c>
      <c r="C572" s="3">
        <v>2282.0100000000002</v>
      </c>
      <c r="D572" s="6">
        <v>44523</v>
      </c>
      <c r="E572" t="str">
        <f>"11030395 11103716"</f>
        <v>11030395 11103716</v>
      </c>
      <c r="F572" t="str">
        <f>"INV 11030395  11103716"</f>
        <v>INV 11030395  11103716</v>
      </c>
      <c r="G572" s="3">
        <v>1508.56</v>
      </c>
      <c r="H572" t="str">
        <f>"INV 11030395"</f>
        <v>INV 11030395</v>
      </c>
    </row>
    <row r="573" spans="1:8" x14ac:dyDescent="0.25">
      <c r="E573" t="str">
        <f>""</f>
        <v/>
      </c>
      <c r="F573" t="str">
        <f>""</f>
        <v/>
      </c>
      <c r="G573" s="3">
        <v>773.45</v>
      </c>
      <c r="H573" t="str">
        <f>"INV 11103716"</f>
        <v>INV 11103716</v>
      </c>
    </row>
    <row r="574" spans="1:8" x14ac:dyDescent="0.25">
      <c r="A574" t="s">
        <v>198</v>
      </c>
      <c r="B574">
        <v>137786</v>
      </c>
      <c r="C574" s="3">
        <v>60</v>
      </c>
      <c r="D574" s="6">
        <v>44508</v>
      </c>
      <c r="E574" t="str">
        <f>"202111016896"</f>
        <v>202111016896</v>
      </c>
      <c r="F574" t="str">
        <f>"FERAL HOGS"</f>
        <v>FERAL HOGS</v>
      </c>
      <c r="G574" s="3">
        <v>60</v>
      </c>
      <c r="H574" t="str">
        <f>"FERAL HOGS"</f>
        <v>FERAL HOGS</v>
      </c>
    </row>
    <row r="575" spans="1:8" x14ac:dyDescent="0.25">
      <c r="A575" t="s">
        <v>199</v>
      </c>
      <c r="B575">
        <v>5379</v>
      </c>
      <c r="C575" s="3">
        <v>1300</v>
      </c>
      <c r="D575" s="6">
        <v>44509</v>
      </c>
      <c r="E575" t="str">
        <f>"4431"</f>
        <v>4431</v>
      </c>
      <c r="F575" t="str">
        <f>"CDBG - LABOR STDS"</f>
        <v>CDBG - LABOR STDS</v>
      </c>
      <c r="G575" s="3">
        <v>1300</v>
      </c>
      <c r="H575" t="str">
        <f>"CDBG - LABOR STDS"</f>
        <v>CDBG - LABOR STDS</v>
      </c>
    </row>
    <row r="576" spans="1:8" x14ac:dyDescent="0.25">
      <c r="A576" t="s">
        <v>200</v>
      </c>
      <c r="B576">
        <v>138145</v>
      </c>
      <c r="C576" s="3">
        <v>75</v>
      </c>
      <c r="D576" s="6">
        <v>44524</v>
      </c>
      <c r="E576" t="str">
        <f>"202111237405"</f>
        <v>202111237405</v>
      </c>
      <c r="F576" t="str">
        <f>"PERSONAL SERVICE CITATION-G228"</f>
        <v>PERSONAL SERVICE CITATION-G228</v>
      </c>
      <c r="G576" s="3">
        <v>75</v>
      </c>
      <c r="H576" t="str">
        <f>"LEE COUNTY SHERIFF"</f>
        <v>LEE COUNTY SHERIFF</v>
      </c>
    </row>
    <row r="577" spans="1:8" x14ac:dyDescent="0.25">
      <c r="A577" t="s">
        <v>201</v>
      </c>
      <c r="B577">
        <v>137703</v>
      </c>
      <c r="C577" s="3">
        <v>50.25</v>
      </c>
      <c r="D577" s="6">
        <v>44504</v>
      </c>
      <c r="E577" t="str">
        <f>"202111047005"</f>
        <v>202111047005</v>
      </c>
      <c r="F577" t="str">
        <f>"ACCT#1-09-00072-02 1 / 102521"</f>
        <v>ACCT#1-09-00072-02 1 / 102521</v>
      </c>
      <c r="G577" s="3">
        <v>50.25</v>
      </c>
      <c r="H577" t="str">
        <f>"LEE COUNTY WATER SUPPLY CORP"</f>
        <v>LEE COUNTY WATER SUPPLY CORP</v>
      </c>
    </row>
    <row r="578" spans="1:8" x14ac:dyDescent="0.25">
      <c r="A578" t="s">
        <v>202</v>
      </c>
      <c r="B578">
        <v>137787</v>
      </c>
      <c r="C578" s="3">
        <v>225</v>
      </c>
      <c r="D578" s="6">
        <v>44508</v>
      </c>
      <c r="E578" t="str">
        <f>"21707"</f>
        <v>21707</v>
      </c>
      <c r="F578" t="str">
        <f>"INTERPRETING SVCS"</f>
        <v>INTERPRETING SVCS</v>
      </c>
      <c r="G578" s="3">
        <v>225</v>
      </c>
      <c r="H578" t="str">
        <f>"INTERPRETING SVCS"</f>
        <v>INTERPRETING SVCS</v>
      </c>
    </row>
    <row r="579" spans="1:8" x14ac:dyDescent="0.25">
      <c r="A579" t="s">
        <v>203</v>
      </c>
      <c r="B579">
        <v>138051</v>
      </c>
      <c r="C579" s="3">
        <v>780.7</v>
      </c>
      <c r="D579" s="6">
        <v>44522</v>
      </c>
      <c r="E579" t="str">
        <f>"1211621-20211031"</f>
        <v>1211621-20211031</v>
      </c>
      <c r="F579" t="str">
        <f>"ACCT#1799905/HEALTH SVCS"</f>
        <v>ACCT#1799905/HEALTH SVCS</v>
      </c>
      <c r="G579" s="3">
        <v>108.5</v>
      </c>
      <c r="H579" t="str">
        <f>"ACCT#1799905/HEALTH SVCS"</f>
        <v>ACCT#1799905/HEALTH SVCS</v>
      </c>
    </row>
    <row r="580" spans="1:8" x14ac:dyDescent="0.25">
      <c r="E580" t="str">
        <f>"1361725-20210831"</f>
        <v>1361725-20210831</v>
      </c>
      <c r="F580" t="str">
        <f>"BILL ID:1361725/INDIGENT HEALT"</f>
        <v>BILL ID:1361725/INDIGENT HEALT</v>
      </c>
      <c r="G580" s="3">
        <v>150</v>
      </c>
      <c r="H580" t="str">
        <f>"BILL ID:1361725/INDIGENT HEALT"</f>
        <v>BILL ID:1361725/INDIGENT HEALT</v>
      </c>
    </row>
    <row r="581" spans="1:8" x14ac:dyDescent="0.25">
      <c r="E581" t="str">
        <f>"1361725-20211031"</f>
        <v>1361725-20211031</v>
      </c>
      <c r="F581" t="str">
        <f>"OCT 2021 /INDIGENT HEALTH"</f>
        <v>OCT 2021 /INDIGENT HEALTH</v>
      </c>
      <c r="G581" s="3">
        <v>150</v>
      </c>
      <c r="H581" t="str">
        <f>"OCT 2021 /INDIGENT HEALTH"</f>
        <v>OCT 2021 /INDIGENT HEALTH</v>
      </c>
    </row>
    <row r="582" spans="1:8" x14ac:dyDescent="0.25">
      <c r="E582" t="str">
        <f>"1420944-20211031 0"</f>
        <v>1420944-20211031 0</v>
      </c>
      <c r="F582" t="str">
        <f>"BILLING ID 1420944/IT DEPT"</f>
        <v>BILLING ID 1420944/IT DEPT</v>
      </c>
      <c r="G582" s="3">
        <v>322.2</v>
      </c>
      <c r="H582" t="str">
        <f>"BILLING ID 1420944/CNTY SHERIF"</f>
        <v>BILLING ID 1420944/CNTY SHERIF</v>
      </c>
    </row>
    <row r="583" spans="1:8" x14ac:dyDescent="0.25">
      <c r="E583" t="str">
        <f>"1489870-20211031"</f>
        <v>1489870-20211031</v>
      </c>
      <c r="F583" t="str">
        <f>"BILLING ID 1489870/DIST CLERK"</f>
        <v>BILLING ID 1489870/DIST CLERK</v>
      </c>
      <c r="G583" s="3">
        <v>50</v>
      </c>
      <c r="H583" t="str">
        <f>"BILLING ID 1489870/DIST CLERK"</f>
        <v>BILLING ID 1489870/DIST CLERK</v>
      </c>
    </row>
    <row r="584" spans="1:8" x14ac:dyDescent="0.25">
      <c r="A584" t="s">
        <v>204</v>
      </c>
      <c r="B584">
        <v>138052</v>
      </c>
      <c r="C584" s="3">
        <v>2066.0100000000002</v>
      </c>
      <c r="D584" s="6">
        <v>44522</v>
      </c>
      <c r="E584" t="str">
        <f>"2148986"</f>
        <v>2148986</v>
      </c>
      <c r="F584" t="str">
        <f>"ACCT #15717/TRANSFER STATION"</f>
        <v>ACCT #15717/TRANSFER STATION</v>
      </c>
      <c r="G584" s="3">
        <v>2066.0100000000002</v>
      </c>
      <c r="H584" t="str">
        <f>"ACCT #15717/TRANSFER STATION"</f>
        <v>ACCT #15717/TRANSFER STATION</v>
      </c>
    </row>
    <row r="585" spans="1:8" x14ac:dyDescent="0.25">
      <c r="A585" t="s">
        <v>205</v>
      </c>
      <c r="B585">
        <v>5347</v>
      </c>
      <c r="C585" s="3">
        <v>108.37</v>
      </c>
      <c r="D585" s="6">
        <v>44509</v>
      </c>
      <c r="E585" t="str">
        <f>"202110286716"</f>
        <v>202110286716</v>
      </c>
      <c r="F585" t="str">
        <f>"REIMBURSEMENT FOR DIVIDERS"</f>
        <v>REIMBURSEMENT FOR DIVIDERS</v>
      </c>
      <c r="G585" s="3">
        <v>27.47</v>
      </c>
      <c r="H585" t="str">
        <f>"REIMBURSEMENT FOR DIVIDERS"</f>
        <v>REIMBURSEMENT FOR DIVIDERS</v>
      </c>
    </row>
    <row r="586" spans="1:8" x14ac:dyDescent="0.25">
      <c r="E586" t="str">
        <f>"202111016726"</f>
        <v>202111016726</v>
      </c>
      <c r="F586" t="str">
        <f>"REIMBURSE - VIDEO EDITOR"</f>
        <v>REIMBURSE - VIDEO EDITOR</v>
      </c>
      <c r="G586" s="3">
        <v>80.900000000000006</v>
      </c>
      <c r="H586" t="str">
        <f>"REIMBURSE - VIDEO EDITOR"</f>
        <v>REIMBURSE - VIDEO EDITOR</v>
      </c>
    </row>
    <row r="587" spans="1:8" x14ac:dyDescent="0.25">
      <c r="A587" t="s">
        <v>206</v>
      </c>
      <c r="B587">
        <v>138053</v>
      </c>
      <c r="C587" s="3">
        <v>1611.14</v>
      </c>
      <c r="D587" s="6">
        <v>44522</v>
      </c>
      <c r="E587" t="str">
        <f>"SVC1119256"</f>
        <v>SVC1119256</v>
      </c>
      <c r="F587" t="str">
        <f>"INV SVC1119256"</f>
        <v>INV SVC1119256</v>
      </c>
      <c r="G587" s="3">
        <v>1611.14</v>
      </c>
      <c r="H587" t="str">
        <f>"INV SVC1119256"</f>
        <v>INV SVC1119256</v>
      </c>
    </row>
    <row r="588" spans="1:8" x14ac:dyDescent="0.25">
      <c r="A588" t="s">
        <v>207</v>
      </c>
      <c r="B588">
        <v>137788</v>
      </c>
      <c r="C588" s="3">
        <v>148.88999999999999</v>
      </c>
      <c r="D588" s="6">
        <v>44508</v>
      </c>
      <c r="E588" t="str">
        <f>"4856*08009*1"</f>
        <v>4856*08009*1</v>
      </c>
      <c r="F588" t="str">
        <f>"JAIL MEDICAL"</f>
        <v>JAIL MEDICAL</v>
      </c>
      <c r="G588" s="3">
        <v>148.88999999999999</v>
      </c>
      <c r="H588" t="str">
        <f>"JAIL MEDICAL"</f>
        <v>JAIL MEDICAL</v>
      </c>
    </row>
    <row r="589" spans="1:8" x14ac:dyDescent="0.25">
      <c r="A589" t="s">
        <v>208</v>
      </c>
      <c r="B589">
        <v>5416</v>
      </c>
      <c r="C589" s="3">
        <v>279</v>
      </c>
      <c r="D589" s="6">
        <v>44523</v>
      </c>
      <c r="E589" t="str">
        <f>"97526254"</f>
        <v>97526254</v>
      </c>
      <c r="F589" t="str">
        <f>"CLIENT 3619 PROF SERVICES"</f>
        <v>CLIENT 3619 PROF SERVICES</v>
      </c>
      <c r="G589" s="3">
        <v>279</v>
      </c>
      <c r="H589" t="str">
        <f>"CLIENT 3619 PROF SERVICES"</f>
        <v>CLIENT 3619 PROF SERVICES</v>
      </c>
    </row>
    <row r="590" spans="1:8" x14ac:dyDescent="0.25">
      <c r="A590" t="s">
        <v>209</v>
      </c>
      <c r="B590">
        <v>5426</v>
      </c>
      <c r="C590" s="3">
        <v>10826.15</v>
      </c>
      <c r="D590" s="6">
        <v>44523</v>
      </c>
      <c r="E590" t="str">
        <f>"202111167171"</f>
        <v>202111167171</v>
      </c>
      <c r="F590" t="str">
        <f>"GRANT REIMBURSEMENT"</f>
        <v>GRANT REIMBURSEMENT</v>
      </c>
      <c r="G590" s="3">
        <v>10826.15</v>
      </c>
      <c r="H590" t="str">
        <f>"GRANT REIMBURSEMENT"</f>
        <v>GRANT REIMBURSEMENT</v>
      </c>
    </row>
    <row r="591" spans="1:8" x14ac:dyDescent="0.25">
      <c r="A591" t="s">
        <v>210</v>
      </c>
      <c r="B591">
        <v>5423</v>
      </c>
      <c r="C591" s="3">
        <v>157.03</v>
      </c>
      <c r="D591" s="6">
        <v>44523</v>
      </c>
      <c r="E591" t="str">
        <f>"2021-2025"</f>
        <v>2021-2025</v>
      </c>
      <c r="F591" t="str">
        <f>"LABOR/COLLISION REPAIR"</f>
        <v>LABOR/COLLISION REPAIR</v>
      </c>
      <c r="G591" s="3">
        <v>157.03</v>
      </c>
      <c r="H591" t="str">
        <f>"LABOR/COLLISION REPAIR"</f>
        <v>LABOR/COLLISION REPAIR</v>
      </c>
    </row>
    <row r="592" spans="1:8" x14ac:dyDescent="0.25">
      <c r="A592" t="s">
        <v>211</v>
      </c>
      <c r="B592">
        <v>137789</v>
      </c>
      <c r="C592" s="3">
        <v>550</v>
      </c>
      <c r="D592" s="6">
        <v>44508</v>
      </c>
      <c r="E592" t="str">
        <f>"110831"</f>
        <v>110831</v>
      </c>
      <c r="F592" t="str">
        <f>"ACCT#237/PCT#2"</f>
        <v>ACCT#237/PCT#2</v>
      </c>
      <c r="G592" s="3">
        <v>550</v>
      </c>
      <c r="H592" t="str">
        <f>"ACCT#237/PCT#2"</f>
        <v>ACCT#237/PCT#2</v>
      </c>
    </row>
    <row r="593" spans="1:8" x14ac:dyDescent="0.25">
      <c r="A593" t="s">
        <v>212</v>
      </c>
      <c r="B593">
        <v>5356</v>
      </c>
      <c r="C593" s="3">
        <v>832</v>
      </c>
      <c r="D593" s="6">
        <v>44509</v>
      </c>
      <c r="E593" t="str">
        <f>"202111026983"</f>
        <v>202111026983</v>
      </c>
      <c r="F593" t="str">
        <f>"TRASH REMOVAL 110121-110721"</f>
        <v>TRASH REMOVAL 110121-110721</v>
      </c>
      <c r="G593" s="3">
        <v>520</v>
      </c>
      <c r="H593" t="str">
        <f>"TRASH REMOVAL 110121-110721"</f>
        <v>TRASH REMOVAL 110121-110721</v>
      </c>
    </row>
    <row r="594" spans="1:8" x14ac:dyDescent="0.25">
      <c r="E594" t="str">
        <f>"202111026984"</f>
        <v>202111026984</v>
      </c>
      <c r="F594" t="str">
        <f>"TRASH REMOVAL 102521-1103121"</f>
        <v>TRASH REMOVAL 102521-1103121</v>
      </c>
      <c r="G594" s="3">
        <v>312</v>
      </c>
      <c r="H594" t="str">
        <f>"TRASH REMOVAL 102521-1103121"</f>
        <v>TRASH REMOVAL 102521-1103121</v>
      </c>
    </row>
    <row r="595" spans="1:8" x14ac:dyDescent="0.25">
      <c r="A595" t="s">
        <v>212</v>
      </c>
      <c r="B595">
        <v>5431</v>
      </c>
      <c r="C595" s="3">
        <v>936</v>
      </c>
      <c r="D595" s="6">
        <v>44523</v>
      </c>
      <c r="E595" t="str">
        <f>"202111167183"</f>
        <v>202111167183</v>
      </c>
      <c r="F595" t="str">
        <f>"TRASH REMOVAL 11/8-11/21/21"</f>
        <v>TRASH REMOVAL 11/8-11/21/21</v>
      </c>
      <c r="G595" s="3">
        <v>936</v>
      </c>
      <c r="H595" t="str">
        <f>"TRASH REMOVAL 11/8-11/21/21"</f>
        <v>TRASH REMOVAL 11/8-11/21/21</v>
      </c>
    </row>
    <row r="596" spans="1:8" x14ac:dyDescent="0.25">
      <c r="A596" t="s">
        <v>213</v>
      </c>
      <c r="B596">
        <v>5378</v>
      </c>
      <c r="C596" s="3">
        <v>130</v>
      </c>
      <c r="D596" s="6">
        <v>44509</v>
      </c>
      <c r="E596" t="str">
        <f>"10-000640"</f>
        <v>10-000640</v>
      </c>
      <c r="F596" t="str">
        <f>"STATEMENT 10-000640"</f>
        <v>STATEMENT 10-000640</v>
      </c>
      <c r="G596" s="3">
        <v>50</v>
      </c>
      <c r="H596" t="str">
        <f>"INV 10-0132005"</f>
        <v>INV 10-0132005</v>
      </c>
    </row>
    <row r="597" spans="1:8" x14ac:dyDescent="0.25">
      <c r="E597" t="str">
        <f>""</f>
        <v/>
      </c>
      <c r="F597" t="str">
        <f>""</f>
        <v/>
      </c>
      <c r="G597" s="3">
        <v>30</v>
      </c>
      <c r="H597" t="str">
        <f>"INV 10-0132083"</f>
        <v>INV 10-0132083</v>
      </c>
    </row>
    <row r="598" spans="1:8" x14ac:dyDescent="0.25">
      <c r="E598" t="str">
        <f>""</f>
        <v/>
      </c>
      <c r="F598" t="str">
        <f>""</f>
        <v/>
      </c>
      <c r="G598" s="3">
        <v>50</v>
      </c>
      <c r="H598" t="str">
        <f>"INV 10-0133100"</f>
        <v>INV 10-0133100</v>
      </c>
    </row>
    <row r="599" spans="1:8" x14ac:dyDescent="0.25">
      <c r="A599" t="s">
        <v>214</v>
      </c>
      <c r="B599">
        <v>137790</v>
      </c>
      <c r="C599" s="3">
        <v>198.21</v>
      </c>
      <c r="D599" s="6">
        <v>44508</v>
      </c>
      <c r="E599" t="str">
        <f>"920794 910732"</f>
        <v>920794 910732</v>
      </c>
      <c r="F599" t="str">
        <f>"Statement"</f>
        <v>Statement</v>
      </c>
      <c r="G599" s="3">
        <v>15.45</v>
      </c>
      <c r="H599" t="str">
        <f>"910732"</f>
        <v>910732</v>
      </c>
    </row>
    <row r="600" spans="1:8" x14ac:dyDescent="0.25">
      <c r="E600" t="str">
        <f>""</f>
        <v/>
      </c>
      <c r="F600" t="str">
        <f>""</f>
        <v/>
      </c>
      <c r="G600" s="3">
        <v>91.1</v>
      </c>
      <c r="H600" t="str">
        <f>"909969"</f>
        <v>909969</v>
      </c>
    </row>
    <row r="601" spans="1:8" x14ac:dyDescent="0.25">
      <c r="E601" t="str">
        <f>""</f>
        <v/>
      </c>
      <c r="F601" t="str">
        <f>""</f>
        <v/>
      </c>
      <c r="G601" s="3">
        <v>91.66</v>
      </c>
      <c r="H601" t="str">
        <f>"920794"</f>
        <v>920794</v>
      </c>
    </row>
    <row r="602" spans="1:8" x14ac:dyDescent="0.25">
      <c r="A602" t="s">
        <v>215</v>
      </c>
      <c r="B602">
        <v>137791</v>
      </c>
      <c r="C602" s="3">
        <v>5</v>
      </c>
      <c r="D602" s="6">
        <v>44508</v>
      </c>
      <c r="E602" t="str">
        <f>"202111016897"</f>
        <v>202111016897</v>
      </c>
      <c r="F602" t="str">
        <f>"FERAL HOGS"</f>
        <v>FERAL HOGS</v>
      </c>
      <c r="G602" s="3">
        <v>5</v>
      </c>
      <c r="H602" t="str">
        <f>"FERAL HOGS"</f>
        <v>FERAL HOGS</v>
      </c>
    </row>
    <row r="603" spans="1:8" x14ac:dyDescent="0.25">
      <c r="A603" t="s">
        <v>216</v>
      </c>
      <c r="B603">
        <v>5364</v>
      </c>
      <c r="C603" s="3">
        <v>38146.25</v>
      </c>
      <c r="D603" s="6">
        <v>44509</v>
      </c>
      <c r="E603" t="str">
        <f>"4"</f>
        <v>4</v>
      </c>
      <c r="F603" t="str">
        <f>"STONY POINT WASTEWATER COLL"</f>
        <v>STONY POINT WASTEWATER COLL</v>
      </c>
      <c r="G603" s="3">
        <v>38146.25</v>
      </c>
      <c r="H603" t="str">
        <f>"STONY POINT WASTEWATER COLL"</f>
        <v>STONY POINT WASTEWATER COLL</v>
      </c>
    </row>
    <row r="604" spans="1:8" x14ac:dyDescent="0.25">
      <c r="A604" t="s">
        <v>217</v>
      </c>
      <c r="B604">
        <v>5344</v>
      </c>
      <c r="C604" s="3">
        <v>285.48</v>
      </c>
      <c r="D604" s="6">
        <v>44509</v>
      </c>
      <c r="E604" t="str">
        <f>"202110276682"</f>
        <v>202110276682</v>
      </c>
      <c r="F604" t="str">
        <f>"INTERPRETING SVCS/MILEAGE"</f>
        <v>INTERPRETING SVCS/MILEAGE</v>
      </c>
      <c r="G604" s="3">
        <v>285.48</v>
      </c>
      <c r="H604" t="str">
        <f>"INTERPRETING SVCS/MILEAGE"</f>
        <v>INTERPRETING SVCS/MILEAGE</v>
      </c>
    </row>
    <row r="605" spans="1:8" x14ac:dyDescent="0.25">
      <c r="A605" t="s">
        <v>217</v>
      </c>
      <c r="B605">
        <v>5418</v>
      </c>
      <c r="C605" s="3">
        <v>400</v>
      </c>
      <c r="D605" s="6">
        <v>44523</v>
      </c>
      <c r="E605" t="str">
        <f>"202111107095"</f>
        <v>202111107095</v>
      </c>
      <c r="F605" t="str">
        <f>"NO CAUSE # LISTED"</f>
        <v>NO CAUSE # LISTED</v>
      </c>
      <c r="G605" s="3">
        <v>200</v>
      </c>
      <c r="H605" t="str">
        <f>"NO CAUSE # LISTED"</f>
        <v>NO CAUSE # LISTED</v>
      </c>
    </row>
    <row r="606" spans="1:8" x14ac:dyDescent="0.25">
      <c r="E606" t="str">
        <f>"202111107108"</f>
        <v>202111107108</v>
      </c>
      <c r="F606" t="str">
        <f>"NO CAUSE #"</f>
        <v>NO CAUSE #</v>
      </c>
      <c r="G606" s="3">
        <v>200</v>
      </c>
      <c r="H606" t="str">
        <f>"NO CAUSE #"</f>
        <v>NO CAUSE #</v>
      </c>
    </row>
    <row r="607" spans="1:8" x14ac:dyDescent="0.25">
      <c r="A607" t="s">
        <v>218</v>
      </c>
      <c r="B607">
        <v>138054</v>
      </c>
      <c r="C607" s="3">
        <v>36.29</v>
      </c>
      <c r="D607" s="6">
        <v>44522</v>
      </c>
      <c r="E607" t="str">
        <f>"202111177211"</f>
        <v>202111177211</v>
      </c>
      <c r="F607" t="str">
        <f>"MARK WHITE"</f>
        <v>MARK WHITE</v>
      </c>
      <c r="G607" s="3">
        <v>36.29</v>
      </c>
      <c r="H607" t="str">
        <f>""</f>
        <v/>
      </c>
    </row>
    <row r="608" spans="1:8" x14ac:dyDescent="0.25">
      <c r="A608" t="s">
        <v>219</v>
      </c>
      <c r="B608">
        <v>137792</v>
      </c>
      <c r="C608" s="3">
        <v>177.4</v>
      </c>
      <c r="D608" s="6">
        <v>44508</v>
      </c>
      <c r="E608" t="str">
        <f>"202111016843"</f>
        <v>202111016843</v>
      </c>
      <c r="F608" t="str">
        <f>"REIMBURSEMENT - AMMO"</f>
        <v>REIMBURSEMENT - AMMO</v>
      </c>
      <c r="G608" s="3">
        <v>177.4</v>
      </c>
      <c r="H608" t="str">
        <f>"REIMBURSEMENT - AMMO"</f>
        <v>REIMBURSEMENT - AMMO</v>
      </c>
    </row>
    <row r="609" spans="1:8" x14ac:dyDescent="0.25">
      <c r="A609" t="s">
        <v>220</v>
      </c>
      <c r="B609">
        <v>137793</v>
      </c>
      <c r="C609" s="3">
        <v>1375.12</v>
      </c>
      <c r="D609" s="6">
        <v>44508</v>
      </c>
      <c r="E609" t="str">
        <f>"001979780"</f>
        <v>001979780</v>
      </c>
      <c r="F609" t="str">
        <f>"INV001979780"</f>
        <v>INV001979780</v>
      </c>
      <c r="G609" s="3">
        <v>1375.12</v>
      </c>
      <c r="H609" t="str">
        <f>"INV001979780"</f>
        <v>INV001979780</v>
      </c>
    </row>
    <row r="610" spans="1:8" x14ac:dyDescent="0.25">
      <c r="A610" t="s">
        <v>221</v>
      </c>
      <c r="B610">
        <v>138055</v>
      </c>
      <c r="C610" s="3">
        <v>374.28</v>
      </c>
      <c r="D610" s="6">
        <v>44522</v>
      </c>
      <c r="E610" t="str">
        <f>"0024492551"</f>
        <v>0024492551</v>
      </c>
      <c r="F610" t="str">
        <f>"ACCT#41472 PCT#1"</f>
        <v>ACCT#41472 PCT#1</v>
      </c>
      <c r="G610" s="3">
        <v>32.729999999999997</v>
      </c>
      <c r="H610" t="str">
        <f>"ACCT#41472 PCT#1"</f>
        <v>ACCT#41472 PCT#1</v>
      </c>
    </row>
    <row r="611" spans="1:8" x14ac:dyDescent="0.25">
      <c r="E611" t="str">
        <f>"0024492613"</f>
        <v>0024492613</v>
      </c>
      <c r="F611" t="str">
        <f>"ACCT#45057 PCT#4"</f>
        <v>ACCT#45057 PCT#4</v>
      </c>
      <c r="G611" s="3">
        <v>60.73</v>
      </c>
      <c r="H611" t="str">
        <f>"ACCT#45057 PCT#4"</f>
        <v>ACCT#45057 PCT#4</v>
      </c>
    </row>
    <row r="612" spans="1:8" x14ac:dyDescent="0.25">
      <c r="E612" t="str">
        <f>"0024492655"</f>
        <v>0024492655</v>
      </c>
      <c r="F612" t="str">
        <f>"INV 0024492655"</f>
        <v>INV 0024492655</v>
      </c>
      <c r="G612" s="3">
        <v>70.819999999999993</v>
      </c>
      <c r="H612" t="str">
        <f>"INV 0024492655"</f>
        <v>INV 0024492655</v>
      </c>
    </row>
    <row r="613" spans="1:8" x14ac:dyDescent="0.25">
      <c r="E613" t="str">
        <f>"0024492933"</f>
        <v>0024492933</v>
      </c>
      <c r="F613" t="str">
        <f>"ACCT#S9549 PCT#1"</f>
        <v>ACCT#S9549 PCT#1</v>
      </c>
      <c r="G613" s="3">
        <v>210</v>
      </c>
      <c r="H613" t="str">
        <f>"ACCT#S9549 PCT#1"</f>
        <v>ACCT#S9549 PCT#1</v>
      </c>
    </row>
    <row r="614" spans="1:8" x14ac:dyDescent="0.25">
      <c r="A614" t="s">
        <v>222</v>
      </c>
      <c r="B614">
        <v>137794</v>
      </c>
      <c r="C614" s="3">
        <v>1917</v>
      </c>
      <c r="D614" s="6">
        <v>44508</v>
      </c>
      <c r="E614" t="s">
        <v>223</v>
      </c>
      <c r="F614" s="3" t="str">
        <f>"ABST FEE"</f>
        <v>ABST FEE</v>
      </c>
      <c r="G614" s="3">
        <v>25</v>
      </c>
      <c r="H614" t="str">
        <f>"ABST FEE"</f>
        <v>ABST FEE</v>
      </c>
    </row>
    <row r="615" spans="1:8" x14ac:dyDescent="0.25">
      <c r="E615" t="str">
        <f>"12237"</f>
        <v>12237</v>
      </c>
      <c r="F615" t="str">
        <f>"ABST FEE - $175 / SERVICE -$55"</f>
        <v>ABST FEE - $175 / SERVICE -$55</v>
      </c>
      <c r="G615" s="3">
        <v>230</v>
      </c>
      <c r="H615" t="str">
        <f>"ABST FEE - $175 / SERVICE -$55"</f>
        <v>ABST FEE - $175 / SERVICE -$55</v>
      </c>
    </row>
    <row r="616" spans="1:8" x14ac:dyDescent="0.25">
      <c r="E616" t="str">
        <f>"13242"</f>
        <v>13242</v>
      </c>
      <c r="F616" t="str">
        <f>"ABST FEE"</f>
        <v>ABST FEE</v>
      </c>
      <c r="G616" s="3">
        <v>225</v>
      </c>
      <c r="H616" t="str">
        <f>"ABST FEE"</f>
        <v>ABST FEE</v>
      </c>
    </row>
    <row r="617" spans="1:8" x14ac:dyDescent="0.25">
      <c r="E617" t="str">
        <f>"13301  09/23/21"</f>
        <v>13301  09/23/21</v>
      </c>
      <c r="F617" t="str">
        <f>"ABST FEE"</f>
        <v>ABST FEE</v>
      </c>
      <c r="G617" s="3">
        <v>7</v>
      </c>
      <c r="H617" t="str">
        <f>"ABST FEE"</f>
        <v>ABST FEE</v>
      </c>
    </row>
    <row r="618" spans="1:8" x14ac:dyDescent="0.25">
      <c r="E618" t="str">
        <f>"13372"</f>
        <v>13372</v>
      </c>
      <c r="F618" t="str">
        <f>"ABST FEE"</f>
        <v>ABST FEE</v>
      </c>
      <c r="G618" s="3">
        <v>225</v>
      </c>
      <c r="H618" t="str">
        <f>"ABST FEE"</f>
        <v>ABST FEE</v>
      </c>
    </row>
    <row r="619" spans="1:8" x14ac:dyDescent="0.25">
      <c r="E619" t="str">
        <f>"13382"</f>
        <v>13382</v>
      </c>
      <c r="F619" t="str">
        <f>"SERVICE"</f>
        <v>SERVICE</v>
      </c>
      <c r="G619" s="3">
        <v>225</v>
      </c>
      <c r="H619" t="str">
        <f>"SERVICE"</f>
        <v>SERVICE</v>
      </c>
    </row>
    <row r="620" spans="1:8" x14ac:dyDescent="0.25">
      <c r="E620" t="str">
        <f>"13439"</f>
        <v>13439</v>
      </c>
      <c r="F620" t="str">
        <f>"ABST FEE"</f>
        <v>ABST FEE</v>
      </c>
      <c r="G620" s="3">
        <v>225</v>
      </c>
      <c r="H620" t="str">
        <f>"ABST FEE"</f>
        <v>ABST FEE</v>
      </c>
    </row>
    <row r="621" spans="1:8" x14ac:dyDescent="0.25">
      <c r="E621" t="str">
        <f>"13449"</f>
        <v>13449</v>
      </c>
      <c r="F621" t="str">
        <f>"ABST FEE - $25 / SERVICE - $55"</f>
        <v>ABST FEE - $25 / SERVICE - $55</v>
      </c>
      <c r="G621" s="3">
        <v>280</v>
      </c>
      <c r="H621" t="str">
        <f>"ABST FEE - $25 / SERVICE - $55"</f>
        <v>ABST FEE - $25 / SERVICE - $55</v>
      </c>
    </row>
    <row r="622" spans="1:8" x14ac:dyDescent="0.25">
      <c r="E622" t="str">
        <f>"13464  09/07/21"</f>
        <v>13464  09/07/21</v>
      </c>
      <c r="F622" t="str">
        <f>"ABST FEE"</f>
        <v>ABST FEE</v>
      </c>
      <c r="G622" s="3">
        <v>25</v>
      </c>
      <c r="H622" t="str">
        <f>"ABST FEE"</f>
        <v>ABST FEE</v>
      </c>
    </row>
    <row r="623" spans="1:8" x14ac:dyDescent="0.25">
      <c r="E623" t="str">
        <f>"13513"</f>
        <v>13513</v>
      </c>
      <c r="F623" t="str">
        <f>"ABST FEE"</f>
        <v>ABST FEE</v>
      </c>
      <c r="G623" s="3">
        <v>225</v>
      </c>
      <c r="H623" t="str">
        <f>"ABST FEE"</f>
        <v>ABST FEE</v>
      </c>
    </row>
    <row r="624" spans="1:8" x14ac:dyDescent="0.25">
      <c r="E624" t="str">
        <f>"13661"</f>
        <v>13661</v>
      </c>
      <c r="F624" t="str">
        <f>"ABST FEE"</f>
        <v>ABST FEE</v>
      </c>
      <c r="G624" s="3">
        <v>225</v>
      </c>
      <c r="H624" t="str">
        <f>"ABST FEE"</f>
        <v>ABST FEE</v>
      </c>
    </row>
    <row r="625" spans="1:8" x14ac:dyDescent="0.25">
      <c r="A625" t="s">
        <v>222</v>
      </c>
      <c r="B625">
        <v>138056</v>
      </c>
      <c r="C625" s="3">
        <v>23696.73</v>
      </c>
      <c r="D625" s="6">
        <v>44522</v>
      </c>
      <c r="E625" t="str">
        <f>"202111157133"</f>
        <v>202111157133</v>
      </c>
      <c r="F625" t="str">
        <f>"ATTORNEY FEES OCT'21"</f>
        <v>ATTORNEY FEES OCT'21</v>
      </c>
      <c r="G625" s="3">
        <v>23696.73</v>
      </c>
      <c r="H625" t="str">
        <f>"ATTORNEY FEES OCT'21"</f>
        <v>ATTORNEY FEES OCT'21</v>
      </c>
    </row>
    <row r="626" spans="1:8" x14ac:dyDescent="0.25">
      <c r="A626" t="s">
        <v>224</v>
      </c>
      <c r="B626">
        <v>138057</v>
      </c>
      <c r="C626" s="3">
        <v>915.91</v>
      </c>
      <c r="D626" s="6">
        <v>44522</v>
      </c>
      <c r="E626" t="str">
        <f>"202111167197"</f>
        <v>202111167197</v>
      </c>
      <c r="F626" t="str">
        <f>"INDIGENT HEALTH"</f>
        <v>INDIGENT HEALTH</v>
      </c>
      <c r="G626" s="3">
        <v>915.91</v>
      </c>
      <c r="H626" t="str">
        <f>"INDIGENT HEALTH"</f>
        <v>INDIGENT HEALTH</v>
      </c>
    </row>
    <row r="627" spans="1:8" x14ac:dyDescent="0.25">
      <c r="A627" t="s">
        <v>225</v>
      </c>
      <c r="B627">
        <v>5435</v>
      </c>
      <c r="C627" s="3">
        <v>1661.61</v>
      </c>
      <c r="D627" s="6">
        <v>44523</v>
      </c>
      <c r="E627" t="str">
        <f>"202111177223"</f>
        <v>202111177223</v>
      </c>
      <c r="F627" t="str">
        <f>"MILEAGE REIMBURSEMENT/OCT"</f>
        <v>MILEAGE REIMBURSEMENT/OCT</v>
      </c>
      <c r="G627" s="3">
        <v>473.76</v>
      </c>
      <c r="H627" t="str">
        <f>"MILEAGE REIMBURSEMENT/OCT"</f>
        <v>MILEAGE REIMBURSEMENT/OCT</v>
      </c>
    </row>
    <row r="628" spans="1:8" x14ac:dyDescent="0.25">
      <c r="E628" t="str">
        <f>"202111177224"</f>
        <v>202111177224</v>
      </c>
      <c r="F628" t="str">
        <f>"MILEAGE REIMBURSEMENT/SEPT"</f>
        <v>MILEAGE REIMBURSEMENT/SEPT</v>
      </c>
      <c r="G628" s="3">
        <v>381.36</v>
      </c>
      <c r="H628" t="str">
        <f>"MILEAGE REIMBURSEMENT/SEPT"</f>
        <v>MILEAGE REIMBURSEMENT/SEPT</v>
      </c>
    </row>
    <row r="629" spans="1:8" x14ac:dyDescent="0.25">
      <c r="E629" t="str">
        <f>"202111177225"</f>
        <v>202111177225</v>
      </c>
      <c r="F629" t="str">
        <f>"REIMBURSEMENT/MEMBERSHIP RENEW"</f>
        <v>REIMBURSEMENT/MEMBERSHIP RENEW</v>
      </c>
      <c r="G629" s="3">
        <v>80</v>
      </c>
      <c r="H629" t="str">
        <f>"REIMBURSEMENT/MEMBERSHIP RENEW"</f>
        <v>REIMBURSEMENT/MEMBERSHIP RENEW</v>
      </c>
    </row>
    <row r="630" spans="1:8" x14ac:dyDescent="0.25">
      <c r="E630" t="str">
        <f>"202111177226"</f>
        <v>202111177226</v>
      </c>
      <c r="F630" t="str">
        <f>"REIMBURSE 4H MEETING FEE"</f>
        <v>REIMBURSE 4H MEETING FEE</v>
      </c>
      <c r="G630" s="3">
        <v>30</v>
      </c>
      <c r="H630" t="str">
        <f>"REIMBURSE 4H MEETING FEE"</f>
        <v>REIMBURSE 4H MEETING FEE</v>
      </c>
    </row>
    <row r="631" spans="1:8" x14ac:dyDescent="0.25">
      <c r="E631" t="str">
        <f>"202111177227"</f>
        <v>202111177227</v>
      </c>
      <c r="F631" t="str">
        <f>"REIMBURSEMENT CONFERENCE FEE"</f>
        <v>REIMBURSEMENT CONFERENCE FEE</v>
      </c>
      <c r="G631" s="3">
        <v>376.1</v>
      </c>
      <c r="H631" t="str">
        <f>"REIMBURSEMENT CONFERENCE FEE"</f>
        <v>REIMBURSEMENT CONFERENCE FEE</v>
      </c>
    </row>
    <row r="632" spans="1:8" x14ac:dyDescent="0.25">
      <c r="E632" t="str">
        <f>"202111177228"</f>
        <v>202111177228</v>
      </c>
      <c r="F632" t="str">
        <f>"REIMBURSEMENT REGISTRATION FEE"</f>
        <v>REIMBURSEMENT REGISTRATION FEE</v>
      </c>
      <c r="G632" s="3">
        <v>75</v>
      </c>
      <c r="H632" t="str">
        <f>"REIMBURSEMENT REGISTRATION FEE"</f>
        <v>REIMBURSEMENT REGISTRATION FEE</v>
      </c>
    </row>
    <row r="633" spans="1:8" x14ac:dyDescent="0.25">
      <c r="E633" t="str">
        <f>"202111177229"</f>
        <v>202111177229</v>
      </c>
      <c r="F633" t="str">
        <f>"REIMBURSEMENT REGISTRATION FEE"</f>
        <v>REIMBURSEMENT REGISTRATION FEE</v>
      </c>
      <c r="G633" s="3">
        <v>100</v>
      </c>
      <c r="H633" t="str">
        <f>"REIMBURSEMENT REGISTRATION FEE"</f>
        <v>REIMBURSEMENT REGISTRATION FEE</v>
      </c>
    </row>
    <row r="634" spans="1:8" x14ac:dyDescent="0.25">
      <c r="E634" t="str">
        <f>"202111177230"</f>
        <v>202111177230</v>
      </c>
      <c r="F634" t="str">
        <f>"REIMBURSEMENT LODGING"</f>
        <v>REIMBURSEMENT LODGING</v>
      </c>
      <c r="G634" s="3">
        <v>145.38999999999999</v>
      </c>
      <c r="H634" t="str">
        <f>"REIMBURSEMENT LODGING"</f>
        <v>REIMBURSEMENT LODGING</v>
      </c>
    </row>
    <row r="635" spans="1:8" x14ac:dyDescent="0.25">
      <c r="A635" t="s">
        <v>226</v>
      </c>
      <c r="B635">
        <v>5335</v>
      </c>
      <c r="C635" s="3">
        <v>2095.85</v>
      </c>
      <c r="D635" s="6">
        <v>44509</v>
      </c>
      <c r="E635" t="str">
        <f>"25800"</f>
        <v>25800</v>
      </c>
      <c r="F635" t="str">
        <f>"FREIGHT SALES/PCT#2"</f>
        <v>FREIGHT SALES/PCT#2</v>
      </c>
      <c r="G635" s="3">
        <v>747.1</v>
      </c>
      <c r="H635" t="str">
        <f>"FREIGHT SALES/PCT#2"</f>
        <v>FREIGHT SALES/PCT#2</v>
      </c>
    </row>
    <row r="636" spans="1:8" x14ac:dyDescent="0.25">
      <c r="E636" t="str">
        <f>"25842"</f>
        <v>25842</v>
      </c>
      <c r="F636" t="str">
        <f>"FREIGHT SALES/PCT#2"</f>
        <v>FREIGHT SALES/PCT#2</v>
      </c>
      <c r="G636" s="3">
        <v>1348.75</v>
      </c>
      <c r="H636" t="str">
        <f>"FREIGHT SALES/PCT#2"</f>
        <v>FREIGHT SALES/PCT#2</v>
      </c>
    </row>
    <row r="637" spans="1:8" x14ac:dyDescent="0.25">
      <c r="A637" t="s">
        <v>226</v>
      </c>
      <c r="B637">
        <v>5411</v>
      </c>
      <c r="C637" s="3">
        <v>2275.65</v>
      </c>
      <c r="D637" s="6">
        <v>44523</v>
      </c>
      <c r="E637" t="str">
        <f>"25905"</f>
        <v>25905</v>
      </c>
      <c r="F637" t="str">
        <f>"RECYCLED BASE PCT#2"</f>
        <v>RECYCLED BASE PCT#2</v>
      </c>
      <c r="G637" s="3">
        <v>1011.95</v>
      </c>
      <c r="H637" t="str">
        <f>"RECYCLED BASE PCT#2"</f>
        <v>RECYCLED BASE PCT#2</v>
      </c>
    </row>
    <row r="638" spans="1:8" x14ac:dyDescent="0.25">
      <c r="E638" t="str">
        <f>"25934"</f>
        <v>25934</v>
      </c>
      <c r="F638" t="str">
        <f>"FREIGHT SALES/PCT#2"</f>
        <v>FREIGHT SALES/PCT#2</v>
      </c>
      <c r="G638" s="3">
        <v>1263.7</v>
      </c>
      <c r="H638" t="str">
        <f>"FREIGHT SALES/PCT#2"</f>
        <v>FREIGHT SALES/PCT#2</v>
      </c>
    </row>
    <row r="639" spans="1:8" x14ac:dyDescent="0.25">
      <c r="A639" t="s">
        <v>227</v>
      </c>
      <c r="B639">
        <v>137589</v>
      </c>
      <c r="C639" s="3">
        <v>126</v>
      </c>
      <c r="D639" s="6">
        <v>44501</v>
      </c>
      <c r="E639" t="str">
        <f>"202111016731"</f>
        <v>202111016731</v>
      </c>
      <c r="F639" t="str">
        <f>"Miscell"</f>
        <v>Miscell</v>
      </c>
      <c r="G639" s="3">
        <v>126</v>
      </c>
      <c r="H639" t="str">
        <f>"Family Crisis Center"</f>
        <v>Family Crisis Center</v>
      </c>
    </row>
    <row r="640" spans="1:8" x14ac:dyDescent="0.25">
      <c r="A640" t="s">
        <v>228</v>
      </c>
      <c r="B640">
        <v>137590</v>
      </c>
      <c r="C640" s="3">
        <v>6</v>
      </c>
      <c r="D640" s="6">
        <v>44501</v>
      </c>
      <c r="E640" t="str">
        <f>"202111016732"</f>
        <v>202111016732</v>
      </c>
      <c r="F640" t="str">
        <f>"Miscellaneo"</f>
        <v>Miscellaneo</v>
      </c>
      <c r="G640" s="3">
        <v>6</v>
      </c>
      <c r="H640" t="str">
        <f>"JACLYN ANN BROCK"</f>
        <v>JACLYN ANN BROCK</v>
      </c>
    </row>
    <row r="641" spans="1:8" x14ac:dyDescent="0.25">
      <c r="A641" t="s">
        <v>229</v>
      </c>
      <c r="B641">
        <v>137591</v>
      </c>
      <c r="C641" s="3">
        <v>6</v>
      </c>
      <c r="D641" s="6">
        <v>44501</v>
      </c>
      <c r="E641" t="str">
        <f>"202111016733"</f>
        <v>202111016733</v>
      </c>
      <c r="F641" t="str">
        <f>"Miscellane"</f>
        <v>Miscellane</v>
      </c>
      <c r="G641" s="3">
        <v>6</v>
      </c>
      <c r="H641" t="str">
        <f>"DEREK WAYNE BROWN"</f>
        <v>DEREK WAYNE BROWN</v>
      </c>
    </row>
    <row r="642" spans="1:8" x14ac:dyDescent="0.25">
      <c r="A642" t="s">
        <v>230</v>
      </c>
      <c r="B642">
        <v>137592</v>
      </c>
      <c r="C642" s="3">
        <v>6</v>
      </c>
      <c r="D642" s="6">
        <v>44501</v>
      </c>
      <c r="E642" t="str">
        <f>"202111016734"</f>
        <v>202111016734</v>
      </c>
      <c r="F642" t="str">
        <f>"Miscellan"</f>
        <v>Miscellan</v>
      </c>
      <c r="G642" s="3">
        <v>6</v>
      </c>
      <c r="H642" t="str">
        <f>"NATHAN LEROY JONES"</f>
        <v>NATHAN LEROY JONES</v>
      </c>
    </row>
    <row r="643" spans="1:8" x14ac:dyDescent="0.25">
      <c r="A643" t="s">
        <v>231</v>
      </c>
      <c r="B643">
        <v>137593</v>
      </c>
      <c r="C643" s="3">
        <v>6</v>
      </c>
      <c r="D643" s="6">
        <v>44501</v>
      </c>
      <c r="E643" t="str">
        <f>"202111016735"</f>
        <v>202111016735</v>
      </c>
      <c r="F643" t="str">
        <f>"Miscella"</f>
        <v>Miscella</v>
      </c>
      <c r="G643" s="3">
        <v>6</v>
      </c>
      <c r="H643" t="str">
        <f>"MICHAEL JAMES PAYNE"</f>
        <v>MICHAEL JAMES PAYNE</v>
      </c>
    </row>
    <row r="644" spans="1:8" x14ac:dyDescent="0.25">
      <c r="A644" t="s">
        <v>232</v>
      </c>
      <c r="B644">
        <v>137594</v>
      </c>
      <c r="C644" s="3">
        <v>6</v>
      </c>
      <c r="D644" s="6">
        <v>44501</v>
      </c>
      <c r="E644" t="str">
        <f>"202111016736"</f>
        <v>202111016736</v>
      </c>
      <c r="F644" t="str">
        <f>""</f>
        <v/>
      </c>
      <c r="G644" s="3">
        <v>6</v>
      </c>
      <c r="H644" t="str">
        <f>"SERENA WILLOW HAMILTON LINN"</f>
        <v>SERENA WILLOW HAMILTON LINN</v>
      </c>
    </row>
    <row r="645" spans="1:8" x14ac:dyDescent="0.25">
      <c r="A645" t="s">
        <v>233</v>
      </c>
      <c r="B645">
        <v>137595</v>
      </c>
      <c r="C645" s="3">
        <v>6</v>
      </c>
      <c r="D645" s="6">
        <v>44501</v>
      </c>
      <c r="E645" t="str">
        <f>"202111016737"</f>
        <v>202111016737</v>
      </c>
      <c r="F645" t="str">
        <f>"Miscel"</f>
        <v>Miscel</v>
      </c>
      <c r="G645" s="3">
        <v>6</v>
      </c>
      <c r="H645" t="str">
        <f>"KIANNE MILDRED LEMUEL"</f>
        <v>KIANNE MILDRED LEMUEL</v>
      </c>
    </row>
    <row r="646" spans="1:8" x14ac:dyDescent="0.25">
      <c r="A646" t="s">
        <v>234</v>
      </c>
      <c r="B646">
        <v>137596</v>
      </c>
      <c r="C646" s="3">
        <v>6</v>
      </c>
      <c r="D646" s="6">
        <v>44501</v>
      </c>
      <c r="E646" t="str">
        <f>"202111016738"</f>
        <v>202111016738</v>
      </c>
      <c r="F646" t="str">
        <f>"Miscellan"</f>
        <v>Miscellan</v>
      </c>
      <c r="G646" s="3">
        <v>6</v>
      </c>
      <c r="H646" t="str">
        <f>"STEVEN SHANE BROWN"</f>
        <v>STEVEN SHANE BROWN</v>
      </c>
    </row>
    <row r="647" spans="1:8" x14ac:dyDescent="0.25">
      <c r="A647" t="s">
        <v>235</v>
      </c>
      <c r="B647">
        <v>137597</v>
      </c>
      <c r="C647" s="3">
        <v>6</v>
      </c>
      <c r="D647" s="6">
        <v>44501</v>
      </c>
      <c r="E647" t="str">
        <f>"202111016739"</f>
        <v>202111016739</v>
      </c>
      <c r="F647" t="str">
        <f>"Miscell"</f>
        <v>Miscell</v>
      </c>
      <c r="G647" s="3">
        <v>6</v>
      </c>
      <c r="H647" t="str">
        <f>"TRACE MATTHEW TURNER"</f>
        <v>TRACE MATTHEW TURNER</v>
      </c>
    </row>
    <row r="648" spans="1:8" x14ac:dyDescent="0.25">
      <c r="A648" t="s">
        <v>236</v>
      </c>
      <c r="B648">
        <v>137598</v>
      </c>
      <c r="C648" s="3">
        <v>126</v>
      </c>
      <c r="D648" s="6">
        <v>44501</v>
      </c>
      <c r="E648" t="str">
        <f>"202111016740"</f>
        <v>202111016740</v>
      </c>
      <c r="F648" t="str">
        <f>"Miscell"</f>
        <v>Miscell</v>
      </c>
      <c r="G648" s="3">
        <v>126</v>
      </c>
      <c r="H648" t="str">
        <f>"VINCENT TIMOTHY LAKE"</f>
        <v>VINCENT TIMOTHY LAKE</v>
      </c>
    </row>
    <row r="649" spans="1:8" x14ac:dyDescent="0.25">
      <c r="A649" t="s">
        <v>237</v>
      </c>
      <c r="B649">
        <v>137599</v>
      </c>
      <c r="C649" s="3">
        <v>6</v>
      </c>
      <c r="D649" s="6">
        <v>44501</v>
      </c>
      <c r="E649" t="str">
        <f>"202111016741"</f>
        <v>202111016741</v>
      </c>
      <c r="F649" t="str">
        <f>"Miscellane"</f>
        <v>Miscellane</v>
      </c>
      <c r="G649" s="3">
        <v>6</v>
      </c>
      <c r="H649" t="str">
        <f>"ROBERT LOUIS DACY"</f>
        <v>ROBERT LOUIS DACY</v>
      </c>
    </row>
    <row r="650" spans="1:8" x14ac:dyDescent="0.25">
      <c r="A650" t="s">
        <v>238</v>
      </c>
      <c r="B650">
        <v>137600</v>
      </c>
      <c r="C650" s="3">
        <v>6</v>
      </c>
      <c r="D650" s="6">
        <v>44501</v>
      </c>
      <c r="E650" t="str">
        <f>"202111016742"</f>
        <v>202111016742</v>
      </c>
      <c r="F650" t="str">
        <f>"Miscella"</f>
        <v>Miscella</v>
      </c>
      <c r="G650" s="3">
        <v>6</v>
      </c>
      <c r="H650" t="str">
        <f>"RICKY HARLAN MOHLER"</f>
        <v>RICKY HARLAN MOHLER</v>
      </c>
    </row>
    <row r="651" spans="1:8" x14ac:dyDescent="0.25">
      <c r="A651" t="s">
        <v>239</v>
      </c>
      <c r="B651">
        <v>137601</v>
      </c>
      <c r="C651" s="3">
        <v>6</v>
      </c>
      <c r="D651" s="6">
        <v>44501</v>
      </c>
      <c r="E651" t="str">
        <f>"202111016743"</f>
        <v>202111016743</v>
      </c>
      <c r="F651" t="str">
        <f>"Miscellan"</f>
        <v>Miscellan</v>
      </c>
      <c r="G651" s="3">
        <v>6</v>
      </c>
      <c r="H651" t="str">
        <f>"JOSHUA THOMAS ZIKE"</f>
        <v>JOSHUA THOMAS ZIKE</v>
      </c>
    </row>
    <row r="652" spans="1:8" x14ac:dyDescent="0.25">
      <c r="A652" t="s">
        <v>240</v>
      </c>
      <c r="B652">
        <v>137602</v>
      </c>
      <c r="C652" s="3">
        <v>126</v>
      </c>
      <c r="D652" s="6">
        <v>44501</v>
      </c>
      <c r="E652" t="str">
        <f>"202111016744"</f>
        <v>202111016744</v>
      </c>
      <c r="F652" t="str">
        <f>"Miscell"</f>
        <v>Miscell</v>
      </c>
      <c r="G652" s="3">
        <v>126</v>
      </c>
      <c r="H652" t="str">
        <f>"KRISTINE EVON PAYSSE"</f>
        <v>KRISTINE EVON PAYSSE</v>
      </c>
    </row>
    <row r="653" spans="1:8" x14ac:dyDescent="0.25">
      <c r="A653" t="s">
        <v>241</v>
      </c>
      <c r="B653">
        <v>137603</v>
      </c>
      <c r="C653" s="3">
        <v>6</v>
      </c>
      <c r="D653" s="6">
        <v>44501</v>
      </c>
      <c r="E653" t="str">
        <f>"202111016745"</f>
        <v>202111016745</v>
      </c>
      <c r="F653" t="str">
        <f>""</f>
        <v/>
      </c>
      <c r="G653" s="3">
        <v>6</v>
      </c>
      <c r="H653" t="str">
        <f>"AMNY JAQUELINE ALVARADO COLIND"</f>
        <v>AMNY JAQUELINE ALVARADO COLIND</v>
      </c>
    </row>
    <row r="654" spans="1:8" x14ac:dyDescent="0.25">
      <c r="A654" t="s">
        <v>242</v>
      </c>
      <c r="B654">
        <v>137604</v>
      </c>
      <c r="C654" s="3">
        <v>6</v>
      </c>
      <c r="D654" s="6">
        <v>44501</v>
      </c>
      <c r="E654" t="str">
        <f>"202111016746"</f>
        <v>202111016746</v>
      </c>
      <c r="F654" t="str">
        <f>"Miscellan"</f>
        <v>Miscellan</v>
      </c>
      <c r="G654" s="3">
        <v>6</v>
      </c>
      <c r="H654" t="str">
        <f>"SEAN LESLIE OGRADY"</f>
        <v>SEAN LESLIE OGRADY</v>
      </c>
    </row>
    <row r="655" spans="1:8" x14ac:dyDescent="0.25">
      <c r="A655" t="s">
        <v>243</v>
      </c>
      <c r="B655">
        <v>137605</v>
      </c>
      <c r="C655" s="3">
        <v>6</v>
      </c>
      <c r="D655" s="6">
        <v>44501</v>
      </c>
      <c r="E655" t="str">
        <f>"202111016747"</f>
        <v>202111016747</v>
      </c>
      <c r="F655" t="str">
        <f>"Miscella"</f>
        <v>Miscella</v>
      </c>
      <c r="G655" s="3">
        <v>6</v>
      </c>
      <c r="H655" t="str">
        <f>"ANDREA SHARP CROUCH"</f>
        <v>ANDREA SHARP CROUCH</v>
      </c>
    </row>
    <row r="656" spans="1:8" x14ac:dyDescent="0.25">
      <c r="A656" t="s">
        <v>244</v>
      </c>
      <c r="B656">
        <v>137606</v>
      </c>
      <c r="C656" s="3">
        <v>6</v>
      </c>
      <c r="D656" s="6">
        <v>44501</v>
      </c>
      <c r="E656" t="str">
        <f>"202111016748"</f>
        <v>202111016748</v>
      </c>
      <c r="F656" t="str">
        <f>"Miscellan"</f>
        <v>Miscellan</v>
      </c>
      <c r="G656" s="3">
        <v>6</v>
      </c>
      <c r="H656" t="str">
        <f>"TIMOTHY HAROLD RYE"</f>
        <v>TIMOTHY HAROLD RYE</v>
      </c>
    </row>
    <row r="657" spans="1:8" x14ac:dyDescent="0.25">
      <c r="A657" t="s">
        <v>245</v>
      </c>
      <c r="B657">
        <v>137607</v>
      </c>
      <c r="C657" s="3">
        <v>6</v>
      </c>
      <c r="D657" s="6">
        <v>44501</v>
      </c>
      <c r="E657" t="str">
        <f>"202111016749"</f>
        <v>202111016749</v>
      </c>
      <c r="F657" t="str">
        <f>"Misc"</f>
        <v>Misc</v>
      </c>
      <c r="G657" s="3">
        <v>6</v>
      </c>
      <c r="H657" t="str">
        <f>"TOMETRA DIONNE HARGROVE"</f>
        <v>TOMETRA DIONNE HARGROVE</v>
      </c>
    </row>
    <row r="658" spans="1:8" x14ac:dyDescent="0.25">
      <c r="A658" t="s">
        <v>246</v>
      </c>
      <c r="B658">
        <v>137608</v>
      </c>
      <c r="C658" s="3">
        <v>6</v>
      </c>
      <c r="D658" s="6">
        <v>44501</v>
      </c>
      <c r="E658" t="str">
        <f>"202111016750"</f>
        <v>202111016750</v>
      </c>
      <c r="F658" t="str">
        <f>"Miscell"</f>
        <v>Miscell</v>
      </c>
      <c r="G658" s="3">
        <v>6</v>
      </c>
      <c r="H658" t="str">
        <f>"MARK STEVEN AARSVOLD"</f>
        <v>MARK STEVEN AARSVOLD</v>
      </c>
    </row>
    <row r="659" spans="1:8" x14ac:dyDescent="0.25">
      <c r="A659" t="s">
        <v>247</v>
      </c>
      <c r="B659">
        <v>137609</v>
      </c>
      <c r="C659" s="3">
        <v>126</v>
      </c>
      <c r="D659" s="6">
        <v>44501</v>
      </c>
      <c r="E659" t="str">
        <f>"202111016751"</f>
        <v>202111016751</v>
      </c>
      <c r="F659" t="str">
        <f>"Miscell"</f>
        <v>Miscell</v>
      </c>
      <c r="G659" s="3">
        <v>126</v>
      </c>
      <c r="H659" t="str">
        <f>"GINA DOOLITTLE OHARA"</f>
        <v>GINA DOOLITTLE OHARA</v>
      </c>
    </row>
    <row r="660" spans="1:8" x14ac:dyDescent="0.25">
      <c r="A660" t="s">
        <v>248</v>
      </c>
      <c r="B660">
        <v>137610</v>
      </c>
      <c r="C660" s="3">
        <v>6</v>
      </c>
      <c r="D660" s="6">
        <v>44501</v>
      </c>
      <c r="E660" t="str">
        <f>"202111016752"</f>
        <v>202111016752</v>
      </c>
      <c r="F660" t="str">
        <f>"Mis"</f>
        <v>Mis</v>
      </c>
      <c r="G660" s="3">
        <v>6</v>
      </c>
      <c r="H660" t="str">
        <f>"RAINEE ELIZABETH TREVINO"</f>
        <v>RAINEE ELIZABETH TREVINO</v>
      </c>
    </row>
    <row r="661" spans="1:8" x14ac:dyDescent="0.25">
      <c r="A661" t="s">
        <v>249</v>
      </c>
      <c r="B661">
        <v>137611</v>
      </c>
      <c r="C661" s="3">
        <v>6</v>
      </c>
      <c r="D661" s="6">
        <v>44501</v>
      </c>
      <c r="E661" t="str">
        <f>"202111016753"</f>
        <v>202111016753</v>
      </c>
      <c r="F661" t="str">
        <f>"Miscell"</f>
        <v>Miscell</v>
      </c>
      <c r="G661" s="3">
        <v>6</v>
      </c>
      <c r="H661" t="str">
        <f>"ANABEL JAIMES-WENCES"</f>
        <v>ANABEL JAIMES-WENCES</v>
      </c>
    </row>
    <row r="662" spans="1:8" x14ac:dyDescent="0.25">
      <c r="A662" t="s">
        <v>250</v>
      </c>
      <c r="B662">
        <v>137612</v>
      </c>
      <c r="C662" s="3">
        <v>126</v>
      </c>
      <c r="D662" s="6">
        <v>44501</v>
      </c>
      <c r="E662" t="str">
        <f>"202111016754"</f>
        <v>202111016754</v>
      </c>
      <c r="F662" t="str">
        <f>"Miscellaneous"</f>
        <v>Miscellaneous</v>
      </c>
      <c r="G662" s="3">
        <v>126</v>
      </c>
      <c r="H662" t="str">
        <f>"GUY ALAN MYERS"</f>
        <v>GUY ALAN MYERS</v>
      </c>
    </row>
    <row r="663" spans="1:8" x14ac:dyDescent="0.25">
      <c r="A663" t="s">
        <v>251</v>
      </c>
      <c r="B663">
        <v>137613</v>
      </c>
      <c r="C663" s="3">
        <v>6</v>
      </c>
      <c r="D663" s="6">
        <v>44501</v>
      </c>
      <c r="E663" t="str">
        <f>"202111016755"</f>
        <v>202111016755</v>
      </c>
      <c r="F663" t="str">
        <f>"Misc"</f>
        <v>Misc</v>
      </c>
      <c r="G663" s="3">
        <v>6</v>
      </c>
      <c r="H663" t="str">
        <f>"ANTONIO TOVAR-RODRIGUEZ"</f>
        <v>ANTONIO TOVAR-RODRIGUEZ</v>
      </c>
    </row>
    <row r="664" spans="1:8" x14ac:dyDescent="0.25">
      <c r="A664" t="s">
        <v>252</v>
      </c>
      <c r="B664">
        <v>137614</v>
      </c>
      <c r="C664" s="3">
        <v>6</v>
      </c>
      <c r="D664" s="6">
        <v>44501</v>
      </c>
      <c r="E664" t="str">
        <f>"202111016756"</f>
        <v>202111016756</v>
      </c>
      <c r="F664" t="str">
        <f>"Miscellane"</f>
        <v>Miscellane</v>
      </c>
      <c r="G664" s="3">
        <v>6</v>
      </c>
      <c r="H664" t="str">
        <f>"RONALDO HERNANDEZ"</f>
        <v>RONALDO HERNANDEZ</v>
      </c>
    </row>
    <row r="665" spans="1:8" x14ac:dyDescent="0.25">
      <c r="A665" t="s">
        <v>253</v>
      </c>
      <c r="B665">
        <v>137615</v>
      </c>
      <c r="C665" s="3">
        <v>6</v>
      </c>
      <c r="D665" s="6">
        <v>44501</v>
      </c>
      <c r="E665" t="str">
        <f>"202111016757"</f>
        <v>202111016757</v>
      </c>
      <c r="F665" t="str">
        <f>"Miscellan"</f>
        <v>Miscellan</v>
      </c>
      <c r="G665" s="3">
        <v>6</v>
      </c>
      <c r="H665" t="str">
        <f>"DYLAN PAUL JENKINS"</f>
        <v>DYLAN PAUL JENKINS</v>
      </c>
    </row>
    <row r="666" spans="1:8" x14ac:dyDescent="0.25">
      <c r="A666" t="s">
        <v>254</v>
      </c>
      <c r="B666">
        <v>137616</v>
      </c>
      <c r="C666" s="3">
        <v>6</v>
      </c>
      <c r="D666" s="6">
        <v>44501</v>
      </c>
      <c r="E666" t="str">
        <f>"202111016758"</f>
        <v>202111016758</v>
      </c>
      <c r="F666" t="str">
        <f>"Miscell"</f>
        <v>Miscell</v>
      </c>
      <c r="G666" s="3">
        <v>6</v>
      </c>
      <c r="H666" t="str">
        <f>"BOBBY JAY WILLIAMSON"</f>
        <v>BOBBY JAY WILLIAMSON</v>
      </c>
    </row>
    <row r="667" spans="1:8" x14ac:dyDescent="0.25">
      <c r="A667" t="s">
        <v>255</v>
      </c>
      <c r="B667">
        <v>137617</v>
      </c>
      <c r="C667" s="3">
        <v>6</v>
      </c>
      <c r="D667" s="6">
        <v>44501</v>
      </c>
      <c r="E667" t="str">
        <f>"202111016759"</f>
        <v>202111016759</v>
      </c>
      <c r="F667" t="str">
        <f>"Miscell"</f>
        <v>Miscell</v>
      </c>
      <c r="G667" s="3">
        <v>6</v>
      </c>
      <c r="H667" t="str">
        <f>"JONATHAN PAUL STINER"</f>
        <v>JONATHAN PAUL STINER</v>
      </c>
    </row>
    <row r="668" spans="1:8" x14ac:dyDescent="0.25">
      <c r="A668" t="s">
        <v>256</v>
      </c>
      <c r="B668">
        <v>137618</v>
      </c>
      <c r="C668" s="3">
        <v>6</v>
      </c>
      <c r="D668" s="6">
        <v>44501</v>
      </c>
      <c r="E668" t="str">
        <f>"202111016760"</f>
        <v>202111016760</v>
      </c>
      <c r="F668" t="str">
        <f>"Miscellaneo"</f>
        <v>Miscellaneo</v>
      </c>
      <c r="G668" s="3">
        <v>6</v>
      </c>
      <c r="H668" t="str">
        <f>"JOHN TYLER GARZA"</f>
        <v>JOHN TYLER GARZA</v>
      </c>
    </row>
    <row r="669" spans="1:8" x14ac:dyDescent="0.25">
      <c r="A669" t="s">
        <v>257</v>
      </c>
      <c r="B669">
        <v>137619</v>
      </c>
      <c r="C669" s="3">
        <v>6</v>
      </c>
      <c r="D669" s="6">
        <v>44501</v>
      </c>
      <c r="E669" t="str">
        <f>"202111016761"</f>
        <v>202111016761</v>
      </c>
      <c r="F669" t="str">
        <f>"Miscella"</f>
        <v>Miscella</v>
      </c>
      <c r="G669" s="3">
        <v>6</v>
      </c>
      <c r="H669" t="str">
        <f>"TERESA GRACE WRIGHT"</f>
        <v>TERESA GRACE WRIGHT</v>
      </c>
    </row>
    <row r="670" spans="1:8" x14ac:dyDescent="0.25">
      <c r="A670" t="s">
        <v>258</v>
      </c>
      <c r="B670">
        <v>137620</v>
      </c>
      <c r="C670" s="3">
        <v>126</v>
      </c>
      <c r="D670" s="6">
        <v>44501</v>
      </c>
      <c r="E670" t="str">
        <f>"202111016762"</f>
        <v>202111016762</v>
      </c>
      <c r="F670" t="str">
        <f>"Miscel"</f>
        <v>Miscel</v>
      </c>
      <c r="G670" s="3">
        <v>126</v>
      </c>
      <c r="H670" t="str">
        <f>"DANIEL ALLEN FOTOVICH"</f>
        <v>DANIEL ALLEN FOTOVICH</v>
      </c>
    </row>
    <row r="671" spans="1:8" x14ac:dyDescent="0.25">
      <c r="A671" t="s">
        <v>259</v>
      </c>
      <c r="B671">
        <v>137621</v>
      </c>
      <c r="C671" s="3">
        <v>6</v>
      </c>
      <c r="D671" s="6">
        <v>44501</v>
      </c>
      <c r="E671" t="str">
        <f>"202111016763"</f>
        <v>202111016763</v>
      </c>
      <c r="F671" t="str">
        <f>"Miscell"</f>
        <v>Miscell</v>
      </c>
      <c r="G671" s="3">
        <v>6</v>
      </c>
      <c r="H671" t="str">
        <f>"LOUIS ACOSTA BOTELLO"</f>
        <v>LOUIS ACOSTA BOTELLO</v>
      </c>
    </row>
    <row r="672" spans="1:8" x14ac:dyDescent="0.25">
      <c r="A672" t="s">
        <v>260</v>
      </c>
      <c r="B672">
        <v>137622</v>
      </c>
      <c r="C672" s="3">
        <v>6</v>
      </c>
      <c r="D672" s="6">
        <v>44501</v>
      </c>
      <c r="E672" t="str">
        <f>"202111016764"</f>
        <v>202111016764</v>
      </c>
      <c r="F672" t="str">
        <f>"Miscellaneo"</f>
        <v>Miscellaneo</v>
      </c>
      <c r="G672" s="3">
        <v>6</v>
      </c>
      <c r="H672" t="str">
        <f>"RANDY JAMES CASE"</f>
        <v>RANDY JAMES CASE</v>
      </c>
    </row>
    <row r="673" spans="1:8" x14ac:dyDescent="0.25">
      <c r="A673" t="s">
        <v>261</v>
      </c>
      <c r="B673">
        <v>137623</v>
      </c>
      <c r="C673" s="3">
        <v>6</v>
      </c>
      <c r="D673" s="6">
        <v>44501</v>
      </c>
      <c r="E673" t="str">
        <f>"202111016765"</f>
        <v>202111016765</v>
      </c>
      <c r="F673" t="str">
        <f>"Miscellaneou"</f>
        <v>Miscellaneou</v>
      </c>
      <c r="G673" s="3">
        <v>6</v>
      </c>
      <c r="H673" t="str">
        <f>"BRIAN LEE WELLS"</f>
        <v>BRIAN LEE WELLS</v>
      </c>
    </row>
    <row r="674" spans="1:8" x14ac:dyDescent="0.25">
      <c r="A674" t="s">
        <v>262</v>
      </c>
      <c r="B674">
        <v>137624</v>
      </c>
      <c r="C674" s="3">
        <v>6</v>
      </c>
      <c r="D674" s="6">
        <v>44501</v>
      </c>
      <c r="E674" t="str">
        <f>"202111016766"</f>
        <v>202111016766</v>
      </c>
      <c r="F674" t="str">
        <f>"Miscell"</f>
        <v>Miscell</v>
      </c>
      <c r="G674" s="3">
        <v>6</v>
      </c>
      <c r="H674" t="str">
        <f>"KASEY NICOLE TROTTER"</f>
        <v>KASEY NICOLE TROTTER</v>
      </c>
    </row>
    <row r="675" spans="1:8" x14ac:dyDescent="0.25">
      <c r="A675" t="s">
        <v>263</v>
      </c>
      <c r="B675">
        <v>137625</v>
      </c>
      <c r="C675" s="3">
        <v>126</v>
      </c>
      <c r="D675" s="6">
        <v>44501</v>
      </c>
      <c r="E675" t="str">
        <f>"202111016767"</f>
        <v>202111016767</v>
      </c>
      <c r="F675" t="str">
        <f>"Miscellane"</f>
        <v>Miscellane</v>
      </c>
      <c r="G675" s="3">
        <v>126</v>
      </c>
      <c r="H675" t="str">
        <f>"COLE WILLIAM BACA"</f>
        <v>COLE WILLIAM BACA</v>
      </c>
    </row>
    <row r="676" spans="1:8" x14ac:dyDescent="0.25">
      <c r="A676" t="s">
        <v>264</v>
      </c>
      <c r="B676">
        <v>137626</v>
      </c>
      <c r="C676" s="3">
        <v>6</v>
      </c>
      <c r="D676" s="6">
        <v>44501</v>
      </c>
      <c r="E676" t="str">
        <f>"202111016768"</f>
        <v>202111016768</v>
      </c>
      <c r="F676" t="str">
        <f>"Miscellaneous"</f>
        <v>Miscellaneous</v>
      </c>
      <c r="G676" s="3">
        <v>6</v>
      </c>
      <c r="H676" t="str">
        <f>"REID SAVAIA"</f>
        <v>REID SAVAIA</v>
      </c>
    </row>
    <row r="677" spans="1:8" x14ac:dyDescent="0.25">
      <c r="A677" t="s">
        <v>265</v>
      </c>
      <c r="B677">
        <v>137627</v>
      </c>
      <c r="C677" s="3">
        <v>6</v>
      </c>
      <c r="D677" s="6">
        <v>44501</v>
      </c>
      <c r="E677" t="str">
        <f>"202111016769"</f>
        <v>202111016769</v>
      </c>
      <c r="F677" t="str">
        <f>"Misce"</f>
        <v>Misce</v>
      </c>
      <c r="G677" s="3">
        <v>6</v>
      </c>
      <c r="H677" t="str">
        <f>"NATALY CYNTHIA SANCHEZ"</f>
        <v>NATALY CYNTHIA SANCHEZ</v>
      </c>
    </row>
    <row r="678" spans="1:8" x14ac:dyDescent="0.25">
      <c r="A678" t="s">
        <v>266</v>
      </c>
      <c r="B678">
        <v>137628</v>
      </c>
      <c r="C678" s="3">
        <v>6</v>
      </c>
      <c r="D678" s="6">
        <v>44501</v>
      </c>
      <c r="E678" t="str">
        <f>"202111016770"</f>
        <v>202111016770</v>
      </c>
      <c r="F678" t="str">
        <f>"Miscellaneo"</f>
        <v>Miscellaneo</v>
      </c>
      <c r="G678" s="3">
        <v>6</v>
      </c>
      <c r="H678" t="str">
        <f>"MARK LOMBARDO JR"</f>
        <v>MARK LOMBARDO JR</v>
      </c>
    </row>
    <row r="679" spans="1:8" x14ac:dyDescent="0.25">
      <c r="A679" t="s">
        <v>267</v>
      </c>
      <c r="B679">
        <v>137629</v>
      </c>
      <c r="C679" s="3">
        <v>6</v>
      </c>
      <c r="D679" s="6">
        <v>44501</v>
      </c>
      <c r="E679" t="str">
        <f>"202111016771"</f>
        <v>202111016771</v>
      </c>
      <c r="F679" t="str">
        <f>"Misce"</f>
        <v>Misce</v>
      </c>
      <c r="G679" s="3">
        <v>6</v>
      </c>
      <c r="H679" t="str">
        <f>"ASHLEY MONIQUE HESSLER"</f>
        <v>ASHLEY MONIQUE HESSLER</v>
      </c>
    </row>
    <row r="680" spans="1:8" x14ac:dyDescent="0.25">
      <c r="A680" t="s">
        <v>268</v>
      </c>
      <c r="B680">
        <v>137630</v>
      </c>
      <c r="C680" s="3">
        <v>6</v>
      </c>
      <c r="D680" s="6">
        <v>44501</v>
      </c>
      <c r="E680" t="str">
        <f>"202111016772"</f>
        <v>202111016772</v>
      </c>
      <c r="F680" t="str">
        <f>"Mi"</f>
        <v>Mi</v>
      </c>
      <c r="G680" s="3">
        <v>6</v>
      </c>
      <c r="H680" t="str">
        <f>"ELIZABETH VILLEGAS PADRON"</f>
        <v>ELIZABETH VILLEGAS PADRON</v>
      </c>
    </row>
    <row r="681" spans="1:8" x14ac:dyDescent="0.25">
      <c r="A681" t="s">
        <v>269</v>
      </c>
      <c r="B681">
        <v>137631</v>
      </c>
      <c r="C681" s="3">
        <v>6</v>
      </c>
      <c r="D681" s="6">
        <v>44501</v>
      </c>
      <c r="E681" t="str">
        <f>"202111016773"</f>
        <v>202111016773</v>
      </c>
      <c r="F681" t="str">
        <f>"Miscellaneous"</f>
        <v>Miscellaneous</v>
      </c>
      <c r="G681" s="3">
        <v>6</v>
      </c>
      <c r="H681" t="str">
        <f>"MARY HINDE"</f>
        <v>MARY HINDE</v>
      </c>
    </row>
    <row r="682" spans="1:8" x14ac:dyDescent="0.25">
      <c r="A682" t="s">
        <v>270</v>
      </c>
      <c r="B682">
        <v>137632</v>
      </c>
      <c r="C682" s="3">
        <v>6</v>
      </c>
      <c r="D682" s="6">
        <v>44501</v>
      </c>
      <c r="E682" t="str">
        <f>"202111016774"</f>
        <v>202111016774</v>
      </c>
      <c r="F682" t="str">
        <f>"Miscel"</f>
        <v>Miscel</v>
      </c>
      <c r="G682" s="3">
        <v>6</v>
      </c>
      <c r="H682" t="str">
        <f>"LEWIS AUKER ZIMMERMAN"</f>
        <v>LEWIS AUKER ZIMMERMAN</v>
      </c>
    </row>
    <row r="683" spans="1:8" x14ac:dyDescent="0.25">
      <c r="A683" t="s">
        <v>271</v>
      </c>
      <c r="B683">
        <v>137633</v>
      </c>
      <c r="C683" s="3">
        <v>6</v>
      </c>
      <c r="D683" s="6">
        <v>44501</v>
      </c>
      <c r="E683" t="str">
        <f>"202111016775"</f>
        <v>202111016775</v>
      </c>
      <c r="F683" t="str">
        <f>"Mi"</f>
        <v>Mi</v>
      </c>
      <c r="G683" s="3">
        <v>6</v>
      </c>
      <c r="H683" t="str">
        <f>"CHRISTINE COFFEY BISTLINE"</f>
        <v>CHRISTINE COFFEY BISTLINE</v>
      </c>
    </row>
    <row r="684" spans="1:8" x14ac:dyDescent="0.25">
      <c r="A684" t="s">
        <v>272</v>
      </c>
      <c r="B684">
        <v>137634</v>
      </c>
      <c r="C684" s="3">
        <v>6</v>
      </c>
      <c r="D684" s="6">
        <v>44501</v>
      </c>
      <c r="E684" t="str">
        <f>"202111016776"</f>
        <v>202111016776</v>
      </c>
      <c r="F684" t="str">
        <f>"Misce"</f>
        <v>Misce</v>
      </c>
      <c r="G684" s="3">
        <v>6</v>
      </c>
      <c r="H684" t="str">
        <f>"CLAIRE SCHREIBER BOYER"</f>
        <v>CLAIRE SCHREIBER BOYER</v>
      </c>
    </row>
    <row r="685" spans="1:8" x14ac:dyDescent="0.25">
      <c r="A685" t="s">
        <v>273</v>
      </c>
      <c r="B685">
        <v>137635</v>
      </c>
      <c r="C685" s="3">
        <v>6</v>
      </c>
      <c r="D685" s="6">
        <v>44501</v>
      </c>
      <c r="E685" t="str">
        <f>"202111016777"</f>
        <v>202111016777</v>
      </c>
      <c r="F685" t="str">
        <f>"Miscella"</f>
        <v>Miscella</v>
      </c>
      <c r="G685" s="3">
        <v>6</v>
      </c>
      <c r="H685" t="str">
        <f>"THOMAS RAY THRASHER"</f>
        <v>THOMAS RAY THRASHER</v>
      </c>
    </row>
    <row r="686" spans="1:8" x14ac:dyDescent="0.25">
      <c r="A686" t="s">
        <v>274</v>
      </c>
      <c r="B686">
        <v>137636</v>
      </c>
      <c r="C686" s="3">
        <v>6</v>
      </c>
      <c r="D686" s="6">
        <v>44501</v>
      </c>
      <c r="E686" t="str">
        <f>"202111016778"</f>
        <v>202111016778</v>
      </c>
      <c r="F686" t="str">
        <f>"Miscellaneou"</f>
        <v>Miscellaneou</v>
      </c>
      <c r="G686" s="3">
        <v>6</v>
      </c>
      <c r="H686" t="str">
        <f>"ALBERTO URQUIZA"</f>
        <v>ALBERTO URQUIZA</v>
      </c>
    </row>
    <row r="687" spans="1:8" x14ac:dyDescent="0.25">
      <c r="A687" t="s">
        <v>275</v>
      </c>
      <c r="B687">
        <v>137637</v>
      </c>
      <c r="C687" s="3">
        <v>6</v>
      </c>
      <c r="D687" s="6">
        <v>44501</v>
      </c>
      <c r="E687" t="str">
        <f>"202111016779"</f>
        <v>202111016779</v>
      </c>
      <c r="F687" t="str">
        <f>"Miscellaneou"</f>
        <v>Miscellaneou</v>
      </c>
      <c r="G687" s="3">
        <v>6</v>
      </c>
      <c r="H687" t="str">
        <f>"KELLIE RAYE COX"</f>
        <v>KELLIE RAYE COX</v>
      </c>
    </row>
    <row r="688" spans="1:8" x14ac:dyDescent="0.25">
      <c r="A688" t="s">
        <v>276</v>
      </c>
      <c r="B688">
        <v>137638</v>
      </c>
      <c r="C688" s="3">
        <v>6</v>
      </c>
      <c r="D688" s="6">
        <v>44501</v>
      </c>
      <c r="E688" t="str">
        <f>"202111016780"</f>
        <v>202111016780</v>
      </c>
      <c r="F688" t="str">
        <f>"M"</f>
        <v>M</v>
      </c>
      <c r="G688" s="3">
        <v>6</v>
      </c>
      <c r="H688" t="str">
        <f>"RASHELLE KARENA MADALINSKI"</f>
        <v>RASHELLE KARENA MADALINSKI</v>
      </c>
    </row>
    <row r="689" spans="1:8" x14ac:dyDescent="0.25">
      <c r="A689" t="s">
        <v>277</v>
      </c>
      <c r="B689">
        <v>137639</v>
      </c>
      <c r="C689" s="3">
        <v>6</v>
      </c>
      <c r="D689" s="6">
        <v>44501</v>
      </c>
      <c r="E689" t="str">
        <f>"202111016781"</f>
        <v>202111016781</v>
      </c>
      <c r="F689" t="str">
        <f>"M"</f>
        <v>M</v>
      </c>
      <c r="G689" s="3">
        <v>6</v>
      </c>
      <c r="H689" t="str">
        <f>"JESUS DELA SANCHA ORTIZ JR"</f>
        <v>JESUS DELA SANCHA ORTIZ JR</v>
      </c>
    </row>
    <row r="690" spans="1:8" x14ac:dyDescent="0.25">
      <c r="A690" t="s">
        <v>278</v>
      </c>
      <c r="B690">
        <v>137640</v>
      </c>
      <c r="C690" s="3">
        <v>6</v>
      </c>
      <c r="D690" s="6">
        <v>44501</v>
      </c>
      <c r="E690" t="str">
        <f>"202111016782"</f>
        <v>202111016782</v>
      </c>
      <c r="F690" t="str">
        <f>"Miscella"</f>
        <v>Miscella</v>
      </c>
      <c r="G690" s="3">
        <v>6</v>
      </c>
      <c r="H690" t="str">
        <f>"ROBERT DALE PARSONS"</f>
        <v>ROBERT DALE PARSONS</v>
      </c>
    </row>
    <row r="691" spans="1:8" x14ac:dyDescent="0.25">
      <c r="A691" t="s">
        <v>279</v>
      </c>
      <c r="B691">
        <v>137641</v>
      </c>
      <c r="C691" s="3">
        <v>6</v>
      </c>
      <c r="D691" s="6">
        <v>44501</v>
      </c>
      <c r="E691" t="str">
        <f>"202111016783"</f>
        <v>202111016783</v>
      </c>
      <c r="F691" t="str">
        <f>"Miscellan"</f>
        <v>Miscellan</v>
      </c>
      <c r="G691" s="3">
        <v>6</v>
      </c>
      <c r="H691" t="str">
        <f>"TAMMY SUE JAWORSKI"</f>
        <v>TAMMY SUE JAWORSKI</v>
      </c>
    </row>
    <row r="692" spans="1:8" x14ac:dyDescent="0.25">
      <c r="A692" t="s">
        <v>280</v>
      </c>
      <c r="B692">
        <v>137642</v>
      </c>
      <c r="C692" s="3">
        <v>6</v>
      </c>
      <c r="D692" s="6">
        <v>44501</v>
      </c>
      <c r="E692" t="str">
        <f>"202111016784"</f>
        <v>202111016784</v>
      </c>
      <c r="F692" t="str">
        <f>"Miscellan"</f>
        <v>Miscellan</v>
      </c>
      <c r="G692" s="3">
        <v>6</v>
      </c>
      <c r="H692" t="str">
        <f>"PAUL EUGENE MEYERS"</f>
        <v>PAUL EUGENE MEYERS</v>
      </c>
    </row>
    <row r="693" spans="1:8" x14ac:dyDescent="0.25">
      <c r="A693" t="s">
        <v>281</v>
      </c>
      <c r="B693">
        <v>137643</v>
      </c>
      <c r="C693" s="3">
        <v>6</v>
      </c>
      <c r="D693" s="6">
        <v>44501</v>
      </c>
      <c r="E693" t="str">
        <f>"202111016785"</f>
        <v>202111016785</v>
      </c>
      <c r="F693" t="str">
        <f>"Miscellaneo"</f>
        <v>Miscellaneo</v>
      </c>
      <c r="G693" s="3">
        <v>6</v>
      </c>
      <c r="H693" t="str">
        <f>"CAROL ANN MILLER"</f>
        <v>CAROL ANN MILLER</v>
      </c>
    </row>
    <row r="694" spans="1:8" x14ac:dyDescent="0.25">
      <c r="A694" t="s">
        <v>282</v>
      </c>
      <c r="B694">
        <v>137644</v>
      </c>
      <c r="C694" s="3">
        <v>126</v>
      </c>
      <c r="D694" s="6">
        <v>44501</v>
      </c>
      <c r="E694" t="str">
        <f>"202111016786"</f>
        <v>202111016786</v>
      </c>
      <c r="F694" t="str">
        <f>"Miscella"</f>
        <v>Miscella</v>
      </c>
      <c r="G694" s="3">
        <v>126</v>
      </c>
      <c r="H694" t="str">
        <f>"ANGELA SLATER LEWIS"</f>
        <v>ANGELA SLATER LEWIS</v>
      </c>
    </row>
    <row r="695" spans="1:8" x14ac:dyDescent="0.25">
      <c r="A695" t="s">
        <v>283</v>
      </c>
      <c r="B695">
        <v>137645</v>
      </c>
      <c r="C695" s="3">
        <v>6</v>
      </c>
      <c r="D695" s="6">
        <v>44501</v>
      </c>
      <c r="E695" t="str">
        <f>"202111016787"</f>
        <v>202111016787</v>
      </c>
      <c r="F695" t="str">
        <f>"Miscel"</f>
        <v>Miscel</v>
      </c>
      <c r="G695" s="3">
        <v>6</v>
      </c>
      <c r="H695" t="str">
        <f>"ELVIA BORJA PLANCARTE"</f>
        <v>ELVIA BORJA PLANCARTE</v>
      </c>
    </row>
    <row r="696" spans="1:8" x14ac:dyDescent="0.25">
      <c r="A696" t="s">
        <v>284</v>
      </c>
      <c r="B696">
        <v>137646</v>
      </c>
      <c r="C696" s="3">
        <v>6</v>
      </c>
      <c r="D696" s="6">
        <v>44501</v>
      </c>
      <c r="E696" t="str">
        <f>"202111016788"</f>
        <v>202111016788</v>
      </c>
      <c r="F696" t="str">
        <f>"Miscellan"</f>
        <v>Miscellan</v>
      </c>
      <c r="G696" s="3">
        <v>6</v>
      </c>
      <c r="H696" t="str">
        <f>"CLAY WILLIAM BYROM"</f>
        <v>CLAY WILLIAM BYROM</v>
      </c>
    </row>
    <row r="697" spans="1:8" x14ac:dyDescent="0.25">
      <c r="A697" t="s">
        <v>285</v>
      </c>
      <c r="B697">
        <v>137647</v>
      </c>
      <c r="C697" s="3">
        <v>6</v>
      </c>
      <c r="D697" s="6">
        <v>44501</v>
      </c>
      <c r="E697" t="str">
        <f>"202111016789"</f>
        <v>202111016789</v>
      </c>
      <c r="F697" t="str">
        <f>"Miscella"</f>
        <v>Miscella</v>
      </c>
      <c r="G697" s="3">
        <v>6</v>
      </c>
      <c r="H697" t="str">
        <f>"PHILLIP MARVIN COLE"</f>
        <v>PHILLIP MARVIN COLE</v>
      </c>
    </row>
    <row r="698" spans="1:8" x14ac:dyDescent="0.25">
      <c r="A698" t="s">
        <v>286</v>
      </c>
      <c r="B698">
        <v>137648</v>
      </c>
      <c r="C698" s="3">
        <v>6</v>
      </c>
      <c r="D698" s="6">
        <v>44501</v>
      </c>
      <c r="E698" t="str">
        <f>"202111016790"</f>
        <v>202111016790</v>
      </c>
      <c r="F698" t="str">
        <f>"Miscellan"</f>
        <v>Miscellan</v>
      </c>
      <c r="G698" s="3">
        <v>6</v>
      </c>
      <c r="H698" t="str">
        <f>"IRENE FLORES DAMAS"</f>
        <v>IRENE FLORES DAMAS</v>
      </c>
    </row>
    <row r="699" spans="1:8" x14ac:dyDescent="0.25">
      <c r="A699" t="s">
        <v>287</v>
      </c>
      <c r="B699">
        <v>137649</v>
      </c>
      <c r="C699" s="3">
        <v>6</v>
      </c>
      <c r="D699" s="6">
        <v>44501</v>
      </c>
      <c r="E699" t="str">
        <f>"202111016791"</f>
        <v>202111016791</v>
      </c>
      <c r="F699" t="str">
        <f>"Miscell"</f>
        <v>Miscell</v>
      </c>
      <c r="G699" s="3">
        <v>6</v>
      </c>
      <c r="H699" t="str">
        <f>"ELAINE MEREDITH KING"</f>
        <v>ELAINE MEREDITH KING</v>
      </c>
    </row>
    <row r="700" spans="1:8" x14ac:dyDescent="0.25">
      <c r="A700" t="s">
        <v>288</v>
      </c>
      <c r="B700">
        <v>137650</v>
      </c>
      <c r="C700" s="3">
        <v>6</v>
      </c>
      <c r="D700" s="6">
        <v>44501</v>
      </c>
      <c r="E700" t="str">
        <f>"202111016792"</f>
        <v>202111016792</v>
      </c>
      <c r="F700" t="str">
        <f>"Miscellan"</f>
        <v>Miscellan</v>
      </c>
      <c r="G700" s="3">
        <v>6</v>
      </c>
      <c r="H700" t="str">
        <f>"JULIE EILEEN MOORE"</f>
        <v>JULIE EILEEN MOORE</v>
      </c>
    </row>
    <row r="701" spans="1:8" x14ac:dyDescent="0.25">
      <c r="A701" t="s">
        <v>289</v>
      </c>
      <c r="B701">
        <v>137651</v>
      </c>
      <c r="C701" s="3">
        <v>6</v>
      </c>
      <c r="D701" s="6">
        <v>44501</v>
      </c>
      <c r="E701" t="str">
        <f>"202111016793"</f>
        <v>202111016793</v>
      </c>
      <c r="F701" t="str">
        <f>"Miscellaneo"</f>
        <v>Miscellaneo</v>
      </c>
      <c r="G701" s="3">
        <v>6</v>
      </c>
      <c r="H701" t="str">
        <f>"HEATH LEE GATTIS"</f>
        <v>HEATH LEE GATTIS</v>
      </c>
    </row>
    <row r="702" spans="1:8" x14ac:dyDescent="0.25">
      <c r="A702" t="s">
        <v>290</v>
      </c>
      <c r="B702">
        <v>137652</v>
      </c>
      <c r="C702" s="3">
        <v>6</v>
      </c>
      <c r="D702" s="6">
        <v>44501</v>
      </c>
      <c r="E702" t="str">
        <f>"202111016794"</f>
        <v>202111016794</v>
      </c>
      <c r="F702" t="str">
        <f>"Misc"</f>
        <v>Misc</v>
      </c>
      <c r="G702" s="3">
        <v>6</v>
      </c>
      <c r="H702" t="str">
        <f>"FRANCES SALITROS HUNTER"</f>
        <v>FRANCES SALITROS HUNTER</v>
      </c>
    </row>
    <row r="703" spans="1:8" x14ac:dyDescent="0.25">
      <c r="A703" t="s">
        <v>291</v>
      </c>
      <c r="B703">
        <v>137653</v>
      </c>
      <c r="C703" s="3">
        <v>6</v>
      </c>
      <c r="D703" s="6">
        <v>44501</v>
      </c>
      <c r="E703" t="str">
        <f>"202111016795"</f>
        <v>202111016795</v>
      </c>
      <c r="F703" t="str">
        <f>"Miscellan"</f>
        <v>Miscellan</v>
      </c>
      <c r="G703" s="3">
        <v>6</v>
      </c>
      <c r="H703" t="str">
        <f>"TINA MARIE CASAREZ"</f>
        <v>TINA MARIE CASAREZ</v>
      </c>
    </row>
    <row r="704" spans="1:8" x14ac:dyDescent="0.25">
      <c r="A704" t="s">
        <v>292</v>
      </c>
      <c r="B704">
        <v>137654</v>
      </c>
      <c r="C704" s="3">
        <v>6</v>
      </c>
      <c r="D704" s="6">
        <v>44501</v>
      </c>
      <c r="E704" t="str">
        <f>"202111016796"</f>
        <v>202111016796</v>
      </c>
      <c r="F704" t="str">
        <f>"Miscell"</f>
        <v>Miscell</v>
      </c>
      <c r="G704" s="3">
        <v>6</v>
      </c>
      <c r="H704" t="str">
        <f>"GREGORY CHARLES WEBB"</f>
        <v>GREGORY CHARLES WEBB</v>
      </c>
    </row>
    <row r="705" spans="1:8" x14ac:dyDescent="0.25">
      <c r="A705" t="s">
        <v>293</v>
      </c>
      <c r="B705">
        <v>137655</v>
      </c>
      <c r="C705" s="3">
        <v>6</v>
      </c>
      <c r="D705" s="6">
        <v>44501</v>
      </c>
      <c r="E705" t="str">
        <f>"202111016797"</f>
        <v>202111016797</v>
      </c>
      <c r="F705" t="str">
        <f>"Mis"</f>
        <v>Mis</v>
      </c>
      <c r="G705" s="3">
        <v>6</v>
      </c>
      <c r="H705" t="str">
        <f>"RAYMOND EUGENE GOLDSTEIN"</f>
        <v>RAYMOND EUGENE GOLDSTEIN</v>
      </c>
    </row>
    <row r="706" spans="1:8" x14ac:dyDescent="0.25">
      <c r="A706" t="s">
        <v>294</v>
      </c>
      <c r="B706">
        <v>137656</v>
      </c>
      <c r="C706" s="3">
        <v>6</v>
      </c>
      <c r="D706" s="6">
        <v>44501</v>
      </c>
      <c r="E706" t="str">
        <f>"202111016798"</f>
        <v>202111016798</v>
      </c>
      <c r="F706" t="str">
        <f>"Miscell"</f>
        <v>Miscell</v>
      </c>
      <c r="G706" s="3">
        <v>6</v>
      </c>
      <c r="H706" t="str">
        <f>"TRACY MICHELLE NORTH"</f>
        <v>TRACY MICHELLE NORTH</v>
      </c>
    </row>
    <row r="707" spans="1:8" x14ac:dyDescent="0.25">
      <c r="A707" t="s">
        <v>295</v>
      </c>
      <c r="B707">
        <v>137657</v>
      </c>
      <c r="C707" s="3">
        <v>6</v>
      </c>
      <c r="D707" s="6">
        <v>44501</v>
      </c>
      <c r="E707" t="str">
        <f>"202111016799"</f>
        <v>202111016799</v>
      </c>
      <c r="F707" t="str">
        <f>"Miscel"</f>
        <v>Miscel</v>
      </c>
      <c r="G707" s="3">
        <v>6</v>
      </c>
      <c r="H707" t="str">
        <f>"SANTOS OVIDIO ESCOBAR"</f>
        <v>SANTOS OVIDIO ESCOBAR</v>
      </c>
    </row>
    <row r="708" spans="1:8" x14ac:dyDescent="0.25">
      <c r="A708" t="s">
        <v>296</v>
      </c>
      <c r="B708">
        <v>137658</v>
      </c>
      <c r="C708" s="3">
        <v>6</v>
      </c>
      <c r="D708" s="6">
        <v>44501</v>
      </c>
      <c r="E708" t="str">
        <f>"202111016800"</f>
        <v>202111016800</v>
      </c>
      <c r="F708" t="str">
        <f>"Mis"</f>
        <v>Mis</v>
      </c>
      <c r="G708" s="3">
        <v>6</v>
      </c>
      <c r="H708" t="str">
        <f>"DEBORAH DANETTE SPARKMAN"</f>
        <v>DEBORAH DANETTE SPARKMAN</v>
      </c>
    </row>
    <row r="709" spans="1:8" x14ac:dyDescent="0.25">
      <c r="A709" t="s">
        <v>297</v>
      </c>
      <c r="B709">
        <v>137659</v>
      </c>
      <c r="C709" s="3">
        <v>6</v>
      </c>
      <c r="D709" s="6">
        <v>44501</v>
      </c>
      <c r="E709" t="str">
        <f>"202111016801"</f>
        <v>202111016801</v>
      </c>
      <c r="F709" t="str">
        <f>"Miscellaneou"</f>
        <v>Miscellaneou</v>
      </c>
      <c r="G709" s="3">
        <v>6</v>
      </c>
      <c r="H709" t="str">
        <f>"ZANE LEE ELLZEY"</f>
        <v>ZANE LEE ELLZEY</v>
      </c>
    </row>
    <row r="710" spans="1:8" x14ac:dyDescent="0.25">
      <c r="A710" t="s">
        <v>298</v>
      </c>
      <c r="B710">
        <v>137660</v>
      </c>
      <c r="C710" s="3">
        <v>6</v>
      </c>
      <c r="D710" s="6">
        <v>44501</v>
      </c>
      <c r="E710" t="str">
        <f>"202111016802"</f>
        <v>202111016802</v>
      </c>
      <c r="F710" t="str">
        <f>"Misce"</f>
        <v>Misce</v>
      </c>
      <c r="G710" s="3">
        <v>6</v>
      </c>
      <c r="H710" t="str">
        <f>"GEORGE SAMUEL CRENSHAW"</f>
        <v>GEORGE SAMUEL CRENSHAW</v>
      </c>
    </row>
    <row r="711" spans="1:8" x14ac:dyDescent="0.25">
      <c r="A711" t="s">
        <v>299</v>
      </c>
      <c r="B711">
        <v>137661</v>
      </c>
      <c r="C711" s="3">
        <v>6</v>
      </c>
      <c r="D711" s="6">
        <v>44501</v>
      </c>
      <c r="E711" t="str">
        <f>"202111016803"</f>
        <v>202111016803</v>
      </c>
      <c r="F711" t="str">
        <f>"Miscellane"</f>
        <v>Miscellane</v>
      </c>
      <c r="G711" s="3">
        <v>6</v>
      </c>
      <c r="H711" t="str">
        <f>"LINDA KAY WILKINS"</f>
        <v>LINDA KAY WILKINS</v>
      </c>
    </row>
    <row r="712" spans="1:8" x14ac:dyDescent="0.25">
      <c r="A712" t="s">
        <v>300</v>
      </c>
      <c r="B712">
        <v>137662</v>
      </c>
      <c r="C712" s="3">
        <v>6</v>
      </c>
      <c r="D712" s="6">
        <v>44501</v>
      </c>
      <c r="E712" t="str">
        <f>"202111016804"</f>
        <v>202111016804</v>
      </c>
      <c r="F712" t="str">
        <f>"Mi"</f>
        <v>Mi</v>
      </c>
      <c r="G712" s="3">
        <v>6</v>
      </c>
      <c r="H712" t="str">
        <f>"DOUGLAS RANDALL TEMPLETON"</f>
        <v>DOUGLAS RANDALL TEMPLETON</v>
      </c>
    </row>
    <row r="713" spans="1:8" x14ac:dyDescent="0.25">
      <c r="A713" t="s">
        <v>301</v>
      </c>
      <c r="B713">
        <v>137663</v>
      </c>
      <c r="C713" s="3">
        <v>6</v>
      </c>
      <c r="D713" s="6">
        <v>44501</v>
      </c>
      <c r="E713" t="str">
        <f>"202111016805"</f>
        <v>202111016805</v>
      </c>
      <c r="F713" t="str">
        <f>"Miscellan"</f>
        <v>Miscellan</v>
      </c>
      <c r="G713" s="3">
        <v>6</v>
      </c>
      <c r="H713" t="str">
        <f>"TERRY DANIEL DOWNS"</f>
        <v>TERRY DANIEL DOWNS</v>
      </c>
    </row>
    <row r="714" spans="1:8" x14ac:dyDescent="0.25">
      <c r="A714" t="s">
        <v>302</v>
      </c>
      <c r="B714">
        <v>137664</v>
      </c>
      <c r="C714" s="3">
        <v>126</v>
      </c>
      <c r="D714" s="6">
        <v>44501</v>
      </c>
      <c r="E714" t="str">
        <f>"202111016806"</f>
        <v>202111016806</v>
      </c>
      <c r="F714" t="str">
        <f>"Mi"</f>
        <v>Mi</v>
      </c>
      <c r="G714" s="3">
        <v>126</v>
      </c>
      <c r="H714" t="str">
        <f>"DEBRA HOLZWORTH MCQUEENEY"</f>
        <v>DEBRA HOLZWORTH MCQUEENEY</v>
      </c>
    </row>
    <row r="715" spans="1:8" x14ac:dyDescent="0.25">
      <c r="A715" t="s">
        <v>303</v>
      </c>
      <c r="B715">
        <v>137665</v>
      </c>
      <c r="C715" s="3">
        <v>6</v>
      </c>
      <c r="D715" s="6">
        <v>44501</v>
      </c>
      <c r="E715" t="str">
        <f>"202111016807"</f>
        <v>202111016807</v>
      </c>
      <c r="F715" t="str">
        <f>"Mi"</f>
        <v>Mi</v>
      </c>
      <c r="G715" s="3">
        <v>6</v>
      </c>
      <c r="H715" t="str">
        <f>"FALLON JNAE JACKSON-JONES"</f>
        <v>FALLON JNAE JACKSON-JONES</v>
      </c>
    </row>
    <row r="716" spans="1:8" x14ac:dyDescent="0.25">
      <c r="A716" t="s">
        <v>304</v>
      </c>
      <c r="B716">
        <v>137666</v>
      </c>
      <c r="C716" s="3">
        <v>6</v>
      </c>
      <c r="D716" s="6">
        <v>44501</v>
      </c>
      <c r="E716" t="str">
        <f>"202111016808"</f>
        <v>202111016808</v>
      </c>
      <c r="F716" t="str">
        <f>"Miscellan"</f>
        <v>Miscellan</v>
      </c>
      <c r="G716" s="3">
        <v>6</v>
      </c>
      <c r="H716" t="str">
        <f>"JOANA TORRES BAUGH"</f>
        <v>JOANA TORRES BAUGH</v>
      </c>
    </row>
    <row r="717" spans="1:8" x14ac:dyDescent="0.25">
      <c r="A717" t="s">
        <v>305</v>
      </c>
      <c r="B717">
        <v>137667</v>
      </c>
      <c r="C717" s="3">
        <v>6</v>
      </c>
      <c r="D717" s="6">
        <v>44501</v>
      </c>
      <c r="E717" t="str">
        <f>"202111016809"</f>
        <v>202111016809</v>
      </c>
      <c r="F717" t="str">
        <f>"Miscella"</f>
        <v>Miscella</v>
      </c>
      <c r="G717" s="3">
        <v>6</v>
      </c>
      <c r="H717" t="str">
        <f>"LORENE ANN CALLISON"</f>
        <v>LORENE ANN CALLISON</v>
      </c>
    </row>
    <row r="718" spans="1:8" x14ac:dyDescent="0.25">
      <c r="A718" t="s">
        <v>306</v>
      </c>
      <c r="B718">
        <v>137668</v>
      </c>
      <c r="C718" s="3">
        <v>126</v>
      </c>
      <c r="D718" s="6">
        <v>44501</v>
      </c>
      <c r="E718" t="str">
        <f>"202111016810"</f>
        <v>202111016810</v>
      </c>
      <c r="F718" t="str">
        <f>"Miscell"</f>
        <v>Miscell</v>
      </c>
      <c r="G718" s="3">
        <v>126</v>
      </c>
      <c r="H718" t="str">
        <f>"FRANK EMMETT JENKINS"</f>
        <v>FRANK EMMETT JENKINS</v>
      </c>
    </row>
    <row r="719" spans="1:8" x14ac:dyDescent="0.25">
      <c r="A719" t="s">
        <v>307</v>
      </c>
      <c r="B719">
        <v>137669</v>
      </c>
      <c r="C719" s="3">
        <v>6</v>
      </c>
      <c r="D719" s="6">
        <v>44501</v>
      </c>
      <c r="E719" t="str">
        <f>"202111016811"</f>
        <v>202111016811</v>
      </c>
      <c r="F719" t="str">
        <f>"Misc"</f>
        <v>Misc</v>
      </c>
      <c r="G719" s="3">
        <v>6</v>
      </c>
      <c r="H719" t="str">
        <f>"MELLISABEL TORRES EAVES"</f>
        <v>MELLISABEL TORRES EAVES</v>
      </c>
    </row>
    <row r="720" spans="1:8" x14ac:dyDescent="0.25">
      <c r="A720" t="s">
        <v>308</v>
      </c>
      <c r="B720">
        <v>137670</v>
      </c>
      <c r="C720" s="3">
        <v>6</v>
      </c>
      <c r="D720" s="6">
        <v>44501</v>
      </c>
      <c r="E720" t="str">
        <f>"202111016812"</f>
        <v>202111016812</v>
      </c>
      <c r="F720" t="str">
        <f>"Miscellane"</f>
        <v>Miscellane</v>
      </c>
      <c r="G720" s="3">
        <v>6</v>
      </c>
      <c r="H720" t="str">
        <f>"SHEILA ANN NAMKEN"</f>
        <v>SHEILA ANN NAMKEN</v>
      </c>
    </row>
    <row r="721" spans="1:8" x14ac:dyDescent="0.25">
      <c r="A721" t="s">
        <v>309</v>
      </c>
      <c r="B721">
        <v>137671</v>
      </c>
      <c r="C721" s="3">
        <v>6</v>
      </c>
      <c r="D721" s="6">
        <v>44501</v>
      </c>
      <c r="E721" t="str">
        <f>"202111016813"</f>
        <v>202111016813</v>
      </c>
      <c r="F721" t="str">
        <f>"Mis"</f>
        <v>Mis</v>
      </c>
      <c r="G721" s="3">
        <v>6</v>
      </c>
      <c r="H721" t="str">
        <f>"JOSELYN MARILY CRUZ-CRUZ"</f>
        <v>JOSELYN MARILY CRUZ-CRUZ</v>
      </c>
    </row>
    <row r="722" spans="1:8" x14ac:dyDescent="0.25">
      <c r="A722" t="s">
        <v>310</v>
      </c>
      <c r="B722">
        <v>137672</v>
      </c>
      <c r="C722" s="3">
        <v>6</v>
      </c>
      <c r="D722" s="6">
        <v>44501</v>
      </c>
      <c r="E722" t="str">
        <f>"202111016814"</f>
        <v>202111016814</v>
      </c>
      <c r="F722" t="str">
        <f>"Miscell"</f>
        <v>Miscell</v>
      </c>
      <c r="G722" s="3">
        <v>6</v>
      </c>
      <c r="H722" t="str">
        <f>"LINDA YVONNE DINNEAN"</f>
        <v>LINDA YVONNE DINNEAN</v>
      </c>
    </row>
    <row r="723" spans="1:8" x14ac:dyDescent="0.25">
      <c r="A723" t="s">
        <v>311</v>
      </c>
      <c r="B723">
        <v>137673</v>
      </c>
      <c r="C723" s="3">
        <v>6</v>
      </c>
      <c r="D723" s="6">
        <v>44501</v>
      </c>
      <c r="E723" t="str">
        <f>"202111016815"</f>
        <v>202111016815</v>
      </c>
      <c r="F723" t="str">
        <f>"Miscella"</f>
        <v>Miscella</v>
      </c>
      <c r="G723" s="3">
        <v>6</v>
      </c>
      <c r="H723" t="str">
        <f>"BRIEON JARROD BROWN"</f>
        <v>BRIEON JARROD BROWN</v>
      </c>
    </row>
    <row r="724" spans="1:8" x14ac:dyDescent="0.25">
      <c r="A724" t="s">
        <v>312</v>
      </c>
      <c r="B724">
        <v>137674</v>
      </c>
      <c r="C724" s="3">
        <v>6</v>
      </c>
      <c r="D724" s="6">
        <v>44501</v>
      </c>
      <c r="E724" t="str">
        <f>"202111016816"</f>
        <v>202111016816</v>
      </c>
      <c r="F724" t="str">
        <f>"Miscellane"</f>
        <v>Miscellane</v>
      </c>
      <c r="G724" s="3">
        <v>6</v>
      </c>
      <c r="H724" t="str">
        <f>"EMILY R DOMINGUEZ"</f>
        <v>EMILY R DOMINGUEZ</v>
      </c>
    </row>
    <row r="725" spans="1:8" x14ac:dyDescent="0.25">
      <c r="A725" t="s">
        <v>313</v>
      </c>
      <c r="B725">
        <v>137675</v>
      </c>
      <c r="C725" s="3">
        <v>6</v>
      </c>
      <c r="D725" s="6">
        <v>44501</v>
      </c>
      <c r="E725" t="str">
        <f>"202111016817"</f>
        <v>202111016817</v>
      </c>
      <c r="F725" t="str">
        <f>"Mis"</f>
        <v>Mis</v>
      </c>
      <c r="G725" s="3">
        <v>6</v>
      </c>
      <c r="H725" t="str">
        <f>"ROBERT NICHOLAS EICHORST"</f>
        <v>ROBERT NICHOLAS EICHORST</v>
      </c>
    </row>
    <row r="726" spans="1:8" x14ac:dyDescent="0.25">
      <c r="A726" t="s">
        <v>314</v>
      </c>
      <c r="B726">
        <v>137676</v>
      </c>
      <c r="C726" s="3">
        <v>6</v>
      </c>
      <c r="D726" s="6">
        <v>44501</v>
      </c>
      <c r="E726" t="str">
        <f>"202111016818"</f>
        <v>202111016818</v>
      </c>
      <c r="F726" t="str">
        <f>"Miscel"</f>
        <v>Miscel</v>
      </c>
      <c r="G726" s="3">
        <v>6</v>
      </c>
      <c r="H726" t="str">
        <f>"RICHIE ALLEN WILLIAMS"</f>
        <v>RICHIE ALLEN WILLIAMS</v>
      </c>
    </row>
    <row r="727" spans="1:8" x14ac:dyDescent="0.25">
      <c r="A727" t="s">
        <v>315</v>
      </c>
      <c r="B727">
        <v>137677</v>
      </c>
      <c r="C727" s="3">
        <v>6</v>
      </c>
      <c r="D727" s="6">
        <v>44501</v>
      </c>
      <c r="E727" t="str">
        <f>"202111016819"</f>
        <v>202111016819</v>
      </c>
      <c r="F727" t="str">
        <f>"Misce"</f>
        <v>Misce</v>
      </c>
      <c r="G727" s="3">
        <v>6</v>
      </c>
      <c r="H727" t="str">
        <f>"MARSHA ANGELA DEVOOGHT"</f>
        <v>MARSHA ANGELA DEVOOGHT</v>
      </c>
    </row>
    <row r="728" spans="1:8" x14ac:dyDescent="0.25">
      <c r="A728" t="s">
        <v>316</v>
      </c>
      <c r="B728">
        <v>137678</v>
      </c>
      <c r="C728" s="3">
        <v>6</v>
      </c>
      <c r="D728" s="6">
        <v>44501</v>
      </c>
      <c r="E728" t="str">
        <f>"202111016820"</f>
        <v>202111016820</v>
      </c>
      <c r="F728" t="str">
        <f>"Miscellan"</f>
        <v>Miscellan</v>
      </c>
      <c r="G728" s="3">
        <v>6</v>
      </c>
      <c r="H728" t="str">
        <f>"BELINDA MAY DENNIS"</f>
        <v>BELINDA MAY DENNIS</v>
      </c>
    </row>
    <row r="729" spans="1:8" x14ac:dyDescent="0.25">
      <c r="A729" t="s">
        <v>317</v>
      </c>
      <c r="B729">
        <v>137679</v>
      </c>
      <c r="C729" s="3">
        <v>126</v>
      </c>
      <c r="D729" s="6">
        <v>44501</v>
      </c>
      <c r="E729" t="str">
        <f>"202111016821"</f>
        <v>202111016821</v>
      </c>
      <c r="F729" t="str">
        <f>"Miscel"</f>
        <v>Miscel</v>
      </c>
      <c r="G729" s="3">
        <v>126</v>
      </c>
      <c r="H729" t="str">
        <f>"RICHARD OLEY CARRASCO"</f>
        <v>RICHARD OLEY CARRASCO</v>
      </c>
    </row>
    <row r="730" spans="1:8" x14ac:dyDescent="0.25">
      <c r="A730" t="s">
        <v>318</v>
      </c>
      <c r="B730">
        <v>137680</v>
      </c>
      <c r="C730" s="3">
        <v>126</v>
      </c>
      <c r="D730" s="6">
        <v>44501</v>
      </c>
      <c r="E730" t="str">
        <f>"202111016822"</f>
        <v>202111016822</v>
      </c>
      <c r="F730" t="str">
        <f>"Miscellane"</f>
        <v>Miscellane</v>
      </c>
      <c r="G730" s="3">
        <v>126</v>
      </c>
      <c r="H730" t="str">
        <f>"RONALD LEE HARMON"</f>
        <v>RONALD LEE HARMON</v>
      </c>
    </row>
    <row r="731" spans="1:8" x14ac:dyDescent="0.25">
      <c r="A731" t="s">
        <v>319</v>
      </c>
      <c r="B731">
        <v>137681</v>
      </c>
      <c r="C731" s="3">
        <v>126</v>
      </c>
      <c r="D731" s="6">
        <v>44501</v>
      </c>
      <c r="E731" t="str">
        <f>"202111016823"</f>
        <v>202111016823</v>
      </c>
      <c r="F731" t="str">
        <f>"Miscellan"</f>
        <v>Miscellan</v>
      </c>
      <c r="G731" s="3">
        <v>126</v>
      </c>
      <c r="H731" t="str">
        <f>"RHONDA GAYLE HANNA"</f>
        <v>RHONDA GAYLE HANNA</v>
      </c>
    </row>
    <row r="732" spans="1:8" x14ac:dyDescent="0.25">
      <c r="A732" t="s">
        <v>320</v>
      </c>
      <c r="B732">
        <v>137682</v>
      </c>
      <c r="C732" s="3">
        <v>6</v>
      </c>
      <c r="D732" s="6">
        <v>44501</v>
      </c>
      <c r="E732" t="str">
        <f>"202111016824"</f>
        <v>202111016824</v>
      </c>
      <c r="F732" t="str">
        <f>"Miscell"</f>
        <v>Miscell</v>
      </c>
      <c r="G732" s="3">
        <v>6</v>
      </c>
      <c r="H732" t="str">
        <f>"ALLAN MICHAEL RIDDLE"</f>
        <v>ALLAN MICHAEL RIDDLE</v>
      </c>
    </row>
    <row r="733" spans="1:8" x14ac:dyDescent="0.25">
      <c r="A733" t="s">
        <v>321</v>
      </c>
      <c r="B733">
        <v>137683</v>
      </c>
      <c r="C733" s="3">
        <v>6</v>
      </c>
      <c r="D733" s="6">
        <v>44501</v>
      </c>
      <c r="E733" t="str">
        <f>"202111016825"</f>
        <v>202111016825</v>
      </c>
      <c r="F733" t="str">
        <f>"Miscellane"</f>
        <v>Miscellane</v>
      </c>
      <c r="G733" s="3">
        <v>6</v>
      </c>
      <c r="H733" t="str">
        <f>"DANIEL DALE ALLEN"</f>
        <v>DANIEL DALE ALLEN</v>
      </c>
    </row>
    <row r="734" spans="1:8" x14ac:dyDescent="0.25">
      <c r="A734" t="s">
        <v>322</v>
      </c>
      <c r="B734">
        <v>137684</v>
      </c>
      <c r="C734" s="3">
        <v>6</v>
      </c>
      <c r="D734" s="6">
        <v>44501</v>
      </c>
      <c r="E734" t="str">
        <f>"202111016826"</f>
        <v>202111016826</v>
      </c>
      <c r="F734" t="str">
        <f>"Miscellane"</f>
        <v>Miscellane</v>
      </c>
      <c r="G734" s="3">
        <v>6</v>
      </c>
      <c r="H734" t="str">
        <f>"JOYCE ELAINE HILL"</f>
        <v>JOYCE ELAINE HILL</v>
      </c>
    </row>
    <row r="735" spans="1:8" x14ac:dyDescent="0.25">
      <c r="A735" t="s">
        <v>323</v>
      </c>
      <c r="B735">
        <v>137685</v>
      </c>
      <c r="C735" s="3">
        <v>6</v>
      </c>
      <c r="D735" s="6">
        <v>44501</v>
      </c>
      <c r="E735" t="str">
        <f>"202111016827"</f>
        <v>202111016827</v>
      </c>
      <c r="F735" t="str">
        <f>"Miscellane"</f>
        <v>Miscellane</v>
      </c>
      <c r="G735" s="3">
        <v>6</v>
      </c>
      <c r="H735" t="str">
        <f>"DANIEL JASON HUGO"</f>
        <v>DANIEL JASON HUGO</v>
      </c>
    </row>
    <row r="736" spans="1:8" x14ac:dyDescent="0.25">
      <c r="A736" t="s">
        <v>324</v>
      </c>
      <c r="B736">
        <v>137686</v>
      </c>
      <c r="C736" s="3">
        <v>126</v>
      </c>
      <c r="D736" s="6">
        <v>44501</v>
      </c>
      <c r="E736" t="str">
        <f>"202111016828"</f>
        <v>202111016828</v>
      </c>
      <c r="F736" t="str">
        <f>"Miscell"</f>
        <v>Miscell</v>
      </c>
      <c r="G736" s="3">
        <v>126</v>
      </c>
      <c r="H736" t="str">
        <f>"JOHNNY LANE SABRSULA"</f>
        <v>JOHNNY LANE SABRSULA</v>
      </c>
    </row>
    <row r="737" spans="1:8" x14ac:dyDescent="0.25">
      <c r="A737" t="s">
        <v>325</v>
      </c>
      <c r="B737">
        <v>137687</v>
      </c>
      <c r="C737" s="3">
        <v>6</v>
      </c>
      <c r="D737" s="6">
        <v>44501</v>
      </c>
      <c r="E737" t="str">
        <f>"202111016829"</f>
        <v>202111016829</v>
      </c>
      <c r="F737" t="str">
        <f>"Miscellan"</f>
        <v>Miscellan</v>
      </c>
      <c r="G737" s="3">
        <v>6</v>
      </c>
      <c r="H737" t="str">
        <f>"BRENDA KAY WALLACE"</f>
        <v>BRENDA KAY WALLACE</v>
      </c>
    </row>
    <row r="738" spans="1:8" x14ac:dyDescent="0.25">
      <c r="A738" t="s">
        <v>326</v>
      </c>
      <c r="B738">
        <v>137688</v>
      </c>
      <c r="C738" s="3">
        <v>6</v>
      </c>
      <c r="D738" s="6">
        <v>44501</v>
      </c>
      <c r="E738" t="str">
        <f>"202111016830"</f>
        <v>202111016830</v>
      </c>
      <c r="F738" t="str">
        <f>"Miscellan"</f>
        <v>Miscellan</v>
      </c>
      <c r="G738" s="3">
        <v>6</v>
      </c>
      <c r="H738" t="str">
        <f>"MICHEAL RAY HIROMS"</f>
        <v>MICHEAL RAY HIROMS</v>
      </c>
    </row>
    <row r="739" spans="1:8" x14ac:dyDescent="0.25">
      <c r="A739" t="s">
        <v>327</v>
      </c>
      <c r="B739">
        <v>137689</v>
      </c>
      <c r="C739" s="3">
        <v>6</v>
      </c>
      <c r="D739" s="6">
        <v>44501</v>
      </c>
      <c r="E739" t="str">
        <f>"202111016831"</f>
        <v>202111016831</v>
      </c>
      <c r="F739" t="str">
        <f>"Misc"</f>
        <v>Misc</v>
      </c>
      <c r="G739" s="3">
        <v>6</v>
      </c>
      <c r="H739" t="str">
        <f>"KAYE ZIESCHANG KISAMORE"</f>
        <v>KAYE ZIESCHANG KISAMORE</v>
      </c>
    </row>
    <row r="740" spans="1:8" x14ac:dyDescent="0.25">
      <c r="A740" t="s">
        <v>328</v>
      </c>
      <c r="B740">
        <v>137690</v>
      </c>
      <c r="C740" s="3">
        <v>6</v>
      </c>
      <c r="D740" s="6">
        <v>44501</v>
      </c>
      <c r="E740" t="str">
        <f>"202111016832"</f>
        <v>202111016832</v>
      </c>
      <c r="F740" t="str">
        <f>"Misc"</f>
        <v>Misc</v>
      </c>
      <c r="G740" s="3">
        <v>6</v>
      </c>
      <c r="H740" t="str">
        <f>"HERMINIA HERRERA RIVERA"</f>
        <v>HERMINIA HERRERA RIVERA</v>
      </c>
    </row>
    <row r="741" spans="1:8" x14ac:dyDescent="0.25">
      <c r="A741" t="s">
        <v>329</v>
      </c>
      <c r="B741">
        <v>137691</v>
      </c>
      <c r="C741" s="3">
        <v>6</v>
      </c>
      <c r="D741" s="6">
        <v>44501</v>
      </c>
      <c r="E741" t="str">
        <f>"202111016833"</f>
        <v>202111016833</v>
      </c>
      <c r="F741" t="str">
        <f>"Miscellaneo"</f>
        <v>Miscellaneo</v>
      </c>
      <c r="G741" s="3">
        <v>6</v>
      </c>
      <c r="H741" t="str">
        <f>"JIM GERARD ATTRA"</f>
        <v>JIM GERARD ATTRA</v>
      </c>
    </row>
    <row r="742" spans="1:8" x14ac:dyDescent="0.25">
      <c r="A742" t="s">
        <v>330</v>
      </c>
      <c r="B742">
        <v>137692</v>
      </c>
      <c r="C742" s="3">
        <v>6</v>
      </c>
      <c r="D742" s="6">
        <v>44501</v>
      </c>
      <c r="E742" t="str">
        <f>"202111016834"</f>
        <v>202111016834</v>
      </c>
      <c r="F742" t="str">
        <f>"Mis"</f>
        <v>Mis</v>
      </c>
      <c r="G742" s="3">
        <v>6</v>
      </c>
      <c r="H742" t="str">
        <f>"KENNETH WILLIAM KESSELUS"</f>
        <v>KENNETH WILLIAM KESSELUS</v>
      </c>
    </row>
    <row r="743" spans="1:8" x14ac:dyDescent="0.25">
      <c r="A743" t="s">
        <v>331</v>
      </c>
      <c r="B743">
        <v>137693</v>
      </c>
      <c r="C743" s="3">
        <v>6</v>
      </c>
      <c r="D743" s="6">
        <v>44501</v>
      </c>
      <c r="E743" t="str">
        <f>"202111016835"</f>
        <v>202111016835</v>
      </c>
      <c r="F743" t="str">
        <f>"Miscella"</f>
        <v>Miscella</v>
      </c>
      <c r="G743" s="3">
        <v>6</v>
      </c>
      <c r="H743" t="str">
        <f>"DEBRA RENEE HLAVATY"</f>
        <v>DEBRA RENEE HLAVATY</v>
      </c>
    </row>
    <row r="744" spans="1:8" x14ac:dyDescent="0.25">
      <c r="A744" t="s">
        <v>332</v>
      </c>
      <c r="B744">
        <v>137694</v>
      </c>
      <c r="C744" s="3">
        <v>6</v>
      </c>
      <c r="D744" s="6">
        <v>44501</v>
      </c>
      <c r="E744" t="str">
        <f>"202111016836"</f>
        <v>202111016836</v>
      </c>
      <c r="F744" t="str">
        <f>"Miscella"</f>
        <v>Miscella</v>
      </c>
      <c r="G744" s="3">
        <v>6</v>
      </c>
      <c r="H744" t="str">
        <f>"TABATHA LYNN TURNER"</f>
        <v>TABATHA LYNN TURNER</v>
      </c>
    </row>
    <row r="745" spans="1:8" x14ac:dyDescent="0.25">
      <c r="A745" t="s">
        <v>333</v>
      </c>
      <c r="B745">
        <v>137695</v>
      </c>
      <c r="C745" s="3">
        <v>6</v>
      </c>
      <c r="D745" s="6">
        <v>44501</v>
      </c>
      <c r="E745" t="str">
        <f>"202111016837"</f>
        <v>202111016837</v>
      </c>
      <c r="F745" t="str">
        <f>"Miscell"</f>
        <v>Miscell</v>
      </c>
      <c r="G745" s="3">
        <v>6</v>
      </c>
      <c r="H745" t="str">
        <f>"SYLVIA CAVAZOS ERNST"</f>
        <v>SYLVIA CAVAZOS ERNST</v>
      </c>
    </row>
    <row r="746" spans="1:8" x14ac:dyDescent="0.25">
      <c r="A746" t="s">
        <v>334</v>
      </c>
      <c r="B746">
        <v>137696</v>
      </c>
      <c r="C746" s="3">
        <v>6</v>
      </c>
      <c r="D746" s="6">
        <v>44501</v>
      </c>
      <c r="E746" t="str">
        <f>"202111016838"</f>
        <v>202111016838</v>
      </c>
      <c r="F746" t="str">
        <f>"Miscellane"</f>
        <v>Miscellane</v>
      </c>
      <c r="G746" s="3">
        <v>6</v>
      </c>
      <c r="H746" t="str">
        <f>"ERICA ANN KELTNER"</f>
        <v>ERICA ANN KELTNER</v>
      </c>
    </row>
    <row r="747" spans="1:8" x14ac:dyDescent="0.25">
      <c r="A747" t="s">
        <v>335</v>
      </c>
      <c r="B747">
        <v>137697</v>
      </c>
      <c r="C747" s="3">
        <v>6</v>
      </c>
      <c r="D747" s="6">
        <v>44501</v>
      </c>
      <c r="E747" t="str">
        <f>"202111016839"</f>
        <v>202111016839</v>
      </c>
      <c r="F747" t="str">
        <f>"Miscel"</f>
        <v>Miscel</v>
      </c>
      <c r="G747" s="3">
        <v>6</v>
      </c>
      <c r="H747" t="str">
        <f>"JOSEPH GABRIEL ALECCI"</f>
        <v>JOSEPH GABRIEL ALECCI</v>
      </c>
    </row>
    <row r="748" spans="1:8" x14ac:dyDescent="0.25">
      <c r="A748" t="s">
        <v>336</v>
      </c>
      <c r="B748">
        <v>137698</v>
      </c>
      <c r="C748" s="3">
        <v>6</v>
      </c>
      <c r="D748" s="6">
        <v>44501</v>
      </c>
      <c r="E748" t="str">
        <f>"202111016840"</f>
        <v>202111016840</v>
      </c>
      <c r="F748" t="str">
        <f>"Misce"</f>
        <v>Misce</v>
      </c>
      <c r="G748" s="3">
        <v>6</v>
      </c>
      <c r="H748" t="str">
        <f>"DAVID WAYNE RICHARDSON"</f>
        <v>DAVID WAYNE RICHARDSON</v>
      </c>
    </row>
    <row r="749" spans="1:8" x14ac:dyDescent="0.25">
      <c r="A749" t="s">
        <v>337</v>
      </c>
      <c r="B749">
        <v>137699</v>
      </c>
      <c r="C749" s="3">
        <v>6</v>
      </c>
      <c r="D749" s="6">
        <v>44501</v>
      </c>
      <c r="E749" t="str">
        <f>"202111016841"</f>
        <v>202111016841</v>
      </c>
      <c r="F749" t="str">
        <f>"Miscellaneo"</f>
        <v>Miscellaneo</v>
      </c>
      <c r="G749" s="3">
        <v>6</v>
      </c>
      <c r="H749" t="str">
        <f>"JAMIE LEE JOSEPH"</f>
        <v>JAMIE LEE JOSEPH</v>
      </c>
    </row>
    <row r="750" spans="1:8" x14ac:dyDescent="0.25">
      <c r="A750" t="s">
        <v>338</v>
      </c>
      <c r="B750">
        <v>137877</v>
      </c>
      <c r="C750" s="3">
        <v>126</v>
      </c>
      <c r="D750" s="6">
        <v>44518</v>
      </c>
      <c r="E750" t="str">
        <f>"202111187234"</f>
        <v>202111187234</v>
      </c>
      <c r="F750" t="str">
        <f>"M"</f>
        <v>M</v>
      </c>
      <c r="G750" s="3">
        <v>126</v>
      </c>
      <c r="H750" t="str">
        <f>"Children's Advocacy Center"</f>
        <v>Children's Advocacy Center</v>
      </c>
    </row>
    <row r="751" spans="1:8" x14ac:dyDescent="0.25">
      <c r="A751" t="s">
        <v>339</v>
      </c>
      <c r="B751">
        <v>137878</v>
      </c>
      <c r="C751" s="3">
        <v>86</v>
      </c>
      <c r="D751" s="6">
        <v>44518</v>
      </c>
      <c r="E751" t="str">
        <f>"202111187235"</f>
        <v>202111187235</v>
      </c>
      <c r="F751" t="str">
        <f>"Miscel"</f>
        <v>Miscel</v>
      </c>
      <c r="G751" s="3">
        <v>86</v>
      </c>
      <c r="H751" t="str">
        <f>"BENJAMIN JORDAN ALLEN"</f>
        <v>BENJAMIN JORDAN ALLEN</v>
      </c>
    </row>
    <row r="752" spans="1:8" x14ac:dyDescent="0.25">
      <c r="A752" t="s">
        <v>340</v>
      </c>
      <c r="B752">
        <v>137879</v>
      </c>
      <c r="C752" s="3">
        <v>6</v>
      </c>
      <c r="D752" s="6">
        <v>44518</v>
      </c>
      <c r="E752" t="str">
        <f>"202111187236"</f>
        <v>202111187236</v>
      </c>
      <c r="F752" t="str">
        <f>"Miscellaneou"</f>
        <v>Miscellaneou</v>
      </c>
      <c r="G752" s="3">
        <v>6</v>
      </c>
      <c r="H752" t="str">
        <f>"MARTIN RAMOS JR"</f>
        <v>MARTIN RAMOS JR</v>
      </c>
    </row>
    <row r="753" spans="1:8" x14ac:dyDescent="0.25">
      <c r="A753" t="s">
        <v>341</v>
      </c>
      <c r="B753">
        <v>137880</v>
      </c>
      <c r="C753" s="3">
        <v>6</v>
      </c>
      <c r="D753" s="6">
        <v>44518</v>
      </c>
      <c r="E753" t="str">
        <f>"202111187237"</f>
        <v>202111187237</v>
      </c>
      <c r="F753" t="str">
        <f>"Miscella"</f>
        <v>Miscella</v>
      </c>
      <c r="G753" s="3">
        <v>6</v>
      </c>
      <c r="H753" t="str">
        <f>"RALPH BENTON POWELL"</f>
        <v>RALPH BENTON POWELL</v>
      </c>
    </row>
    <row r="754" spans="1:8" x14ac:dyDescent="0.25">
      <c r="A754" t="s">
        <v>342</v>
      </c>
      <c r="B754">
        <v>137881</v>
      </c>
      <c r="C754" s="3">
        <v>6</v>
      </c>
      <c r="D754" s="6">
        <v>44518</v>
      </c>
      <c r="E754" t="str">
        <f>"202111187238"</f>
        <v>202111187238</v>
      </c>
      <c r="F754" t="str">
        <f>"Miscel"</f>
        <v>Miscel</v>
      </c>
      <c r="G754" s="3">
        <v>6</v>
      </c>
      <c r="H754" t="str">
        <f>"MARK ANTHONY PORTILLO"</f>
        <v>MARK ANTHONY PORTILLO</v>
      </c>
    </row>
    <row r="755" spans="1:8" x14ac:dyDescent="0.25">
      <c r="A755" t="s">
        <v>343</v>
      </c>
      <c r="B755">
        <v>137882</v>
      </c>
      <c r="C755" s="3">
        <v>6</v>
      </c>
      <c r="D755" s="6">
        <v>44518</v>
      </c>
      <c r="E755" t="str">
        <f>"202111187239"</f>
        <v>202111187239</v>
      </c>
      <c r="F755" t="str">
        <f>"Miscellane"</f>
        <v>Miscellane</v>
      </c>
      <c r="G755" s="3">
        <v>6</v>
      </c>
      <c r="H755" t="str">
        <f>"JOHN GABRIEL PENA"</f>
        <v>JOHN GABRIEL PENA</v>
      </c>
    </row>
    <row r="756" spans="1:8" x14ac:dyDescent="0.25">
      <c r="A756" t="s">
        <v>344</v>
      </c>
      <c r="B756">
        <v>137883</v>
      </c>
      <c r="C756" s="3">
        <v>6</v>
      </c>
      <c r="D756" s="6">
        <v>44518</v>
      </c>
      <c r="E756" t="str">
        <f>"202111187240"</f>
        <v>202111187240</v>
      </c>
      <c r="F756" t="str">
        <f>"Miscellaneo"</f>
        <v>Miscellaneo</v>
      </c>
      <c r="G756" s="3">
        <v>6</v>
      </c>
      <c r="H756" t="str">
        <f>"PHILIP S PARSONS"</f>
        <v>PHILIP S PARSONS</v>
      </c>
    </row>
    <row r="757" spans="1:8" x14ac:dyDescent="0.25">
      <c r="A757" t="s">
        <v>345</v>
      </c>
      <c r="B757">
        <v>137884</v>
      </c>
      <c r="C757" s="3">
        <v>6</v>
      </c>
      <c r="D757" s="6">
        <v>44518</v>
      </c>
      <c r="E757" t="str">
        <f>"202111187241"</f>
        <v>202111187241</v>
      </c>
      <c r="F757" t="str">
        <f>"Miscellane"</f>
        <v>Miscellane</v>
      </c>
      <c r="G757" s="3">
        <v>6</v>
      </c>
      <c r="H757" t="str">
        <f>"MURIEL LENA OWENS"</f>
        <v>MURIEL LENA OWENS</v>
      </c>
    </row>
    <row r="758" spans="1:8" x14ac:dyDescent="0.25">
      <c r="A758" t="s">
        <v>346</v>
      </c>
      <c r="B758">
        <v>137885</v>
      </c>
      <c r="C758" s="3">
        <v>126</v>
      </c>
      <c r="D758" s="6">
        <v>44518</v>
      </c>
      <c r="E758" t="str">
        <f>"202111187242"</f>
        <v>202111187242</v>
      </c>
      <c r="F758" t="str">
        <f>"Miscell"</f>
        <v>Miscell</v>
      </c>
      <c r="G758" s="3">
        <v>126</v>
      </c>
      <c r="H758" t="str">
        <f>"LOREAL DESIREE NUNEZ"</f>
        <v>LOREAL DESIREE NUNEZ</v>
      </c>
    </row>
    <row r="759" spans="1:8" x14ac:dyDescent="0.25">
      <c r="A759" t="s">
        <v>347</v>
      </c>
      <c r="B759">
        <v>137886</v>
      </c>
      <c r="C759" s="3">
        <v>126</v>
      </c>
      <c r="D759" s="6">
        <v>44518</v>
      </c>
      <c r="E759" t="str">
        <f>"202111187243"</f>
        <v>202111187243</v>
      </c>
      <c r="F759" t="str">
        <f>"Misc"</f>
        <v>Misc</v>
      </c>
      <c r="G759" s="3">
        <v>126</v>
      </c>
      <c r="H759" t="str">
        <f>"DWAYNE DENNIS NORRIS II"</f>
        <v>DWAYNE DENNIS NORRIS II</v>
      </c>
    </row>
    <row r="760" spans="1:8" x14ac:dyDescent="0.25">
      <c r="A760" t="s">
        <v>348</v>
      </c>
      <c r="B760">
        <v>137887</v>
      </c>
      <c r="C760" s="3">
        <v>126</v>
      </c>
      <c r="D760" s="6">
        <v>44518</v>
      </c>
      <c r="E760" t="str">
        <f>"202111187244"</f>
        <v>202111187244</v>
      </c>
      <c r="F760" t="str">
        <f>"Miscellaneo"</f>
        <v>Miscellaneo</v>
      </c>
      <c r="G760" s="3">
        <v>126</v>
      </c>
      <c r="H760" t="str">
        <f>"NICK LEE NICHOLS"</f>
        <v>NICK LEE NICHOLS</v>
      </c>
    </row>
    <row r="761" spans="1:8" x14ac:dyDescent="0.25">
      <c r="A761" t="s">
        <v>349</v>
      </c>
      <c r="B761">
        <v>137888</v>
      </c>
      <c r="C761" s="3">
        <v>126</v>
      </c>
      <c r="D761" s="6">
        <v>44518</v>
      </c>
      <c r="E761" t="str">
        <f>"202111187245"</f>
        <v>202111187245</v>
      </c>
      <c r="F761" t="str">
        <f>"Misce"</f>
        <v>Misce</v>
      </c>
      <c r="G761" s="3">
        <v>126</v>
      </c>
      <c r="H761" t="str">
        <f>"REECE WINFIELD MCKEOWN"</f>
        <v>REECE WINFIELD MCKEOWN</v>
      </c>
    </row>
    <row r="762" spans="1:8" x14ac:dyDescent="0.25">
      <c r="A762" t="s">
        <v>350</v>
      </c>
      <c r="B762">
        <v>137889</v>
      </c>
      <c r="C762" s="3">
        <v>6</v>
      </c>
      <c r="D762" s="6">
        <v>44518</v>
      </c>
      <c r="E762" t="str">
        <f>"202111187246"</f>
        <v>202111187246</v>
      </c>
      <c r="F762" t="str">
        <f>"Miscell"</f>
        <v>Miscell</v>
      </c>
      <c r="G762" s="3">
        <v>6</v>
      </c>
      <c r="H762" t="str">
        <f>"RANDY ONEAL MCDONALD"</f>
        <v>RANDY ONEAL MCDONALD</v>
      </c>
    </row>
    <row r="763" spans="1:8" x14ac:dyDescent="0.25">
      <c r="A763" t="s">
        <v>351</v>
      </c>
      <c r="B763">
        <v>137890</v>
      </c>
      <c r="C763" s="3">
        <v>6</v>
      </c>
      <c r="D763" s="6">
        <v>44518</v>
      </c>
      <c r="E763" t="str">
        <f>"202111187247"</f>
        <v>202111187247</v>
      </c>
      <c r="F763" t="str">
        <f>"Miscellane"</f>
        <v>Miscellane</v>
      </c>
      <c r="G763" s="3">
        <v>6</v>
      </c>
      <c r="H763" t="str">
        <f>"ERICK JASON MATES"</f>
        <v>ERICK JASON MATES</v>
      </c>
    </row>
    <row r="764" spans="1:8" x14ac:dyDescent="0.25">
      <c r="A764" t="s">
        <v>352</v>
      </c>
      <c r="B764">
        <v>137891</v>
      </c>
      <c r="C764" s="3">
        <v>6</v>
      </c>
      <c r="D764" s="6">
        <v>44518</v>
      </c>
      <c r="E764" t="str">
        <f>"202111187248"</f>
        <v>202111187248</v>
      </c>
      <c r="F764" t="str">
        <f>"Miscellane"</f>
        <v>Miscellane</v>
      </c>
      <c r="G764" s="3">
        <v>6</v>
      </c>
      <c r="H764" t="str">
        <f>"NOE ADAN MARTINEZ"</f>
        <v>NOE ADAN MARTINEZ</v>
      </c>
    </row>
    <row r="765" spans="1:8" x14ac:dyDescent="0.25">
      <c r="A765" t="s">
        <v>353</v>
      </c>
      <c r="B765">
        <v>137892</v>
      </c>
      <c r="C765" s="3">
        <v>6</v>
      </c>
      <c r="D765" s="6">
        <v>44518</v>
      </c>
      <c r="E765" t="str">
        <f>"202111187249"</f>
        <v>202111187249</v>
      </c>
      <c r="F765" t="str">
        <f>"Mis"</f>
        <v>Mis</v>
      </c>
      <c r="G765" s="3">
        <v>6</v>
      </c>
      <c r="H765" t="str">
        <f>"SARAH NAIDA ANN MARTINEZ"</f>
        <v>SARAH NAIDA ANN MARTINEZ</v>
      </c>
    </row>
    <row r="766" spans="1:8" x14ac:dyDescent="0.25">
      <c r="A766" t="s">
        <v>354</v>
      </c>
      <c r="B766">
        <v>137893</v>
      </c>
      <c r="C766" s="3">
        <v>6</v>
      </c>
      <c r="D766" s="6">
        <v>44518</v>
      </c>
      <c r="E766" t="str">
        <f>"202111187250"</f>
        <v>202111187250</v>
      </c>
      <c r="F766" t="str">
        <f>"Miscell"</f>
        <v>Miscell</v>
      </c>
      <c r="G766" s="3">
        <v>6</v>
      </c>
      <c r="H766" t="str">
        <f>"ROY ANTHONY MARTINEZ"</f>
        <v>ROY ANTHONY MARTINEZ</v>
      </c>
    </row>
    <row r="767" spans="1:8" x14ac:dyDescent="0.25">
      <c r="A767" t="s">
        <v>355</v>
      </c>
      <c r="B767">
        <v>137894</v>
      </c>
      <c r="C767" s="3">
        <v>6</v>
      </c>
      <c r="D767" s="6">
        <v>44518</v>
      </c>
      <c r="E767" t="str">
        <f>"202111187251"</f>
        <v>202111187251</v>
      </c>
      <c r="F767" t="str">
        <f>"Miscella"</f>
        <v>Miscella</v>
      </c>
      <c r="G767" s="3">
        <v>6</v>
      </c>
      <c r="H767" t="str">
        <f>"KENNETH JOHN MARTEN"</f>
        <v>KENNETH JOHN MARTEN</v>
      </c>
    </row>
    <row r="768" spans="1:8" x14ac:dyDescent="0.25">
      <c r="A768" t="s">
        <v>356</v>
      </c>
      <c r="B768">
        <v>137895</v>
      </c>
      <c r="C768" s="3">
        <v>6</v>
      </c>
      <c r="D768" s="6">
        <v>44518</v>
      </c>
      <c r="E768" t="str">
        <f>"202111187252"</f>
        <v>202111187252</v>
      </c>
      <c r="F768" t="str">
        <f>"Miscella"</f>
        <v>Miscella</v>
      </c>
      <c r="G768" s="3">
        <v>6</v>
      </c>
      <c r="H768" t="str">
        <f>"KEVIN LOYD MAGNUSON"</f>
        <v>KEVIN LOYD MAGNUSON</v>
      </c>
    </row>
    <row r="769" spans="1:8" x14ac:dyDescent="0.25">
      <c r="A769" t="s">
        <v>357</v>
      </c>
      <c r="B769">
        <v>137896</v>
      </c>
      <c r="C769" s="3">
        <v>6</v>
      </c>
      <c r="D769" s="6">
        <v>44518</v>
      </c>
      <c r="E769" t="str">
        <f>"202111187253"</f>
        <v>202111187253</v>
      </c>
      <c r="F769" t="str">
        <f>"Miscellaneous"</f>
        <v>Miscellaneous</v>
      </c>
      <c r="G769" s="3">
        <v>6</v>
      </c>
      <c r="H769" t="str">
        <f>"ANDREW LOPEZ"</f>
        <v>ANDREW LOPEZ</v>
      </c>
    </row>
    <row r="770" spans="1:8" x14ac:dyDescent="0.25">
      <c r="A770" t="s">
        <v>358</v>
      </c>
      <c r="B770">
        <v>137897</v>
      </c>
      <c r="C770" s="3">
        <v>6</v>
      </c>
      <c r="D770" s="6">
        <v>44518</v>
      </c>
      <c r="E770" t="str">
        <f>"202111187254"</f>
        <v>202111187254</v>
      </c>
      <c r="F770" t="str">
        <f>"Miscella"</f>
        <v>Miscella</v>
      </c>
      <c r="G770" s="3">
        <v>6</v>
      </c>
      <c r="H770" t="str">
        <f>"JOHN VINCENT LIVELY"</f>
        <v>JOHN VINCENT LIVELY</v>
      </c>
    </row>
    <row r="771" spans="1:8" x14ac:dyDescent="0.25">
      <c r="A771" t="s">
        <v>359</v>
      </c>
      <c r="B771">
        <v>137898</v>
      </c>
      <c r="C771" s="3">
        <v>6</v>
      </c>
      <c r="D771" s="6">
        <v>44518</v>
      </c>
      <c r="E771" t="str">
        <f>"202111187255"</f>
        <v>202111187255</v>
      </c>
      <c r="F771" t="str">
        <f>"Miscell"</f>
        <v>Miscell</v>
      </c>
      <c r="G771" s="3">
        <v>6</v>
      </c>
      <c r="H771" t="str">
        <f>"DAMEON MARQUEE LEWIS"</f>
        <v>DAMEON MARQUEE LEWIS</v>
      </c>
    </row>
    <row r="772" spans="1:8" x14ac:dyDescent="0.25">
      <c r="A772" t="s">
        <v>360</v>
      </c>
      <c r="B772">
        <v>137899</v>
      </c>
      <c r="C772" s="3">
        <v>6</v>
      </c>
      <c r="D772" s="6">
        <v>44518</v>
      </c>
      <c r="E772" t="str">
        <f>"202111187256"</f>
        <v>202111187256</v>
      </c>
      <c r="F772" t="str">
        <f>"Miscellaneous"</f>
        <v>Miscellaneous</v>
      </c>
      <c r="G772" s="3">
        <v>6</v>
      </c>
      <c r="H772" t="str">
        <f>"CYNTHIA LEE"</f>
        <v>CYNTHIA LEE</v>
      </c>
    </row>
    <row r="773" spans="1:8" x14ac:dyDescent="0.25">
      <c r="A773" t="s">
        <v>361</v>
      </c>
      <c r="B773">
        <v>137900</v>
      </c>
      <c r="C773" s="3">
        <v>6</v>
      </c>
      <c r="D773" s="6">
        <v>44518</v>
      </c>
      <c r="E773" t="str">
        <f>"202111187257"</f>
        <v>202111187257</v>
      </c>
      <c r="F773" t="str">
        <f>"Misce"</f>
        <v>Misce</v>
      </c>
      <c r="G773" s="3">
        <v>6</v>
      </c>
      <c r="H773" t="str">
        <f>"LAZARO GARCIA LANDEROS"</f>
        <v>LAZARO GARCIA LANDEROS</v>
      </c>
    </row>
    <row r="774" spans="1:8" x14ac:dyDescent="0.25">
      <c r="A774" t="s">
        <v>362</v>
      </c>
      <c r="B774">
        <v>137901</v>
      </c>
      <c r="C774" s="3">
        <v>6</v>
      </c>
      <c r="D774" s="6">
        <v>44518</v>
      </c>
      <c r="E774" t="str">
        <f>"202111187258"</f>
        <v>202111187258</v>
      </c>
      <c r="F774" t="str">
        <f>"Miscell"</f>
        <v>Miscell</v>
      </c>
      <c r="G774" s="3">
        <v>6</v>
      </c>
      <c r="H774" t="str">
        <f>"LORHONDA RENE RAMSEY"</f>
        <v>LORHONDA RENE RAMSEY</v>
      </c>
    </row>
    <row r="775" spans="1:8" x14ac:dyDescent="0.25">
      <c r="A775" t="s">
        <v>363</v>
      </c>
      <c r="B775">
        <v>137902</v>
      </c>
      <c r="C775" s="3">
        <v>6</v>
      </c>
      <c r="D775" s="6">
        <v>44518</v>
      </c>
      <c r="E775" t="str">
        <f>"202111187259"</f>
        <v>202111187259</v>
      </c>
      <c r="F775" t="str">
        <f>"Miscellaneous"</f>
        <v>Miscellaneous</v>
      </c>
      <c r="G775" s="3">
        <v>6</v>
      </c>
      <c r="H775" t="str">
        <f>"JOE LANE KYSER"</f>
        <v>JOE LANE KYSER</v>
      </c>
    </row>
    <row r="776" spans="1:8" x14ac:dyDescent="0.25">
      <c r="A776" t="s">
        <v>364</v>
      </c>
      <c r="B776">
        <v>137903</v>
      </c>
      <c r="C776" s="3">
        <v>6</v>
      </c>
      <c r="D776" s="6">
        <v>44518</v>
      </c>
      <c r="E776" t="str">
        <f>"202111187260"</f>
        <v>202111187260</v>
      </c>
      <c r="F776" t="str">
        <f>"Miscella"</f>
        <v>Miscella</v>
      </c>
      <c r="G776" s="3">
        <v>6</v>
      </c>
      <c r="H776" t="str">
        <f>"BRANDON CHARLES RAY"</f>
        <v>BRANDON CHARLES RAY</v>
      </c>
    </row>
    <row r="777" spans="1:8" x14ac:dyDescent="0.25">
      <c r="A777" t="s">
        <v>365</v>
      </c>
      <c r="B777">
        <v>137904</v>
      </c>
      <c r="C777" s="3">
        <v>126</v>
      </c>
      <c r="D777" s="6">
        <v>44518</v>
      </c>
      <c r="E777" t="str">
        <f>"202111187261"</f>
        <v>202111187261</v>
      </c>
      <c r="F777" t="str">
        <f>""</f>
        <v/>
      </c>
      <c r="G777" s="3">
        <v>126</v>
      </c>
      <c r="H777" t="str">
        <f>"ALEXANDER MICAHEL RICCIARDI-HO"</f>
        <v>ALEXANDER MICAHEL RICCIARDI-HO</v>
      </c>
    </row>
    <row r="778" spans="1:8" x14ac:dyDescent="0.25">
      <c r="A778" t="s">
        <v>366</v>
      </c>
      <c r="B778">
        <v>137905</v>
      </c>
      <c r="C778" s="3">
        <v>126</v>
      </c>
      <c r="D778" s="6">
        <v>44518</v>
      </c>
      <c r="E778" t="str">
        <f>"202111187262"</f>
        <v>202111187262</v>
      </c>
      <c r="F778" t="str">
        <f>"Miscellan"</f>
        <v>Miscellan</v>
      </c>
      <c r="G778" s="3">
        <v>126</v>
      </c>
      <c r="H778" t="str">
        <f>"LUKE ANTHONY WOBUS"</f>
        <v>LUKE ANTHONY WOBUS</v>
      </c>
    </row>
    <row r="779" spans="1:8" x14ac:dyDescent="0.25">
      <c r="A779" t="s">
        <v>367</v>
      </c>
      <c r="B779">
        <v>137906</v>
      </c>
      <c r="C779" s="3">
        <v>6</v>
      </c>
      <c r="D779" s="6">
        <v>44518</v>
      </c>
      <c r="E779" t="str">
        <f>"202111187263"</f>
        <v>202111187263</v>
      </c>
      <c r="F779" t="str">
        <f>"Misc"</f>
        <v>Misc</v>
      </c>
      <c r="G779" s="3">
        <v>6</v>
      </c>
      <c r="H779" t="str">
        <f>"DAVID NICHOLAS WILLIAMS"</f>
        <v>DAVID NICHOLAS WILLIAMS</v>
      </c>
    </row>
    <row r="780" spans="1:8" x14ac:dyDescent="0.25">
      <c r="A780" t="s">
        <v>368</v>
      </c>
      <c r="B780">
        <v>137907</v>
      </c>
      <c r="C780" s="3">
        <v>6</v>
      </c>
      <c r="D780" s="6">
        <v>44518</v>
      </c>
      <c r="E780" t="str">
        <f>"202111187264"</f>
        <v>202111187264</v>
      </c>
      <c r="F780" t="str">
        <f>"Misc"</f>
        <v>Misc</v>
      </c>
      <c r="G780" s="3">
        <v>6</v>
      </c>
      <c r="H780" t="str">
        <f>"THOMAS RALPH WILKINS JR"</f>
        <v>THOMAS RALPH WILKINS JR</v>
      </c>
    </row>
    <row r="781" spans="1:8" x14ac:dyDescent="0.25">
      <c r="A781" t="s">
        <v>369</v>
      </c>
      <c r="B781">
        <v>137908</v>
      </c>
      <c r="C781" s="3">
        <v>6</v>
      </c>
      <c r="D781" s="6">
        <v>44518</v>
      </c>
      <c r="E781" t="str">
        <f>"202111187265"</f>
        <v>202111187265</v>
      </c>
      <c r="F781" t="str">
        <f>"Miscel"</f>
        <v>Miscel</v>
      </c>
      <c r="G781" s="3">
        <v>6</v>
      </c>
      <c r="H781" t="str">
        <f>"PATRICK DAVID WILHELM"</f>
        <v>PATRICK DAVID WILHELM</v>
      </c>
    </row>
    <row r="782" spans="1:8" x14ac:dyDescent="0.25">
      <c r="A782" t="s">
        <v>370</v>
      </c>
      <c r="B782">
        <v>137909</v>
      </c>
      <c r="C782" s="3">
        <v>126</v>
      </c>
      <c r="D782" s="6">
        <v>44518</v>
      </c>
      <c r="E782" t="str">
        <f>"202111187266"</f>
        <v>202111187266</v>
      </c>
      <c r="F782" t="str">
        <f>"Misce"</f>
        <v>Misce</v>
      </c>
      <c r="G782" s="3">
        <v>126</v>
      </c>
      <c r="H782" t="str">
        <f>"CHARLOTTE JEAN WILHELM"</f>
        <v>CHARLOTTE JEAN WILHELM</v>
      </c>
    </row>
    <row r="783" spans="1:8" x14ac:dyDescent="0.25">
      <c r="A783" t="s">
        <v>371</v>
      </c>
      <c r="B783">
        <v>137910</v>
      </c>
      <c r="C783" s="3">
        <v>6</v>
      </c>
      <c r="D783" s="6">
        <v>44518</v>
      </c>
      <c r="E783" t="str">
        <f>"202111187267"</f>
        <v>202111187267</v>
      </c>
      <c r="F783" t="str">
        <f>"Miscella"</f>
        <v>Miscella</v>
      </c>
      <c r="G783" s="3">
        <v>6</v>
      </c>
      <c r="H783" t="str">
        <f>"KIMBERLY FORD WHITE"</f>
        <v>KIMBERLY FORD WHITE</v>
      </c>
    </row>
    <row r="784" spans="1:8" x14ac:dyDescent="0.25">
      <c r="A784" t="s">
        <v>372</v>
      </c>
      <c r="B784">
        <v>137911</v>
      </c>
      <c r="C784" s="3">
        <v>6</v>
      </c>
      <c r="D784" s="6">
        <v>44518</v>
      </c>
      <c r="E784" t="str">
        <f>"202111187268"</f>
        <v>202111187268</v>
      </c>
      <c r="F784" t="str">
        <f>"Miscellane"</f>
        <v>Miscellane</v>
      </c>
      <c r="G784" s="3">
        <v>6</v>
      </c>
      <c r="H784" t="str">
        <f>"KATHRYN KAY WELCH"</f>
        <v>KATHRYN KAY WELCH</v>
      </c>
    </row>
    <row r="785" spans="1:8" x14ac:dyDescent="0.25">
      <c r="A785" t="s">
        <v>373</v>
      </c>
      <c r="B785">
        <v>137912</v>
      </c>
      <c r="C785" s="3">
        <v>6</v>
      </c>
      <c r="D785" s="6">
        <v>44518</v>
      </c>
      <c r="E785" t="str">
        <f>"202111187269"</f>
        <v>202111187269</v>
      </c>
      <c r="F785" t="str">
        <f>"Miscellan"</f>
        <v>Miscellan</v>
      </c>
      <c r="G785" s="3">
        <v>6</v>
      </c>
      <c r="H785" t="str">
        <f>"RICHARD DUANE WEIR"</f>
        <v>RICHARD DUANE WEIR</v>
      </c>
    </row>
    <row r="786" spans="1:8" x14ac:dyDescent="0.25">
      <c r="A786" t="s">
        <v>374</v>
      </c>
      <c r="B786">
        <v>137913</v>
      </c>
      <c r="C786" s="3">
        <v>6</v>
      </c>
      <c r="D786" s="6">
        <v>44518</v>
      </c>
      <c r="E786" t="str">
        <f>"202111187270"</f>
        <v>202111187270</v>
      </c>
      <c r="F786" t="str">
        <f>"Misce"</f>
        <v>Misce</v>
      </c>
      <c r="G786" s="3">
        <v>6</v>
      </c>
      <c r="H786" t="str">
        <f>"CHARLES WASHINGTON III"</f>
        <v>CHARLES WASHINGTON III</v>
      </c>
    </row>
    <row r="787" spans="1:8" x14ac:dyDescent="0.25">
      <c r="A787" t="s">
        <v>375</v>
      </c>
      <c r="B787">
        <v>137914</v>
      </c>
      <c r="C787" s="3">
        <v>6</v>
      </c>
      <c r="D787" s="6">
        <v>44518</v>
      </c>
      <c r="E787" t="str">
        <f>"202111187271"</f>
        <v>202111187271</v>
      </c>
      <c r="F787" t="str">
        <f>"Misce"</f>
        <v>Misce</v>
      </c>
      <c r="G787" s="3">
        <v>6</v>
      </c>
      <c r="H787" t="str">
        <f>"DEBORAH BLUDAU WALLACE"</f>
        <v>DEBORAH BLUDAU WALLACE</v>
      </c>
    </row>
    <row r="788" spans="1:8" x14ac:dyDescent="0.25">
      <c r="A788" t="s">
        <v>376</v>
      </c>
      <c r="B788">
        <v>137915</v>
      </c>
      <c r="C788" s="3">
        <v>6</v>
      </c>
      <c r="D788" s="6">
        <v>44518</v>
      </c>
      <c r="E788" t="str">
        <f>"202111187272"</f>
        <v>202111187272</v>
      </c>
      <c r="F788" t="str">
        <f>"Miscell"</f>
        <v>Miscell</v>
      </c>
      <c r="G788" s="3">
        <v>6</v>
      </c>
      <c r="H788" t="str">
        <f>"HARVEY JOE VINKLAREK"</f>
        <v>HARVEY JOE VINKLAREK</v>
      </c>
    </row>
    <row r="789" spans="1:8" x14ac:dyDescent="0.25">
      <c r="A789" t="s">
        <v>377</v>
      </c>
      <c r="B789">
        <v>137916</v>
      </c>
      <c r="C789" s="3">
        <v>6</v>
      </c>
      <c r="D789" s="6">
        <v>44518</v>
      </c>
      <c r="E789" t="str">
        <f>"202111187273"</f>
        <v>202111187273</v>
      </c>
      <c r="F789" t="str">
        <f>""</f>
        <v/>
      </c>
      <c r="G789" s="3">
        <v>6</v>
      </c>
      <c r="H789" t="str">
        <f>"MARIA DEL ROCIO VILLEGAS RANGE"</f>
        <v>MARIA DEL ROCIO VILLEGAS RANGE</v>
      </c>
    </row>
    <row r="790" spans="1:8" x14ac:dyDescent="0.25">
      <c r="A790" t="s">
        <v>378</v>
      </c>
      <c r="B790">
        <v>137917</v>
      </c>
      <c r="C790" s="3">
        <v>6</v>
      </c>
      <c r="D790" s="6">
        <v>44518</v>
      </c>
      <c r="E790" t="str">
        <f>"202111187274"</f>
        <v>202111187274</v>
      </c>
      <c r="F790" t="str">
        <f>"Mi"</f>
        <v>Mi</v>
      </c>
      <c r="G790" s="3">
        <v>6</v>
      </c>
      <c r="H790" t="str">
        <f>"BENJAMIN ROBERT UNDERWOOD"</f>
        <v>BENJAMIN ROBERT UNDERWOOD</v>
      </c>
    </row>
    <row r="791" spans="1:8" x14ac:dyDescent="0.25">
      <c r="A791" t="s">
        <v>379</v>
      </c>
      <c r="B791">
        <v>137918</v>
      </c>
      <c r="C791" s="3">
        <v>6</v>
      </c>
      <c r="D791" s="6">
        <v>44518</v>
      </c>
      <c r="E791" t="str">
        <f>"202111187275"</f>
        <v>202111187275</v>
      </c>
      <c r="F791" t="str">
        <f>"Miscella"</f>
        <v>Miscella</v>
      </c>
      <c r="G791" s="3">
        <v>6</v>
      </c>
      <c r="H791" t="str">
        <f>"RONALD WAYNE TROYER"</f>
        <v>RONALD WAYNE TROYER</v>
      </c>
    </row>
    <row r="792" spans="1:8" x14ac:dyDescent="0.25">
      <c r="A792" t="s">
        <v>380</v>
      </c>
      <c r="B792">
        <v>137919</v>
      </c>
      <c r="C792" s="3">
        <v>6</v>
      </c>
      <c r="D792" s="6">
        <v>44518</v>
      </c>
      <c r="E792" t="str">
        <f>"202111187276"</f>
        <v>202111187276</v>
      </c>
      <c r="F792" t="str">
        <f>"Misce"</f>
        <v>Misce</v>
      </c>
      <c r="G792" s="3">
        <v>6</v>
      </c>
      <c r="H792" t="str">
        <f>"YISSELL ZULEIKA TORRES"</f>
        <v>YISSELL ZULEIKA TORRES</v>
      </c>
    </row>
    <row r="793" spans="1:8" x14ac:dyDescent="0.25">
      <c r="A793" t="s">
        <v>381</v>
      </c>
      <c r="B793">
        <v>137920</v>
      </c>
      <c r="C793" s="3">
        <v>6</v>
      </c>
      <c r="D793" s="6">
        <v>44518</v>
      </c>
      <c r="E793" t="str">
        <f>"202111187277"</f>
        <v>202111187277</v>
      </c>
      <c r="F793" t="str">
        <f>"Miscella"</f>
        <v>Miscella</v>
      </c>
      <c r="G793" s="3">
        <v>6</v>
      </c>
      <c r="H793" t="str">
        <f>"ROBYN DEANNE TORRES"</f>
        <v>ROBYN DEANNE TORRES</v>
      </c>
    </row>
    <row r="794" spans="1:8" x14ac:dyDescent="0.25">
      <c r="A794" t="s">
        <v>382</v>
      </c>
      <c r="B794">
        <v>137921</v>
      </c>
      <c r="C794" s="3">
        <v>6</v>
      </c>
      <c r="D794" s="6">
        <v>44518</v>
      </c>
      <c r="E794" t="str">
        <f>"202111187278"</f>
        <v>202111187278</v>
      </c>
      <c r="F794" t="str">
        <f>"Misce"</f>
        <v>Misce</v>
      </c>
      <c r="G794" s="3">
        <v>6</v>
      </c>
      <c r="H794" t="str">
        <f>"JENNIFER STARR SUNDEEN"</f>
        <v>JENNIFER STARR SUNDEEN</v>
      </c>
    </row>
    <row r="795" spans="1:8" x14ac:dyDescent="0.25">
      <c r="A795" t="s">
        <v>383</v>
      </c>
      <c r="B795">
        <v>137922</v>
      </c>
      <c r="C795" s="3">
        <v>6</v>
      </c>
      <c r="D795" s="6">
        <v>44518</v>
      </c>
      <c r="E795" t="str">
        <f>"202111187279"</f>
        <v>202111187279</v>
      </c>
      <c r="F795" t="str">
        <f>"Miscellane"</f>
        <v>Miscellane</v>
      </c>
      <c r="G795" s="3">
        <v>6</v>
      </c>
      <c r="H795" t="str">
        <f>"ANDREW ALEN SMITH"</f>
        <v>ANDREW ALEN SMITH</v>
      </c>
    </row>
    <row r="796" spans="1:8" x14ac:dyDescent="0.25">
      <c r="A796" t="s">
        <v>384</v>
      </c>
      <c r="B796">
        <v>137923</v>
      </c>
      <c r="C796" s="3">
        <v>6</v>
      </c>
      <c r="D796" s="6">
        <v>44518</v>
      </c>
      <c r="E796" t="str">
        <f>"202111187280"</f>
        <v>202111187280</v>
      </c>
      <c r="F796" t="str">
        <f>"Misce"</f>
        <v>Misce</v>
      </c>
      <c r="G796" s="3">
        <v>6</v>
      </c>
      <c r="H796" t="str">
        <f>"THERESA FLORES SIMMONS"</f>
        <v>THERESA FLORES SIMMONS</v>
      </c>
    </row>
    <row r="797" spans="1:8" x14ac:dyDescent="0.25">
      <c r="A797" t="s">
        <v>385</v>
      </c>
      <c r="B797">
        <v>137924</v>
      </c>
      <c r="C797" s="3">
        <v>6</v>
      </c>
      <c r="D797" s="6">
        <v>44518</v>
      </c>
      <c r="E797" t="str">
        <f>"202111187281"</f>
        <v>202111187281</v>
      </c>
      <c r="F797" t="str">
        <f>"Misce"</f>
        <v>Misce</v>
      </c>
      <c r="G797" s="3">
        <v>6</v>
      </c>
      <c r="H797" t="str">
        <f>"RENEE BROUSSARD SEGURA"</f>
        <v>RENEE BROUSSARD SEGURA</v>
      </c>
    </row>
    <row r="798" spans="1:8" x14ac:dyDescent="0.25">
      <c r="A798" t="s">
        <v>386</v>
      </c>
      <c r="B798">
        <v>137925</v>
      </c>
      <c r="C798" s="3">
        <v>126</v>
      </c>
      <c r="D798" s="6">
        <v>44518</v>
      </c>
      <c r="E798" t="str">
        <f>"202111187282"</f>
        <v>202111187282</v>
      </c>
      <c r="F798" t="str">
        <f>"Misce"</f>
        <v>Misce</v>
      </c>
      <c r="G798" s="3">
        <v>126</v>
      </c>
      <c r="H798" t="str">
        <f>"ALFONSO FLORES SALDANA"</f>
        <v>ALFONSO FLORES SALDANA</v>
      </c>
    </row>
    <row r="799" spans="1:8" x14ac:dyDescent="0.25">
      <c r="A799" t="s">
        <v>387</v>
      </c>
      <c r="B799">
        <v>137926</v>
      </c>
      <c r="C799" s="3">
        <v>6</v>
      </c>
      <c r="D799" s="6">
        <v>44518</v>
      </c>
      <c r="E799" t="str">
        <f>"202111187283"</f>
        <v>202111187283</v>
      </c>
      <c r="F799" t="str">
        <f>"Misce"</f>
        <v>Misce</v>
      </c>
      <c r="G799" s="3">
        <v>6</v>
      </c>
      <c r="H799" t="str">
        <f>"DOUGLAS CHARLES ROGERS"</f>
        <v>DOUGLAS CHARLES ROGERS</v>
      </c>
    </row>
    <row r="800" spans="1:8" x14ac:dyDescent="0.25">
      <c r="A800" t="s">
        <v>388</v>
      </c>
      <c r="B800">
        <v>137927</v>
      </c>
      <c r="C800" s="3">
        <v>6</v>
      </c>
      <c r="D800" s="6">
        <v>44518</v>
      </c>
      <c r="E800" t="str">
        <f>"202111187284"</f>
        <v>202111187284</v>
      </c>
      <c r="F800" t="str">
        <f>"Miscella"</f>
        <v>Miscella</v>
      </c>
      <c r="G800" s="3">
        <v>6</v>
      </c>
      <c r="H800" t="str">
        <f>"SAVAS SANCHO RIVERA"</f>
        <v>SAVAS SANCHO RIVERA</v>
      </c>
    </row>
    <row r="801" spans="1:8" x14ac:dyDescent="0.25">
      <c r="A801" t="s">
        <v>389</v>
      </c>
      <c r="B801">
        <v>137928</v>
      </c>
      <c r="C801" s="3">
        <v>126</v>
      </c>
      <c r="D801" s="6">
        <v>44518</v>
      </c>
      <c r="E801" t="str">
        <f>"202111187285"</f>
        <v>202111187285</v>
      </c>
      <c r="F801" t="str">
        <f>"Miscellan"</f>
        <v>Miscellan</v>
      </c>
      <c r="G801" s="3">
        <v>126</v>
      </c>
      <c r="H801" t="str">
        <f>"CODY DEAN REYNOLDS"</f>
        <v>CODY DEAN REYNOLDS</v>
      </c>
    </row>
    <row r="802" spans="1:8" x14ac:dyDescent="0.25">
      <c r="A802" t="s">
        <v>390</v>
      </c>
      <c r="B802">
        <v>137929</v>
      </c>
      <c r="C802" s="3">
        <v>6</v>
      </c>
      <c r="D802" s="6">
        <v>44518</v>
      </c>
      <c r="E802" t="str">
        <f>"202111187286"</f>
        <v>202111187286</v>
      </c>
      <c r="F802" t="str">
        <f>"Miscel"</f>
        <v>Miscel</v>
      </c>
      <c r="G802" s="3">
        <v>6</v>
      </c>
      <c r="H802" t="str">
        <f>"JEFFREY RUSSELL KRITZ"</f>
        <v>JEFFREY RUSSELL KRITZ</v>
      </c>
    </row>
    <row r="803" spans="1:8" x14ac:dyDescent="0.25">
      <c r="A803" t="s">
        <v>391</v>
      </c>
      <c r="B803">
        <v>137930</v>
      </c>
      <c r="C803" s="3">
        <v>6</v>
      </c>
      <c r="D803" s="6">
        <v>44518</v>
      </c>
      <c r="E803" t="str">
        <f>"202111187287"</f>
        <v>202111187287</v>
      </c>
      <c r="F803" t="str">
        <f>"Misc"</f>
        <v>Misc</v>
      </c>
      <c r="G803" s="3">
        <v>6</v>
      </c>
      <c r="H803" t="str">
        <f>"GINGER MICHELE KIRKLAND"</f>
        <v>GINGER MICHELE KIRKLAND</v>
      </c>
    </row>
    <row r="804" spans="1:8" x14ac:dyDescent="0.25">
      <c r="A804" t="s">
        <v>392</v>
      </c>
      <c r="B804">
        <v>137931</v>
      </c>
      <c r="C804" s="3">
        <v>6</v>
      </c>
      <c r="D804" s="6">
        <v>44518</v>
      </c>
      <c r="E804" t="str">
        <f>"202111187288"</f>
        <v>202111187288</v>
      </c>
      <c r="F804" t="str">
        <f>"Miscell"</f>
        <v>Miscell</v>
      </c>
      <c r="G804" s="3">
        <v>6</v>
      </c>
      <c r="H804" t="str">
        <f>"MICHAEL GLEN KINSLOW"</f>
        <v>MICHAEL GLEN KINSLOW</v>
      </c>
    </row>
    <row r="805" spans="1:8" x14ac:dyDescent="0.25">
      <c r="A805" t="s">
        <v>393</v>
      </c>
      <c r="B805">
        <v>137932</v>
      </c>
      <c r="C805" s="3">
        <v>6</v>
      </c>
      <c r="D805" s="6">
        <v>44518</v>
      </c>
      <c r="E805" t="str">
        <f>"202111187289"</f>
        <v>202111187289</v>
      </c>
      <c r="F805" t="str">
        <f>"Miscella"</f>
        <v>Miscella</v>
      </c>
      <c r="G805" s="3">
        <v>6</v>
      </c>
      <c r="H805" t="str">
        <f>"AMANDA LEE ANN DIAZ"</f>
        <v>AMANDA LEE ANN DIAZ</v>
      </c>
    </row>
    <row r="806" spans="1:8" x14ac:dyDescent="0.25">
      <c r="A806" t="s">
        <v>394</v>
      </c>
      <c r="B806">
        <v>137933</v>
      </c>
      <c r="C806" s="3">
        <v>6</v>
      </c>
      <c r="D806" s="6">
        <v>44518</v>
      </c>
      <c r="E806" t="str">
        <f>"202111187290"</f>
        <v>202111187290</v>
      </c>
      <c r="F806" t="str">
        <f>"Miscella"</f>
        <v>Miscella</v>
      </c>
      <c r="G806" s="3">
        <v>6</v>
      </c>
      <c r="H806" t="str">
        <f>"DANNY RAY CULLUM JR"</f>
        <v>DANNY RAY CULLUM JR</v>
      </c>
    </row>
    <row r="807" spans="1:8" x14ac:dyDescent="0.25">
      <c r="A807" t="s">
        <v>395</v>
      </c>
      <c r="B807">
        <v>137934</v>
      </c>
      <c r="C807" s="3">
        <v>6</v>
      </c>
      <c r="D807" s="6">
        <v>44518</v>
      </c>
      <c r="E807" t="str">
        <f>"202111187291"</f>
        <v>202111187291</v>
      </c>
      <c r="F807" t="str">
        <f>"Miscellane"</f>
        <v>Miscellane</v>
      </c>
      <c r="G807" s="3">
        <v>6</v>
      </c>
      <c r="H807" t="str">
        <f>"DIEGO CRUZ LUJANO"</f>
        <v>DIEGO CRUZ LUJANO</v>
      </c>
    </row>
    <row r="808" spans="1:8" x14ac:dyDescent="0.25">
      <c r="A808" t="s">
        <v>396</v>
      </c>
      <c r="B808">
        <v>137935</v>
      </c>
      <c r="C808" s="3">
        <v>6</v>
      </c>
      <c r="D808" s="6">
        <v>44518</v>
      </c>
      <c r="E808" t="str">
        <f>"202111187292"</f>
        <v>202111187292</v>
      </c>
      <c r="F808" t="str">
        <f>"Miscellaneous"</f>
        <v>Miscellaneous</v>
      </c>
      <c r="G808" s="3">
        <v>6</v>
      </c>
      <c r="H808" t="str">
        <f>"DAVID P CRUDEN"</f>
        <v>DAVID P CRUDEN</v>
      </c>
    </row>
    <row r="809" spans="1:8" x14ac:dyDescent="0.25">
      <c r="A809" t="s">
        <v>397</v>
      </c>
      <c r="B809">
        <v>137936</v>
      </c>
      <c r="C809" s="3">
        <v>6</v>
      </c>
      <c r="D809" s="6">
        <v>44518</v>
      </c>
      <c r="E809" t="str">
        <f>"202111187293"</f>
        <v>202111187293</v>
      </c>
      <c r="F809" t="str">
        <f>"Misc"</f>
        <v>Misc</v>
      </c>
      <c r="G809" s="3">
        <v>6</v>
      </c>
      <c r="H809" t="str">
        <f>"SAMANTHA PAIGE CRADDOCK"</f>
        <v>SAMANTHA PAIGE CRADDOCK</v>
      </c>
    </row>
    <row r="810" spans="1:8" x14ac:dyDescent="0.25">
      <c r="A810" t="s">
        <v>398</v>
      </c>
      <c r="B810">
        <v>137937</v>
      </c>
      <c r="C810" s="3">
        <v>6</v>
      </c>
      <c r="D810" s="6">
        <v>44518</v>
      </c>
      <c r="E810" t="str">
        <f>"202111187294"</f>
        <v>202111187294</v>
      </c>
      <c r="F810" t="str">
        <f>"Miscella"</f>
        <v>Miscella</v>
      </c>
      <c r="G810" s="3">
        <v>6</v>
      </c>
      <c r="H810" t="str">
        <f>"RAY CHARLES COOK JR"</f>
        <v>RAY CHARLES COOK JR</v>
      </c>
    </row>
    <row r="811" spans="1:8" x14ac:dyDescent="0.25">
      <c r="A811" t="s">
        <v>399</v>
      </c>
      <c r="B811">
        <v>137938</v>
      </c>
      <c r="C811" s="3">
        <v>126</v>
      </c>
      <c r="D811" s="6">
        <v>44518</v>
      </c>
      <c r="E811" t="str">
        <f>"202111187295"</f>
        <v>202111187295</v>
      </c>
      <c r="F811" t="str">
        <f>"Miscell"</f>
        <v>Miscell</v>
      </c>
      <c r="G811" s="3">
        <v>126</v>
      </c>
      <c r="H811" t="str">
        <f>"CATHERINE CAYE CLARK"</f>
        <v>CATHERINE CAYE CLARK</v>
      </c>
    </row>
    <row r="812" spans="1:8" x14ac:dyDescent="0.25">
      <c r="A812" t="s">
        <v>400</v>
      </c>
      <c r="B812">
        <v>137939</v>
      </c>
      <c r="C812" s="3">
        <v>6</v>
      </c>
      <c r="D812" s="6">
        <v>44518</v>
      </c>
      <c r="E812" t="str">
        <f>"202111187296"</f>
        <v>202111187296</v>
      </c>
      <c r="F812" t="str">
        <f>"Misc"</f>
        <v>Misc</v>
      </c>
      <c r="G812" s="3">
        <v>6</v>
      </c>
      <c r="H812" t="str">
        <f>"JANET LEA CHESSER-BLISS"</f>
        <v>JANET LEA CHESSER-BLISS</v>
      </c>
    </row>
    <row r="813" spans="1:8" x14ac:dyDescent="0.25">
      <c r="A813" t="s">
        <v>401</v>
      </c>
      <c r="B813">
        <v>137940</v>
      </c>
      <c r="C813" s="3">
        <v>6</v>
      </c>
      <c r="D813" s="6">
        <v>44518</v>
      </c>
      <c r="E813" t="str">
        <f>"202111187297"</f>
        <v>202111187297</v>
      </c>
      <c r="F813" t="str">
        <f>"Mi"</f>
        <v>Mi</v>
      </c>
      <c r="G813" s="3">
        <v>6</v>
      </c>
      <c r="H813" t="str">
        <f>"MICHELLE CHRISTINE CHAPIN"</f>
        <v>MICHELLE CHRISTINE CHAPIN</v>
      </c>
    </row>
    <row r="814" spans="1:8" x14ac:dyDescent="0.25">
      <c r="A814" t="s">
        <v>402</v>
      </c>
      <c r="B814">
        <v>137941</v>
      </c>
      <c r="C814" s="3">
        <v>6</v>
      </c>
      <c r="D814" s="6">
        <v>44518</v>
      </c>
      <c r="E814" t="str">
        <f>"202111187298"</f>
        <v>202111187298</v>
      </c>
      <c r="F814" t="str">
        <f>"Misc"</f>
        <v>Misc</v>
      </c>
      <c r="G814" s="3">
        <v>6</v>
      </c>
      <c r="H814" t="str">
        <f>"CORDILIA MARY CHAMBLESS"</f>
        <v>CORDILIA MARY CHAMBLESS</v>
      </c>
    </row>
    <row r="815" spans="1:8" x14ac:dyDescent="0.25">
      <c r="A815" t="s">
        <v>403</v>
      </c>
      <c r="B815">
        <v>137942</v>
      </c>
      <c r="C815" s="3">
        <v>6</v>
      </c>
      <c r="D815" s="6">
        <v>44518</v>
      </c>
      <c r="E815" t="str">
        <f>"202111187299"</f>
        <v>202111187299</v>
      </c>
      <c r="F815" t="str">
        <f>"Miscel"</f>
        <v>Miscel</v>
      </c>
      <c r="G815" s="3">
        <v>6</v>
      </c>
      <c r="H815" t="str">
        <f>"ASHTON EUGENE BULLARD"</f>
        <v>ASHTON EUGENE BULLARD</v>
      </c>
    </row>
    <row r="816" spans="1:8" x14ac:dyDescent="0.25">
      <c r="A816" t="s">
        <v>404</v>
      </c>
      <c r="B816">
        <v>137943</v>
      </c>
      <c r="C816" s="3">
        <v>6</v>
      </c>
      <c r="D816" s="6">
        <v>44518</v>
      </c>
      <c r="E816" t="str">
        <f>"202111187300"</f>
        <v>202111187300</v>
      </c>
      <c r="F816" t="str">
        <f>"Misce"</f>
        <v>Misce</v>
      </c>
      <c r="G816" s="3">
        <v>6</v>
      </c>
      <c r="H816" t="str">
        <f>"ERIC PETER BUCKLAND JR"</f>
        <v>ERIC PETER BUCKLAND JR</v>
      </c>
    </row>
    <row r="817" spans="1:8" x14ac:dyDescent="0.25">
      <c r="A817" t="s">
        <v>405</v>
      </c>
      <c r="B817">
        <v>137944</v>
      </c>
      <c r="C817" s="3">
        <v>6</v>
      </c>
      <c r="D817" s="6">
        <v>44518</v>
      </c>
      <c r="E817" t="str">
        <f>"202111187301"</f>
        <v>202111187301</v>
      </c>
      <c r="F817" t="str">
        <f>"Miscellan"</f>
        <v>Miscellan</v>
      </c>
      <c r="G817" s="3">
        <v>6</v>
      </c>
      <c r="H817" t="str">
        <f>"JAIME LEIGH BRYNIE"</f>
        <v>JAIME LEIGH BRYNIE</v>
      </c>
    </row>
    <row r="818" spans="1:8" x14ac:dyDescent="0.25">
      <c r="A818" t="s">
        <v>406</v>
      </c>
      <c r="B818">
        <v>137945</v>
      </c>
      <c r="C818" s="3">
        <v>6</v>
      </c>
      <c r="D818" s="6">
        <v>44518</v>
      </c>
      <c r="E818" t="str">
        <f>"202111187302"</f>
        <v>202111187302</v>
      </c>
      <c r="F818" t="str">
        <f>"Miscell"</f>
        <v>Miscell</v>
      </c>
      <c r="G818" s="3">
        <v>6</v>
      </c>
      <c r="H818" t="str">
        <f>"CHRISTOPHER C BRUDER"</f>
        <v>CHRISTOPHER C BRUDER</v>
      </c>
    </row>
    <row r="819" spans="1:8" x14ac:dyDescent="0.25">
      <c r="A819" t="s">
        <v>407</v>
      </c>
      <c r="B819">
        <v>137946</v>
      </c>
      <c r="C819" s="3">
        <v>6</v>
      </c>
      <c r="D819" s="6">
        <v>44518</v>
      </c>
      <c r="E819" t="str">
        <f>"202111187303"</f>
        <v>202111187303</v>
      </c>
      <c r="F819" t="str">
        <f>"Miscellan"</f>
        <v>Miscellan</v>
      </c>
      <c r="G819" s="3">
        <v>6</v>
      </c>
      <c r="H819" t="str">
        <f>"JUDITH SUSEN BROCK"</f>
        <v>JUDITH SUSEN BROCK</v>
      </c>
    </row>
    <row r="820" spans="1:8" x14ac:dyDescent="0.25">
      <c r="A820" t="s">
        <v>408</v>
      </c>
      <c r="B820">
        <v>137947</v>
      </c>
      <c r="C820" s="3">
        <v>6</v>
      </c>
      <c r="D820" s="6">
        <v>44518</v>
      </c>
      <c r="E820" t="str">
        <f>"202111187304"</f>
        <v>202111187304</v>
      </c>
      <c r="F820" t="str">
        <f>"Miscellan"</f>
        <v>Miscellan</v>
      </c>
      <c r="G820" s="3">
        <v>6</v>
      </c>
      <c r="H820" t="str">
        <f>"MATTHEW KARL BRADE"</f>
        <v>MATTHEW KARL BRADE</v>
      </c>
    </row>
    <row r="821" spans="1:8" x14ac:dyDescent="0.25">
      <c r="A821" t="s">
        <v>409</v>
      </c>
      <c r="B821">
        <v>137948</v>
      </c>
      <c r="C821" s="3">
        <v>6</v>
      </c>
      <c r="D821" s="6">
        <v>44518</v>
      </c>
      <c r="E821" t="str">
        <f>"202111187305"</f>
        <v>202111187305</v>
      </c>
      <c r="F821" t="str">
        <f>"Misc"</f>
        <v>Misc</v>
      </c>
      <c r="G821" s="3">
        <v>6</v>
      </c>
      <c r="H821" t="str">
        <f>"RACHEL MICHELLE BOETHEL"</f>
        <v>RACHEL MICHELLE BOETHEL</v>
      </c>
    </row>
    <row r="822" spans="1:8" x14ac:dyDescent="0.25">
      <c r="A822" t="s">
        <v>410</v>
      </c>
      <c r="B822">
        <v>137949</v>
      </c>
      <c r="C822" s="3">
        <v>6</v>
      </c>
      <c r="D822" s="6">
        <v>44518</v>
      </c>
      <c r="E822" t="str">
        <f>"202111187306"</f>
        <v>202111187306</v>
      </c>
      <c r="F822" t="str">
        <f>"Miscellan"</f>
        <v>Miscellan</v>
      </c>
      <c r="G822" s="3">
        <v>6</v>
      </c>
      <c r="H822" t="str">
        <f>"BENJAMIN LEE BETAK"</f>
        <v>BENJAMIN LEE BETAK</v>
      </c>
    </row>
    <row r="823" spans="1:8" x14ac:dyDescent="0.25">
      <c r="A823" t="s">
        <v>411</v>
      </c>
      <c r="B823">
        <v>137950</v>
      </c>
      <c r="C823" s="3">
        <v>6</v>
      </c>
      <c r="D823" s="6">
        <v>44518</v>
      </c>
      <c r="E823" t="str">
        <f>"202111187307"</f>
        <v>202111187307</v>
      </c>
      <c r="F823" t="str">
        <f>"Miscellaneous"</f>
        <v>Miscellaneous</v>
      </c>
      <c r="G823" s="3">
        <v>6</v>
      </c>
      <c r="H823" t="str">
        <f>"ANGELA A BERG"</f>
        <v>ANGELA A BERG</v>
      </c>
    </row>
    <row r="824" spans="1:8" x14ac:dyDescent="0.25">
      <c r="A824" t="s">
        <v>412</v>
      </c>
      <c r="B824">
        <v>137951</v>
      </c>
      <c r="C824" s="3">
        <v>6</v>
      </c>
      <c r="D824" s="6">
        <v>44518</v>
      </c>
      <c r="E824" t="str">
        <f>"202111187308"</f>
        <v>202111187308</v>
      </c>
      <c r="F824" t="str">
        <f>"Misc"</f>
        <v>Misc</v>
      </c>
      <c r="G824" s="3">
        <v>6</v>
      </c>
      <c r="H824" t="str">
        <f>"DELMAR LOUIS BENNETT JR"</f>
        <v>DELMAR LOUIS BENNETT JR</v>
      </c>
    </row>
    <row r="825" spans="1:8" x14ac:dyDescent="0.25">
      <c r="A825" t="s">
        <v>413</v>
      </c>
      <c r="B825">
        <v>137952</v>
      </c>
      <c r="C825" s="3">
        <v>6</v>
      </c>
      <c r="D825" s="6">
        <v>44518</v>
      </c>
      <c r="E825" t="str">
        <f>"202111187309"</f>
        <v>202111187309</v>
      </c>
      <c r="F825" t="str">
        <f>"Miscel"</f>
        <v>Miscel</v>
      </c>
      <c r="G825" s="3">
        <v>6</v>
      </c>
      <c r="H825" t="str">
        <f>"EDWARD EUGENE BENFORD"</f>
        <v>EDWARD EUGENE BENFORD</v>
      </c>
    </row>
    <row r="826" spans="1:8" x14ac:dyDescent="0.25">
      <c r="A826" t="s">
        <v>414</v>
      </c>
      <c r="B826">
        <v>137953</v>
      </c>
      <c r="C826" s="3">
        <v>6</v>
      </c>
      <c r="D826" s="6">
        <v>44518</v>
      </c>
      <c r="E826" t="str">
        <f>"202111187310"</f>
        <v>202111187310</v>
      </c>
      <c r="F826" t="str">
        <f>"Miscellan"</f>
        <v>Miscellan</v>
      </c>
      <c r="G826" s="3">
        <v>6</v>
      </c>
      <c r="H826" t="str">
        <f>"AALIYAH ALMA ARIZA"</f>
        <v>AALIYAH ALMA ARIZA</v>
      </c>
    </row>
    <row r="827" spans="1:8" x14ac:dyDescent="0.25">
      <c r="A827" t="s">
        <v>415</v>
      </c>
      <c r="B827">
        <v>137954</v>
      </c>
      <c r="C827" s="3">
        <v>6</v>
      </c>
      <c r="D827" s="6">
        <v>44518</v>
      </c>
      <c r="E827" t="str">
        <f>"202111187311"</f>
        <v>202111187311</v>
      </c>
      <c r="F827" t="str">
        <f>"Miscellaneou"</f>
        <v>Miscellaneou</v>
      </c>
      <c r="G827" s="3">
        <v>6</v>
      </c>
      <c r="H827" t="str">
        <f>"DAVID ALONZO JR"</f>
        <v>DAVID ALONZO JR</v>
      </c>
    </row>
    <row r="828" spans="1:8" x14ac:dyDescent="0.25">
      <c r="A828" t="s">
        <v>416</v>
      </c>
      <c r="B828">
        <v>137955</v>
      </c>
      <c r="C828" s="3">
        <v>6</v>
      </c>
      <c r="D828" s="6">
        <v>44518</v>
      </c>
      <c r="E828" t="str">
        <f>"202111187312"</f>
        <v>202111187312</v>
      </c>
      <c r="F828" t="str">
        <f>"Mis"</f>
        <v>Mis</v>
      </c>
      <c r="G828" s="3">
        <v>6</v>
      </c>
      <c r="H828" t="str">
        <f>"WILLIAM FRANCES DIETLEIN"</f>
        <v>WILLIAM FRANCES DIETLEIN</v>
      </c>
    </row>
    <row r="829" spans="1:8" x14ac:dyDescent="0.25">
      <c r="A829" t="s">
        <v>417</v>
      </c>
      <c r="B829">
        <v>137956</v>
      </c>
      <c r="C829" s="3">
        <v>6</v>
      </c>
      <c r="D829" s="6">
        <v>44518</v>
      </c>
      <c r="E829" t="str">
        <f>"202111187313"</f>
        <v>202111187313</v>
      </c>
      <c r="F829" t="str">
        <f>"Miscell"</f>
        <v>Miscell</v>
      </c>
      <c r="G829" s="3">
        <v>6</v>
      </c>
      <c r="H829" t="str">
        <f>"STEPHEN BRUCE WRIGHT"</f>
        <v>STEPHEN BRUCE WRIGHT</v>
      </c>
    </row>
    <row r="830" spans="1:8" x14ac:dyDescent="0.25">
      <c r="A830" t="s">
        <v>418</v>
      </c>
      <c r="B830">
        <v>137957</v>
      </c>
      <c r="C830" s="3">
        <v>126</v>
      </c>
      <c r="D830" s="6">
        <v>44518</v>
      </c>
      <c r="E830" t="str">
        <f>"202111187314"</f>
        <v>202111187314</v>
      </c>
      <c r="F830" t="str">
        <f>"Mis"</f>
        <v>Mis</v>
      </c>
      <c r="G830" s="3">
        <v>126</v>
      </c>
      <c r="H830" t="str">
        <f>"HUNTER ALEXANDER DISMUKE"</f>
        <v>HUNTER ALEXANDER DISMUKE</v>
      </c>
    </row>
    <row r="831" spans="1:8" x14ac:dyDescent="0.25">
      <c r="A831" t="s">
        <v>419</v>
      </c>
      <c r="B831">
        <v>137958</v>
      </c>
      <c r="C831" s="3">
        <v>6</v>
      </c>
      <c r="D831" s="6">
        <v>44518</v>
      </c>
      <c r="E831" t="str">
        <f>"202111187315"</f>
        <v>202111187315</v>
      </c>
      <c r="F831" t="str">
        <f>"Miscellaneous"</f>
        <v>Miscellaneous</v>
      </c>
      <c r="G831" s="3">
        <v>6</v>
      </c>
      <c r="H831" t="str">
        <f>"TINA JEAN DYE"</f>
        <v>TINA JEAN DYE</v>
      </c>
    </row>
    <row r="832" spans="1:8" x14ac:dyDescent="0.25">
      <c r="A832" t="s">
        <v>420</v>
      </c>
      <c r="B832">
        <v>137959</v>
      </c>
      <c r="C832" s="3">
        <v>6</v>
      </c>
      <c r="D832" s="6">
        <v>44518</v>
      </c>
      <c r="E832" t="str">
        <f>"202111187316"</f>
        <v>202111187316</v>
      </c>
      <c r="F832" t="str">
        <f>"Miscellan"</f>
        <v>Miscellan</v>
      </c>
      <c r="G832" s="3">
        <v>6</v>
      </c>
      <c r="H832" t="str">
        <f>"SAPPHIRE SUE KIEFT"</f>
        <v>SAPPHIRE SUE KIEFT</v>
      </c>
    </row>
    <row r="833" spans="1:8" x14ac:dyDescent="0.25">
      <c r="A833" t="s">
        <v>421</v>
      </c>
      <c r="B833">
        <v>137960</v>
      </c>
      <c r="C833" s="3">
        <v>6</v>
      </c>
      <c r="D833" s="6">
        <v>44518</v>
      </c>
      <c r="E833" t="str">
        <f>"202111187317"</f>
        <v>202111187317</v>
      </c>
      <c r="F833" t="str">
        <f>"M"</f>
        <v>M</v>
      </c>
      <c r="G833" s="3">
        <v>6</v>
      </c>
      <c r="H833" t="str">
        <f>"WALTER LAWRENCE KESSLER JR"</f>
        <v>WALTER LAWRENCE KESSLER JR</v>
      </c>
    </row>
    <row r="834" spans="1:8" x14ac:dyDescent="0.25">
      <c r="A834" t="s">
        <v>422</v>
      </c>
      <c r="B834">
        <v>137961</v>
      </c>
      <c r="C834" s="3">
        <v>6</v>
      </c>
      <c r="D834" s="6">
        <v>44518</v>
      </c>
      <c r="E834" t="str">
        <f>"202111187318"</f>
        <v>202111187318</v>
      </c>
      <c r="F834" t="str">
        <f>"Miscellaneous"</f>
        <v>Miscellaneous</v>
      </c>
      <c r="G834" s="3">
        <v>6</v>
      </c>
      <c r="H834" t="str">
        <f>"JOHN KENNETT"</f>
        <v>JOHN KENNETT</v>
      </c>
    </row>
    <row r="835" spans="1:8" x14ac:dyDescent="0.25">
      <c r="A835" t="s">
        <v>423</v>
      </c>
      <c r="B835">
        <v>137962</v>
      </c>
      <c r="C835" s="3">
        <v>6</v>
      </c>
      <c r="D835" s="6">
        <v>44518</v>
      </c>
      <c r="E835" t="str">
        <f>"202111187319"</f>
        <v>202111187319</v>
      </c>
      <c r="F835" t="str">
        <f>"Misce"</f>
        <v>Misce</v>
      </c>
      <c r="G835" s="3">
        <v>6</v>
      </c>
      <c r="H835" t="str">
        <f>"PHILIP WILLIAM JOHNSON"</f>
        <v>PHILIP WILLIAM JOHNSON</v>
      </c>
    </row>
    <row r="836" spans="1:8" x14ac:dyDescent="0.25">
      <c r="A836" t="s">
        <v>424</v>
      </c>
      <c r="B836">
        <v>137963</v>
      </c>
      <c r="C836" s="3">
        <v>6</v>
      </c>
      <c r="D836" s="6">
        <v>44518</v>
      </c>
      <c r="E836" t="str">
        <f>"202111187320"</f>
        <v>202111187320</v>
      </c>
      <c r="F836" t="str">
        <f>"Miscella"</f>
        <v>Miscella</v>
      </c>
      <c r="G836" s="3">
        <v>6</v>
      </c>
      <c r="H836" t="str">
        <f>"ANDREW DUSTIN HURST"</f>
        <v>ANDREW DUSTIN HURST</v>
      </c>
    </row>
    <row r="837" spans="1:8" x14ac:dyDescent="0.25">
      <c r="A837" t="s">
        <v>425</v>
      </c>
      <c r="B837">
        <v>137964</v>
      </c>
      <c r="C837" s="3">
        <v>6</v>
      </c>
      <c r="D837" s="6">
        <v>44518</v>
      </c>
      <c r="E837" t="str">
        <f>"202111187321"</f>
        <v>202111187321</v>
      </c>
      <c r="F837" t="str">
        <f>"Miscel"</f>
        <v>Miscel</v>
      </c>
      <c r="G837" s="3">
        <v>6</v>
      </c>
      <c r="H837" t="str">
        <f>"AMANDA BOYDLIN HUDSON"</f>
        <v>AMANDA BOYDLIN HUDSON</v>
      </c>
    </row>
    <row r="838" spans="1:8" x14ac:dyDescent="0.25">
      <c r="A838" t="s">
        <v>426</v>
      </c>
      <c r="B838">
        <v>137965</v>
      </c>
      <c r="C838" s="3">
        <v>6</v>
      </c>
      <c r="D838" s="6">
        <v>44518</v>
      </c>
      <c r="E838" t="str">
        <f>"202111187322"</f>
        <v>202111187322</v>
      </c>
      <c r="F838" t="str">
        <f>"Miscellane"</f>
        <v>Miscellane</v>
      </c>
      <c r="G838" s="3">
        <v>6</v>
      </c>
      <c r="H838" t="str">
        <f>"KELLY RENEE HUBER"</f>
        <v>KELLY RENEE HUBER</v>
      </c>
    </row>
    <row r="839" spans="1:8" x14ac:dyDescent="0.25">
      <c r="A839" t="s">
        <v>427</v>
      </c>
      <c r="B839">
        <v>137966</v>
      </c>
      <c r="C839" s="3">
        <v>6</v>
      </c>
      <c r="D839" s="6">
        <v>44518</v>
      </c>
      <c r="E839" t="str">
        <f>"202111187323"</f>
        <v>202111187323</v>
      </c>
      <c r="F839" t="str">
        <f>"Misce"</f>
        <v>Misce</v>
      </c>
      <c r="G839" s="3">
        <v>6</v>
      </c>
      <c r="H839" t="str">
        <f>"VALERIE BROOKE HOPKINS"</f>
        <v>VALERIE BROOKE HOPKINS</v>
      </c>
    </row>
    <row r="840" spans="1:8" x14ac:dyDescent="0.25">
      <c r="A840" t="s">
        <v>428</v>
      </c>
      <c r="B840">
        <v>137967</v>
      </c>
      <c r="C840" s="3">
        <v>6</v>
      </c>
      <c r="D840" s="6">
        <v>44518</v>
      </c>
      <c r="E840" t="str">
        <f>"202111187324"</f>
        <v>202111187324</v>
      </c>
      <c r="F840" t="str">
        <f>"Misc"</f>
        <v>Misc</v>
      </c>
      <c r="G840" s="3">
        <v>6</v>
      </c>
      <c r="H840" t="str">
        <f>"RONALD SCOTT HOLLENBECK"</f>
        <v>RONALD SCOTT HOLLENBECK</v>
      </c>
    </row>
    <row r="841" spans="1:8" x14ac:dyDescent="0.25">
      <c r="A841" t="s">
        <v>429</v>
      </c>
      <c r="B841">
        <v>137968</v>
      </c>
      <c r="C841" s="3">
        <v>6</v>
      </c>
      <c r="D841" s="6">
        <v>44518</v>
      </c>
      <c r="E841" t="str">
        <f>"202111187325"</f>
        <v>202111187325</v>
      </c>
      <c r="F841" t="str">
        <f>"Miscellaneo"</f>
        <v>Miscellaneo</v>
      </c>
      <c r="G841" s="3">
        <v>6</v>
      </c>
      <c r="H841" t="str">
        <f>"BRUCE JAMES HILL"</f>
        <v>BRUCE JAMES HILL</v>
      </c>
    </row>
    <row r="842" spans="1:8" x14ac:dyDescent="0.25">
      <c r="A842" t="s">
        <v>430</v>
      </c>
      <c r="B842">
        <v>137969</v>
      </c>
      <c r="C842" s="3">
        <v>6</v>
      </c>
      <c r="D842" s="6">
        <v>44518</v>
      </c>
      <c r="E842" t="str">
        <f>"202111187326"</f>
        <v>202111187326</v>
      </c>
      <c r="F842" t="str">
        <f>"Miscellaneo"</f>
        <v>Miscellaneo</v>
      </c>
      <c r="G842" s="3">
        <v>6</v>
      </c>
      <c r="H842" t="str">
        <f>"RICHARD LEE HILL"</f>
        <v>RICHARD LEE HILL</v>
      </c>
    </row>
    <row r="843" spans="1:8" x14ac:dyDescent="0.25">
      <c r="A843" t="s">
        <v>431</v>
      </c>
      <c r="B843">
        <v>137970</v>
      </c>
      <c r="C843" s="3">
        <v>6</v>
      </c>
      <c r="D843" s="6">
        <v>44518</v>
      </c>
      <c r="E843" t="str">
        <f>"202111187327"</f>
        <v>202111187327</v>
      </c>
      <c r="F843" t="str">
        <f>"Miscell"</f>
        <v>Miscell</v>
      </c>
      <c r="G843" s="3">
        <v>6</v>
      </c>
      <c r="H843" t="str">
        <f>"JOSE FELIX HERNANDEZ"</f>
        <v>JOSE FELIX HERNANDEZ</v>
      </c>
    </row>
    <row r="844" spans="1:8" x14ac:dyDescent="0.25">
      <c r="A844" t="s">
        <v>432</v>
      </c>
      <c r="B844">
        <v>137971</v>
      </c>
      <c r="C844" s="3">
        <v>6</v>
      </c>
      <c r="D844" s="6">
        <v>44518</v>
      </c>
      <c r="E844" t="str">
        <f>"202111187328"</f>
        <v>202111187328</v>
      </c>
      <c r="F844" t="str">
        <f>"M"</f>
        <v>M</v>
      </c>
      <c r="G844" s="3">
        <v>6</v>
      </c>
      <c r="H844" t="str">
        <f>"YAQUELINA VARGAS HERNANDEZ"</f>
        <v>YAQUELINA VARGAS HERNANDEZ</v>
      </c>
    </row>
    <row r="845" spans="1:8" x14ac:dyDescent="0.25">
      <c r="A845" t="s">
        <v>433</v>
      </c>
      <c r="B845">
        <v>137972</v>
      </c>
      <c r="C845" s="3">
        <v>6</v>
      </c>
      <c r="D845" s="6">
        <v>44518</v>
      </c>
      <c r="E845" t="str">
        <f>"202111187329"</f>
        <v>202111187329</v>
      </c>
      <c r="F845" t="str">
        <f>"Misce"</f>
        <v>Misce</v>
      </c>
      <c r="G845" s="3">
        <v>6</v>
      </c>
      <c r="H845" t="str">
        <f>"ZACHARY IVERSON HARRIS"</f>
        <v>ZACHARY IVERSON HARRIS</v>
      </c>
    </row>
    <row r="846" spans="1:8" x14ac:dyDescent="0.25">
      <c r="A846" t="s">
        <v>434</v>
      </c>
      <c r="B846">
        <v>137973</v>
      </c>
      <c r="C846" s="3">
        <v>6</v>
      </c>
      <c r="D846" s="6">
        <v>44518</v>
      </c>
      <c r="E846" t="str">
        <f>"202111187330"</f>
        <v>202111187330</v>
      </c>
      <c r="F846" t="str">
        <f>"Miscellaneo"</f>
        <v>Miscellaneo</v>
      </c>
      <c r="G846" s="3">
        <v>6</v>
      </c>
      <c r="H846" t="str">
        <f>"ERIK ELOY GUERRA"</f>
        <v>ERIK ELOY GUERRA</v>
      </c>
    </row>
    <row r="847" spans="1:8" x14ac:dyDescent="0.25">
      <c r="A847" t="s">
        <v>435</v>
      </c>
      <c r="B847">
        <v>137974</v>
      </c>
      <c r="C847" s="3">
        <v>6</v>
      </c>
      <c r="D847" s="6">
        <v>44518</v>
      </c>
      <c r="E847" t="str">
        <f>"202111187331"</f>
        <v>202111187331</v>
      </c>
      <c r="F847" t="str">
        <f>"Miscellaneous"</f>
        <v>Miscellaneous</v>
      </c>
      <c r="G847" s="3">
        <v>6</v>
      </c>
      <c r="H847" t="str">
        <f>"SETH GRIFFIN"</f>
        <v>SETH GRIFFIN</v>
      </c>
    </row>
    <row r="848" spans="1:8" x14ac:dyDescent="0.25">
      <c r="A848" t="s">
        <v>436</v>
      </c>
      <c r="B848">
        <v>137975</v>
      </c>
      <c r="C848" s="3">
        <v>6</v>
      </c>
      <c r="D848" s="6">
        <v>44518</v>
      </c>
      <c r="E848" t="str">
        <f>"202111187332"</f>
        <v>202111187332</v>
      </c>
      <c r="F848" t="str">
        <f>"Miscellaneous"</f>
        <v>Miscellaneous</v>
      </c>
      <c r="G848" s="3">
        <v>6</v>
      </c>
      <c r="H848" t="str">
        <f>"MARY ANN GREEN"</f>
        <v>MARY ANN GREEN</v>
      </c>
    </row>
    <row r="849" spans="1:8" x14ac:dyDescent="0.25">
      <c r="A849" t="s">
        <v>437</v>
      </c>
      <c r="B849">
        <v>137976</v>
      </c>
      <c r="C849" s="3">
        <v>6</v>
      </c>
      <c r="D849" s="6">
        <v>44518</v>
      </c>
      <c r="E849" t="str">
        <f>"202111187333"</f>
        <v>202111187333</v>
      </c>
      <c r="F849" t="str">
        <f>""</f>
        <v/>
      </c>
      <c r="G849" s="3">
        <v>6</v>
      </c>
      <c r="H849" t="str">
        <f>"JESSIAH EDEN DESTINI GARCIA"</f>
        <v>JESSIAH EDEN DESTINI GARCIA</v>
      </c>
    </row>
    <row r="850" spans="1:8" x14ac:dyDescent="0.25">
      <c r="A850" t="s">
        <v>438</v>
      </c>
      <c r="B850">
        <v>137977</v>
      </c>
      <c r="C850" s="3">
        <v>6</v>
      </c>
      <c r="D850" s="6">
        <v>44518</v>
      </c>
      <c r="E850" t="str">
        <f>"202111187334"</f>
        <v>202111187334</v>
      </c>
      <c r="F850" t="str">
        <f>"Miscella"</f>
        <v>Miscella</v>
      </c>
      <c r="G850" s="3">
        <v>6</v>
      </c>
      <c r="H850" t="str">
        <f>"JENNY CAROLE FOWLER"</f>
        <v>JENNY CAROLE FOWLER</v>
      </c>
    </row>
    <row r="851" spans="1:8" x14ac:dyDescent="0.25">
      <c r="A851" t="s">
        <v>439</v>
      </c>
      <c r="B851">
        <v>137978</v>
      </c>
      <c r="C851" s="3">
        <v>6</v>
      </c>
      <c r="D851" s="6">
        <v>44518</v>
      </c>
      <c r="E851" t="str">
        <f>"202111187335"</f>
        <v>202111187335</v>
      </c>
      <c r="F851" t="str">
        <f>"Miscellane"</f>
        <v>Miscellane</v>
      </c>
      <c r="G851" s="3">
        <v>6</v>
      </c>
      <c r="H851" t="str">
        <f>"EMILIE JOAN FOUTS"</f>
        <v>EMILIE JOAN FOUTS</v>
      </c>
    </row>
    <row r="852" spans="1:8" x14ac:dyDescent="0.25">
      <c r="A852" t="s">
        <v>440</v>
      </c>
      <c r="B852">
        <v>137979</v>
      </c>
      <c r="C852" s="3">
        <v>6</v>
      </c>
      <c r="D852" s="6">
        <v>44518</v>
      </c>
      <c r="E852" t="str">
        <f>"202111187336"</f>
        <v>202111187336</v>
      </c>
      <c r="F852" t="str">
        <f>"Mis"</f>
        <v>Mis</v>
      </c>
      <c r="G852" s="3">
        <v>6</v>
      </c>
      <c r="H852" t="str">
        <f>"CHRISTINA JEANETTE FONDA"</f>
        <v>CHRISTINA JEANETTE FONDA</v>
      </c>
    </row>
    <row r="853" spans="1:8" x14ac:dyDescent="0.25">
      <c r="A853" t="s">
        <v>441</v>
      </c>
      <c r="B853">
        <v>137980</v>
      </c>
      <c r="C853" s="3">
        <v>6</v>
      </c>
      <c r="D853" s="6">
        <v>44518</v>
      </c>
      <c r="E853" t="str">
        <f>"202111187337"</f>
        <v>202111187337</v>
      </c>
      <c r="F853" t="str">
        <f>"Misce"</f>
        <v>Misce</v>
      </c>
      <c r="G853" s="3">
        <v>6</v>
      </c>
      <c r="H853" t="str">
        <f>"THOMAS WILLIAM EVERAGE"</f>
        <v>THOMAS WILLIAM EVERAGE</v>
      </c>
    </row>
    <row r="854" spans="1:8" x14ac:dyDescent="0.25">
      <c r="A854" t="s">
        <v>442</v>
      </c>
      <c r="B854">
        <v>137981</v>
      </c>
      <c r="C854" s="3">
        <v>6</v>
      </c>
      <c r="D854" s="6">
        <v>44518</v>
      </c>
      <c r="E854" t="str">
        <f>"202111187338"</f>
        <v>202111187338</v>
      </c>
      <c r="F854" t="str">
        <f>"Miscel"</f>
        <v>Miscel</v>
      </c>
      <c r="G854" s="3">
        <v>6</v>
      </c>
      <c r="H854" t="str">
        <f>"RAPHAEL ESAI ESCOBEDO"</f>
        <v>RAPHAEL ESAI ESCOBEDO</v>
      </c>
    </row>
    <row r="855" spans="1:8" x14ac:dyDescent="0.25">
      <c r="A855" t="s">
        <v>443</v>
      </c>
      <c r="B855">
        <v>137982</v>
      </c>
      <c r="C855" s="3">
        <v>6</v>
      </c>
      <c r="D855" s="6">
        <v>44518</v>
      </c>
      <c r="E855" t="str">
        <f>"202111187339"</f>
        <v>202111187339</v>
      </c>
      <c r="F855" t="str">
        <f>"Miscellaneous"</f>
        <v>Miscellaneous</v>
      </c>
      <c r="G855" s="3">
        <v>6</v>
      </c>
      <c r="H855" t="str">
        <f>"DANIEL A DURDA"</f>
        <v>DANIEL A DURDA</v>
      </c>
    </row>
    <row r="856" spans="1:8" x14ac:dyDescent="0.25">
      <c r="A856" t="s">
        <v>444</v>
      </c>
      <c r="B856">
        <v>137983</v>
      </c>
      <c r="C856" s="3">
        <v>6</v>
      </c>
      <c r="D856" s="6">
        <v>44518</v>
      </c>
      <c r="E856" t="str">
        <f>"202111187340"</f>
        <v>202111187340</v>
      </c>
      <c r="F856" t="str">
        <f>"Miscellan"</f>
        <v>Miscellan</v>
      </c>
      <c r="G856" s="3">
        <v>6</v>
      </c>
      <c r="H856" t="str">
        <f>"MARK BRADLEY WYATT"</f>
        <v>MARK BRADLEY WYATT</v>
      </c>
    </row>
    <row r="857" spans="1:8" x14ac:dyDescent="0.25">
      <c r="A857" t="s">
        <v>445</v>
      </c>
      <c r="B857">
        <v>138123</v>
      </c>
      <c r="C857" s="3">
        <v>40</v>
      </c>
      <c r="D857" s="6">
        <v>44522</v>
      </c>
      <c r="E857" t="str">
        <f>"202111227344"</f>
        <v>202111227344</v>
      </c>
      <c r="F857" t="str">
        <f>"Misc"</f>
        <v>Misc</v>
      </c>
      <c r="G857" s="3">
        <v>40</v>
      </c>
      <c r="H857" t="str">
        <f>"FRANCES ELIZABETH DRUCK"</f>
        <v>FRANCES ELIZABETH DRUCK</v>
      </c>
    </row>
    <row r="858" spans="1:8" x14ac:dyDescent="0.25">
      <c r="A858" t="s">
        <v>446</v>
      </c>
      <c r="B858">
        <v>138124</v>
      </c>
      <c r="C858" s="3">
        <v>40</v>
      </c>
      <c r="D858" s="6">
        <v>44522</v>
      </c>
      <c r="E858" t="str">
        <f>"202111227345"</f>
        <v>202111227345</v>
      </c>
      <c r="F858" t="str">
        <f>"Miscel"</f>
        <v>Miscel</v>
      </c>
      <c r="G858" s="3">
        <v>40</v>
      </c>
      <c r="H858" t="str">
        <f>"KIRSTEN GILLIAM GLENN"</f>
        <v>KIRSTEN GILLIAM GLENN</v>
      </c>
    </row>
    <row r="859" spans="1:8" x14ac:dyDescent="0.25">
      <c r="A859" t="s">
        <v>447</v>
      </c>
      <c r="B859">
        <v>138125</v>
      </c>
      <c r="C859" s="3">
        <v>40</v>
      </c>
      <c r="D859" s="6">
        <v>44522</v>
      </c>
      <c r="E859" t="str">
        <f>"202111227346"</f>
        <v>202111227346</v>
      </c>
      <c r="F859" t="str">
        <f>"Miscellaneou"</f>
        <v>Miscellaneou</v>
      </c>
      <c r="G859" s="3">
        <v>40</v>
      </c>
      <c r="H859" t="str">
        <f>"ELIZABETH VALLE"</f>
        <v>ELIZABETH VALLE</v>
      </c>
    </row>
    <row r="860" spans="1:8" x14ac:dyDescent="0.25">
      <c r="A860" t="s">
        <v>448</v>
      </c>
      <c r="B860">
        <v>138126</v>
      </c>
      <c r="C860" s="3">
        <v>40</v>
      </c>
      <c r="D860" s="6">
        <v>44522</v>
      </c>
      <c r="E860" t="str">
        <f>"202111227347"</f>
        <v>202111227347</v>
      </c>
      <c r="F860" t="str">
        <f>"Miscellan"</f>
        <v>Miscellan</v>
      </c>
      <c r="G860" s="3">
        <v>40</v>
      </c>
      <c r="H860" t="str">
        <f>"STARBUCK LYNN GAUL"</f>
        <v>STARBUCK LYNN GAUL</v>
      </c>
    </row>
    <row r="861" spans="1:8" x14ac:dyDescent="0.25">
      <c r="A861" t="s">
        <v>449</v>
      </c>
      <c r="B861">
        <v>138127</v>
      </c>
      <c r="C861" s="3">
        <v>40</v>
      </c>
      <c r="D861" s="6">
        <v>44522</v>
      </c>
      <c r="E861" t="str">
        <f>"202111227348"</f>
        <v>202111227348</v>
      </c>
      <c r="F861" t="str">
        <f>"Miscell"</f>
        <v>Miscell</v>
      </c>
      <c r="G861" s="3">
        <v>40</v>
      </c>
      <c r="H861" t="str">
        <f>"HEATH EDWARD FREPPON"</f>
        <v>HEATH EDWARD FREPPON</v>
      </c>
    </row>
    <row r="862" spans="1:8" x14ac:dyDescent="0.25">
      <c r="A862" t="s">
        <v>450</v>
      </c>
      <c r="B862">
        <v>138128</v>
      </c>
      <c r="C862" s="3">
        <v>40</v>
      </c>
      <c r="D862" s="6">
        <v>44522</v>
      </c>
      <c r="E862" t="str">
        <f>"202111227349"</f>
        <v>202111227349</v>
      </c>
      <c r="F862" t="str">
        <f>"Miscella"</f>
        <v>Miscella</v>
      </c>
      <c r="G862" s="3">
        <v>40</v>
      </c>
      <c r="H862" t="str">
        <f>"GLENIS JANELL MCBEE"</f>
        <v>GLENIS JANELL MCBEE</v>
      </c>
    </row>
    <row r="863" spans="1:8" x14ac:dyDescent="0.25">
      <c r="A863" t="s">
        <v>451</v>
      </c>
      <c r="B863">
        <v>138129</v>
      </c>
      <c r="C863" s="3">
        <v>40</v>
      </c>
      <c r="D863" s="6">
        <v>44522</v>
      </c>
      <c r="E863" t="str">
        <f>"202111227350"</f>
        <v>202111227350</v>
      </c>
      <c r="F863" t="str">
        <f>"Miscellaneou"</f>
        <v>Miscellaneou</v>
      </c>
      <c r="G863" s="3">
        <v>40</v>
      </c>
      <c r="H863" t="str">
        <f>"ROBIN RAE CORUM"</f>
        <v>ROBIN RAE CORUM</v>
      </c>
    </row>
    <row r="864" spans="1:8" x14ac:dyDescent="0.25">
      <c r="A864" t="s">
        <v>452</v>
      </c>
      <c r="B864">
        <v>138130</v>
      </c>
      <c r="C864" s="3">
        <v>40</v>
      </c>
      <c r="D864" s="6">
        <v>44522</v>
      </c>
      <c r="E864" t="str">
        <f>"202111227351"</f>
        <v>202111227351</v>
      </c>
      <c r="F864" t="str">
        <f>"Miscellane"</f>
        <v>Miscellane</v>
      </c>
      <c r="G864" s="3">
        <v>40</v>
      </c>
      <c r="H864" t="str">
        <f>"ROBIN LYNN LILLEY"</f>
        <v>ROBIN LYNN LILLEY</v>
      </c>
    </row>
    <row r="865" spans="1:8" x14ac:dyDescent="0.25">
      <c r="A865" t="s">
        <v>453</v>
      </c>
      <c r="B865">
        <v>138131</v>
      </c>
      <c r="C865" s="3">
        <v>40</v>
      </c>
      <c r="D865" s="6">
        <v>44522</v>
      </c>
      <c r="E865" t="str">
        <f>"202111227352"</f>
        <v>202111227352</v>
      </c>
      <c r="F865" t="str">
        <f>"Miscell"</f>
        <v>Miscell</v>
      </c>
      <c r="G865" s="3">
        <v>40</v>
      </c>
      <c r="H865" t="str">
        <f>"RICHARD GERARD AMAYA"</f>
        <v>RICHARD GERARD AMAYA</v>
      </c>
    </row>
    <row r="866" spans="1:8" x14ac:dyDescent="0.25">
      <c r="A866" t="s">
        <v>454</v>
      </c>
      <c r="B866">
        <v>138132</v>
      </c>
      <c r="C866" s="3">
        <v>40</v>
      </c>
      <c r="D866" s="6">
        <v>44522</v>
      </c>
      <c r="E866" t="str">
        <f>"202111227353"</f>
        <v>202111227353</v>
      </c>
      <c r="F866" t="str">
        <f>"Miscella"</f>
        <v>Miscella</v>
      </c>
      <c r="G866" s="3">
        <v>40</v>
      </c>
      <c r="H866" t="str">
        <f>"AMY MICHELLE COLTER"</f>
        <v>AMY MICHELLE COLTER</v>
      </c>
    </row>
    <row r="867" spans="1:8" x14ac:dyDescent="0.25">
      <c r="A867" t="s">
        <v>445</v>
      </c>
      <c r="B867">
        <v>138133</v>
      </c>
      <c r="C867" s="3">
        <v>40</v>
      </c>
      <c r="D867" s="6">
        <v>44522</v>
      </c>
      <c r="E867" t="str">
        <f>"202111227354"</f>
        <v>202111227354</v>
      </c>
      <c r="F867" t="str">
        <f>"Misc"</f>
        <v>Misc</v>
      </c>
      <c r="G867" s="3">
        <v>40</v>
      </c>
      <c r="H867" t="str">
        <f>"FRANCES ELIZABETH DRUCK"</f>
        <v>FRANCES ELIZABETH DRUCK</v>
      </c>
    </row>
    <row r="868" spans="1:8" x14ac:dyDescent="0.25">
      <c r="A868" t="s">
        <v>446</v>
      </c>
      <c r="B868">
        <v>138134</v>
      </c>
      <c r="C868" s="3">
        <v>40</v>
      </c>
      <c r="D868" s="6">
        <v>44522</v>
      </c>
      <c r="E868" t="str">
        <f>"202111227355"</f>
        <v>202111227355</v>
      </c>
      <c r="F868" t="str">
        <f>"Miscel"</f>
        <v>Miscel</v>
      </c>
      <c r="G868" s="3">
        <v>40</v>
      </c>
      <c r="H868" t="str">
        <f>"KIRSTEN GILLIAM GLENN"</f>
        <v>KIRSTEN GILLIAM GLENN</v>
      </c>
    </row>
    <row r="869" spans="1:8" x14ac:dyDescent="0.25">
      <c r="A869" t="s">
        <v>447</v>
      </c>
      <c r="B869">
        <v>138135</v>
      </c>
      <c r="C869" s="3">
        <v>40</v>
      </c>
      <c r="D869" s="6">
        <v>44522</v>
      </c>
      <c r="E869" t="str">
        <f>"202111227356"</f>
        <v>202111227356</v>
      </c>
      <c r="F869" t="str">
        <f>"Miscellaneou"</f>
        <v>Miscellaneou</v>
      </c>
      <c r="G869" s="3">
        <v>40</v>
      </c>
      <c r="H869" t="str">
        <f>"ELIZABETH VALLE"</f>
        <v>ELIZABETH VALLE</v>
      </c>
    </row>
    <row r="870" spans="1:8" x14ac:dyDescent="0.25">
      <c r="A870" t="s">
        <v>448</v>
      </c>
      <c r="B870">
        <v>138136</v>
      </c>
      <c r="C870" s="3">
        <v>40</v>
      </c>
      <c r="D870" s="6">
        <v>44522</v>
      </c>
      <c r="E870" t="str">
        <f>"202111227357"</f>
        <v>202111227357</v>
      </c>
      <c r="F870" t="str">
        <f>"Miscellan"</f>
        <v>Miscellan</v>
      </c>
      <c r="G870" s="3">
        <v>40</v>
      </c>
      <c r="H870" t="str">
        <f>"STARBUCK LYNN GAUL"</f>
        <v>STARBUCK LYNN GAUL</v>
      </c>
    </row>
    <row r="871" spans="1:8" x14ac:dyDescent="0.25">
      <c r="A871" t="s">
        <v>455</v>
      </c>
      <c r="B871">
        <v>138137</v>
      </c>
      <c r="C871" s="3">
        <v>40</v>
      </c>
      <c r="D871" s="6">
        <v>44522</v>
      </c>
      <c r="E871" t="str">
        <f>"202111227358"</f>
        <v>202111227358</v>
      </c>
      <c r="F871" t="str">
        <f>"Miscel"</f>
        <v>Miscel</v>
      </c>
      <c r="G871" s="3">
        <v>40</v>
      </c>
      <c r="H871" t="str">
        <f>"CLARK RONALD BERNHARD"</f>
        <v>CLARK RONALD BERNHARD</v>
      </c>
    </row>
    <row r="872" spans="1:8" x14ac:dyDescent="0.25">
      <c r="A872" t="s">
        <v>449</v>
      </c>
      <c r="B872">
        <v>138138</v>
      </c>
      <c r="C872" s="3">
        <v>40</v>
      </c>
      <c r="D872" s="6">
        <v>44522</v>
      </c>
      <c r="E872" t="str">
        <f>"202111227359"</f>
        <v>202111227359</v>
      </c>
      <c r="F872" t="str">
        <f>"Miscell"</f>
        <v>Miscell</v>
      </c>
      <c r="G872" s="3">
        <v>40</v>
      </c>
      <c r="H872" t="str">
        <f>"HEATH EDWARD FREPPON"</f>
        <v>HEATH EDWARD FREPPON</v>
      </c>
    </row>
    <row r="873" spans="1:8" x14ac:dyDescent="0.25">
      <c r="A873" t="s">
        <v>450</v>
      </c>
      <c r="B873">
        <v>138139</v>
      </c>
      <c r="C873" s="3">
        <v>40</v>
      </c>
      <c r="D873" s="6">
        <v>44522</v>
      </c>
      <c r="E873" t="str">
        <f>"202111227360"</f>
        <v>202111227360</v>
      </c>
      <c r="F873" t="str">
        <f>"Miscella"</f>
        <v>Miscella</v>
      </c>
      <c r="G873" s="3">
        <v>40</v>
      </c>
      <c r="H873" t="str">
        <f>"GLENIS JANELL MCBEE"</f>
        <v>GLENIS JANELL MCBEE</v>
      </c>
    </row>
    <row r="874" spans="1:8" x14ac:dyDescent="0.25">
      <c r="A874" t="s">
        <v>456</v>
      </c>
      <c r="B874">
        <v>138140</v>
      </c>
      <c r="C874" s="3">
        <v>40</v>
      </c>
      <c r="D874" s="6">
        <v>44522</v>
      </c>
      <c r="E874" t="str">
        <f>"202111227361"</f>
        <v>202111227361</v>
      </c>
      <c r="F874" t="str">
        <f>"Miscella"</f>
        <v>Miscella</v>
      </c>
      <c r="G874" s="3">
        <v>40</v>
      </c>
      <c r="H874" t="str">
        <f>"JEFF BELL MILLER JR"</f>
        <v>JEFF BELL MILLER JR</v>
      </c>
    </row>
    <row r="875" spans="1:8" x14ac:dyDescent="0.25">
      <c r="A875" t="s">
        <v>451</v>
      </c>
      <c r="B875">
        <v>138141</v>
      </c>
      <c r="C875" s="3">
        <v>40</v>
      </c>
      <c r="D875" s="6">
        <v>44522</v>
      </c>
      <c r="E875" t="str">
        <f>"202111227362"</f>
        <v>202111227362</v>
      </c>
      <c r="F875" t="str">
        <f>"Miscellaneou"</f>
        <v>Miscellaneou</v>
      </c>
      <c r="G875" s="3">
        <v>40</v>
      </c>
      <c r="H875" t="str">
        <f>"ROBIN RAE CORUM"</f>
        <v>ROBIN RAE CORUM</v>
      </c>
    </row>
    <row r="876" spans="1:8" x14ac:dyDescent="0.25">
      <c r="A876" t="s">
        <v>452</v>
      </c>
      <c r="B876">
        <v>138142</v>
      </c>
      <c r="C876" s="3">
        <v>40</v>
      </c>
      <c r="D876" s="6">
        <v>44522</v>
      </c>
      <c r="E876" t="str">
        <f>"202111227363"</f>
        <v>202111227363</v>
      </c>
      <c r="F876" t="str">
        <f>"Miscellane"</f>
        <v>Miscellane</v>
      </c>
      <c r="G876" s="3">
        <v>40</v>
      </c>
      <c r="H876" t="str">
        <f>"ROBIN LYNN LILLEY"</f>
        <v>ROBIN LYNN LILLEY</v>
      </c>
    </row>
    <row r="877" spans="1:8" x14ac:dyDescent="0.25">
      <c r="A877" t="s">
        <v>453</v>
      </c>
      <c r="B877">
        <v>138143</v>
      </c>
      <c r="C877" s="3">
        <v>40</v>
      </c>
      <c r="D877" s="6">
        <v>44522</v>
      </c>
      <c r="E877" t="str">
        <f>"202111227364"</f>
        <v>202111227364</v>
      </c>
      <c r="F877" t="str">
        <f>"Miscell"</f>
        <v>Miscell</v>
      </c>
      <c r="G877" s="3">
        <v>40</v>
      </c>
      <c r="H877" t="str">
        <f>"RICHARD GERARD AMAYA"</f>
        <v>RICHARD GERARD AMAYA</v>
      </c>
    </row>
    <row r="878" spans="1:8" x14ac:dyDescent="0.25">
      <c r="A878" t="s">
        <v>454</v>
      </c>
      <c r="B878">
        <v>138144</v>
      </c>
      <c r="C878" s="3">
        <v>40</v>
      </c>
      <c r="D878" s="6">
        <v>44522</v>
      </c>
      <c r="E878" t="str">
        <f>"202111227365"</f>
        <v>202111227365</v>
      </c>
      <c r="F878" t="str">
        <f>"Miscella"</f>
        <v>Miscella</v>
      </c>
      <c r="G878" s="3">
        <v>40</v>
      </c>
      <c r="H878" t="str">
        <f>"AMY MICHELLE COLTER"</f>
        <v>AMY MICHELLE COLTER</v>
      </c>
    </row>
    <row r="879" spans="1:8" x14ac:dyDescent="0.25">
      <c r="A879" t="s">
        <v>457</v>
      </c>
      <c r="B879">
        <v>137795</v>
      </c>
      <c r="C879" s="3">
        <v>60</v>
      </c>
      <c r="D879" s="6">
        <v>44508</v>
      </c>
      <c r="E879" t="s">
        <v>458</v>
      </c>
      <c r="F879" s="3" t="str">
        <f>"RESTITUTION - TINA CLAYTON"</f>
        <v>RESTITUTION - TINA CLAYTON</v>
      </c>
      <c r="G879" s="3">
        <v>60</v>
      </c>
      <c r="H879" t="str">
        <f>"RESTITUTION - TINA CLAYTON"</f>
        <v>RESTITUTION - TINA CLAYTON</v>
      </c>
    </row>
    <row r="880" spans="1:8" x14ac:dyDescent="0.25">
      <c r="A880" t="s">
        <v>459</v>
      </c>
      <c r="B880">
        <v>138058</v>
      </c>
      <c r="C880" s="3">
        <v>25047.360000000001</v>
      </c>
      <c r="D880" s="6">
        <v>44522</v>
      </c>
      <c r="E880" t="str">
        <f>"8230342951"</f>
        <v>8230342951</v>
      </c>
      <c r="F880" t="str">
        <f>"CUST#1036215277 NOVEMBER"</f>
        <v>CUST#1036215277 NOVEMBER</v>
      </c>
      <c r="G880" s="3">
        <v>25047.360000000001</v>
      </c>
      <c r="H880" t="str">
        <f>"CUST#1036215277 NOVEMBER"</f>
        <v>CUST#1036215277 NOVEMBER</v>
      </c>
    </row>
    <row r="881" spans="1:8" x14ac:dyDescent="0.25">
      <c r="A881" t="s">
        <v>460</v>
      </c>
      <c r="B881">
        <v>137796</v>
      </c>
      <c r="C881" s="3">
        <v>345</v>
      </c>
      <c r="D881" s="6">
        <v>44508</v>
      </c>
      <c r="E881" t="str">
        <f>"202110286717"</f>
        <v>202110286717</v>
      </c>
      <c r="F881" t="str">
        <f>"REIMBURSEMENT FOR COUPONS"</f>
        <v>REIMBURSEMENT FOR COUPONS</v>
      </c>
      <c r="G881" s="3">
        <v>345</v>
      </c>
      <c r="H881" t="str">
        <f>"REIMBURSEMENT FOR COUPONS"</f>
        <v>REIMBURSEMENT FOR COUPONS</v>
      </c>
    </row>
    <row r="882" spans="1:8" x14ac:dyDescent="0.25">
      <c r="A882" t="s">
        <v>460</v>
      </c>
      <c r="B882">
        <v>138059</v>
      </c>
      <c r="C882" s="3">
        <v>360</v>
      </c>
      <c r="D882" s="6">
        <v>44522</v>
      </c>
      <c r="E882" t="str">
        <f>"202111167206"</f>
        <v>202111167206</v>
      </c>
      <c r="F882" t="str">
        <f>"REIMBURSEMENT BAIL BOND STICKE"</f>
        <v>REIMBURSEMENT BAIL BOND STICKE</v>
      </c>
      <c r="G882" s="3">
        <v>360</v>
      </c>
      <c r="H882" t="str">
        <f>"REIMBURSEMENT BAIL BOND STICKE"</f>
        <v>REIMBURSEMENT BAIL BOND STICKE</v>
      </c>
    </row>
    <row r="883" spans="1:8" x14ac:dyDescent="0.25">
      <c r="A883" t="s">
        <v>461</v>
      </c>
      <c r="B883">
        <v>5421</v>
      </c>
      <c r="C883" s="3">
        <v>8310.3700000000008</v>
      </c>
      <c r="D883" s="6">
        <v>44523</v>
      </c>
      <c r="E883" t="str">
        <f>"A037323"</f>
        <v>A037323</v>
      </c>
      <c r="F883" t="str">
        <f>"CUST#1006635/OEM"</f>
        <v>CUST#1006635/OEM</v>
      </c>
      <c r="G883" s="3">
        <v>708.75</v>
      </c>
      <c r="H883" t="str">
        <f>"CUST#1006635/OEM"</f>
        <v>CUST#1006635/OEM</v>
      </c>
    </row>
    <row r="884" spans="1:8" x14ac:dyDescent="0.25">
      <c r="E884" t="str">
        <f>"PART4740482"</f>
        <v>PART4740482</v>
      </c>
      <c r="F884" t="str">
        <f>"CUST#1006635/HABITAT"</f>
        <v>CUST#1006635/HABITAT</v>
      </c>
      <c r="G884" s="3">
        <v>58.92</v>
      </c>
      <c r="H884" t="str">
        <f>"CUST#1006635/HABITAT"</f>
        <v>CUST#1006635/HABITAT</v>
      </c>
    </row>
    <row r="885" spans="1:8" x14ac:dyDescent="0.25">
      <c r="E885" t="str">
        <f>"PART55744338"</f>
        <v>PART55744338</v>
      </c>
      <c r="F885" t="str">
        <f>"CUST#106635/HABITAT"</f>
        <v>CUST#106635/HABITAT</v>
      </c>
      <c r="G885" s="3">
        <v>4.7699999999999996</v>
      </c>
      <c r="H885" t="str">
        <f>"CUST#106635/HABITAT"</f>
        <v>CUST#106635/HABITAT</v>
      </c>
    </row>
    <row r="886" spans="1:8" x14ac:dyDescent="0.25">
      <c r="E886" t="str">
        <f>"PART5740483"</f>
        <v>PART5740483</v>
      </c>
      <c r="F886" t="str">
        <f>"CUST#1006635/HABITAT"</f>
        <v>CUST#1006635/HABITAT</v>
      </c>
      <c r="G886" s="3">
        <v>24.48</v>
      </c>
      <c r="H886" t="str">
        <f>"CUST#1006635/HABITAT"</f>
        <v>CUST#1006635/HABITAT</v>
      </c>
    </row>
    <row r="887" spans="1:8" x14ac:dyDescent="0.25">
      <c r="E887" t="str">
        <f>"PART5740484"</f>
        <v>PART5740484</v>
      </c>
      <c r="F887" t="str">
        <f>"CUST #1006635/HABITAT"</f>
        <v>CUST #1006635/HABITAT</v>
      </c>
      <c r="G887" s="3">
        <v>7.94</v>
      </c>
      <c r="H887" t="str">
        <f>"CUST #1006635/HABITAT"</f>
        <v>CUST #1006635/HABITAT</v>
      </c>
    </row>
    <row r="888" spans="1:8" x14ac:dyDescent="0.25">
      <c r="E888" t="str">
        <f>"PART5740485"</f>
        <v>PART5740485</v>
      </c>
      <c r="F888" t="str">
        <f>"CUST#106635/HABITAT"</f>
        <v>CUST#106635/HABITAT</v>
      </c>
      <c r="G888" s="3">
        <v>4.49</v>
      </c>
      <c r="H888" t="str">
        <f>"CUST#106635/HABITAT"</f>
        <v>CUST#106635/HABITAT</v>
      </c>
    </row>
    <row r="889" spans="1:8" x14ac:dyDescent="0.25">
      <c r="E889" t="str">
        <f>"PART5740486"</f>
        <v>PART5740486</v>
      </c>
      <c r="F889" t="str">
        <f>"CUST #1006635/HABITAT"</f>
        <v>CUST #1006635/HABITAT</v>
      </c>
      <c r="G889" s="3">
        <v>5047.16</v>
      </c>
      <c r="H889" t="str">
        <f>"CUST #1006635/HABITAT"</f>
        <v>CUST #1006635/HABITAT</v>
      </c>
    </row>
    <row r="890" spans="1:8" x14ac:dyDescent="0.25">
      <c r="E890" t="str">
        <f>"PART5740487"</f>
        <v>PART5740487</v>
      </c>
      <c r="F890" t="str">
        <f>"CUST#1006635/HABITAT"</f>
        <v>CUST#1006635/HABITAT</v>
      </c>
      <c r="G890" s="3">
        <v>3.49</v>
      </c>
      <c r="H890" t="str">
        <f>"CUST#1006635/HABITAT"</f>
        <v>CUST#1006635/HABITAT</v>
      </c>
    </row>
    <row r="891" spans="1:8" x14ac:dyDescent="0.25">
      <c r="E891" t="str">
        <f>"PART5741809"</f>
        <v>PART5741809</v>
      </c>
      <c r="F891" t="str">
        <f>"CUST#1006635/HABITAT"</f>
        <v>CUST#1006635/HABITAT</v>
      </c>
      <c r="G891" s="3">
        <v>2104.62</v>
      </c>
      <c r="H891" t="str">
        <f>"CUST#1006635/HABITAT"</f>
        <v>CUST#1006635/HABITAT</v>
      </c>
    </row>
    <row r="892" spans="1:8" x14ac:dyDescent="0.25">
      <c r="E892" t="str">
        <f>"PART5741810"</f>
        <v>PART5741810</v>
      </c>
      <c r="F892" t="str">
        <f>"CUST #1006635/HABITAT"</f>
        <v>CUST #1006635/HABITAT</v>
      </c>
      <c r="G892" s="3">
        <v>38.11</v>
      </c>
      <c r="H892" t="str">
        <f>"CUST #1006635/HABITAT"</f>
        <v>CUST #1006635/HABITAT</v>
      </c>
    </row>
    <row r="893" spans="1:8" x14ac:dyDescent="0.25">
      <c r="E893" t="str">
        <f>"PART5741811"</f>
        <v>PART5741811</v>
      </c>
      <c r="F893" t="str">
        <f>"CUT#1006635/HABITAT"</f>
        <v>CUT#1006635/HABITAT</v>
      </c>
      <c r="G893" s="3">
        <v>304.10000000000002</v>
      </c>
      <c r="H893" t="str">
        <f>"CUT#1006635/OEM"</f>
        <v>CUT#1006635/OEM</v>
      </c>
    </row>
    <row r="894" spans="1:8" x14ac:dyDescent="0.25">
      <c r="E894" t="str">
        <f>"PART5741812"</f>
        <v>PART5741812</v>
      </c>
      <c r="F894" t="str">
        <f>"CUST#1006635/OEM BASTROP CNTY"</f>
        <v>CUST#1006635/OEM BASTROP CNTY</v>
      </c>
      <c r="G894" s="3">
        <v>3.54</v>
      </c>
      <c r="H894" t="str">
        <f>"CUST#1006635/OEM BASTROP CNTY"</f>
        <v>CUST#1006635/OEM BASTROP CNTY</v>
      </c>
    </row>
    <row r="895" spans="1:8" x14ac:dyDescent="0.25">
      <c r="A895" t="s">
        <v>462</v>
      </c>
      <c r="B895">
        <v>137797</v>
      </c>
      <c r="C895" s="3">
        <v>2029.1</v>
      </c>
      <c r="D895" s="6">
        <v>44508</v>
      </c>
      <c r="E895" t="str">
        <f>"6670151327"</f>
        <v>6670151327</v>
      </c>
      <c r="F895" t="str">
        <f>"ACCT#150344157"</f>
        <v>ACCT#150344157</v>
      </c>
      <c r="G895" s="3">
        <v>1014.55</v>
      </c>
      <c r="H895" t="str">
        <f>"ACCT#150344157"</f>
        <v>ACCT#150344157</v>
      </c>
    </row>
    <row r="896" spans="1:8" x14ac:dyDescent="0.25">
      <c r="E896" t="str">
        <f>"6670151514"</f>
        <v>6670151514</v>
      </c>
      <c r="F896" t="str">
        <f>"ACCT#150344157"</f>
        <v>ACCT#150344157</v>
      </c>
      <c r="G896" s="3">
        <v>1014.55</v>
      </c>
      <c r="H896" t="str">
        <f>"ACCT#150344157"</f>
        <v>ACCT#150344157</v>
      </c>
    </row>
    <row r="897" spans="1:8" x14ac:dyDescent="0.25">
      <c r="A897" t="s">
        <v>463</v>
      </c>
      <c r="B897">
        <v>5328</v>
      </c>
      <c r="C897" s="3">
        <v>8616.1200000000008</v>
      </c>
      <c r="D897" s="6">
        <v>44509</v>
      </c>
      <c r="E897" t="str">
        <f>"IN0867175"</f>
        <v>IN0867175</v>
      </c>
      <c r="F897" t="str">
        <f>"INV IN0867175"</f>
        <v>INV IN0867175</v>
      </c>
      <c r="G897" s="3">
        <v>4945.68</v>
      </c>
      <c r="H897" t="str">
        <f>"INV IN0867175"</f>
        <v>INV IN0867175</v>
      </c>
    </row>
    <row r="898" spans="1:8" x14ac:dyDescent="0.25">
      <c r="E898" t="str">
        <f>"IN0867544"</f>
        <v>IN0867544</v>
      </c>
      <c r="F898" t="str">
        <f>"INV IN0867544  IN0867532"</f>
        <v>INV IN0867544  IN0867532</v>
      </c>
      <c r="G898" s="3">
        <v>2073</v>
      </c>
      <c r="H898" t="str">
        <f>"INV IN0867544"</f>
        <v>INV IN0867544</v>
      </c>
    </row>
    <row r="899" spans="1:8" x14ac:dyDescent="0.25">
      <c r="E899" t="str">
        <f>""</f>
        <v/>
      </c>
      <c r="F899" t="str">
        <f>""</f>
        <v/>
      </c>
      <c r="G899" s="3">
        <v>1597.44</v>
      </c>
      <c r="H899" t="str">
        <f>"INV IN0867532"</f>
        <v>INV IN0867532</v>
      </c>
    </row>
    <row r="900" spans="1:8" x14ac:dyDescent="0.25">
      <c r="A900" t="s">
        <v>463</v>
      </c>
      <c r="B900">
        <v>5399</v>
      </c>
      <c r="C900" s="3">
        <v>2403.1799999999998</v>
      </c>
      <c r="D900" s="6">
        <v>44523</v>
      </c>
      <c r="E900" t="str">
        <f>"0868002"</f>
        <v>0868002</v>
      </c>
      <c r="F900" t="str">
        <f>"INV IN0868002"</f>
        <v>INV IN0868002</v>
      </c>
      <c r="G900" s="3">
        <v>2403.1799999999998</v>
      </c>
      <c r="H900" t="str">
        <f>"INV IN0868002"</f>
        <v>INV IN0868002</v>
      </c>
    </row>
    <row r="901" spans="1:8" x14ac:dyDescent="0.25">
      <c r="A901" t="s">
        <v>464</v>
      </c>
      <c r="B901">
        <v>137798</v>
      </c>
      <c r="C901" s="3">
        <v>170</v>
      </c>
      <c r="D901" s="6">
        <v>44508</v>
      </c>
      <c r="E901" t="s">
        <v>465</v>
      </c>
      <c r="F901" s="3" t="str">
        <f>"RESTITUTION - JUAN OLIVO"</f>
        <v>RESTITUTION - JUAN OLIVO</v>
      </c>
      <c r="G901" s="3">
        <v>170</v>
      </c>
      <c r="H901" t="str">
        <f>"RESTITUTION - JUAN OLIVO"</f>
        <v>RESTITUTION - JUAN OLIVO</v>
      </c>
    </row>
    <row r="902" spans="1:8" x14ac:dyDescent="0.25">
      <c r="A902" t="s">
        <v>466</v>
      </c>
      <c r="B902">
        <v>5384</v>
      </c>
      <c r="C902" s="3">
        <v>25.64</v>
      </c>
      <c r="D902" s="6">
        <v>44509</v>
      </c>
      <c r="E902" t="str">
        <f>"0581-338949"</f>
        <v>0581-338949</v>
      </c>
      <c r="F902" t="str">
        <f>"INV 0581-338949"</f>
        <v>INV 0581-338949</v>
      </c>
      <c r="G902" s="3">
        <v>25.64</v>
      </c>
      <c r="H902" t="str">
        <f>"INV 0581-338949"</f>
        <v>INV 0581-338949</v>
      </c>
    </row>
    <row r="903" spans="1:8" x14ac:dyDescent="0.25">
      <c r="A903" t="s">
        <v>466</v>
      </c>
      <c r="B903">
        <v>5461</v>
      </c>
      <c r="C903" s="3">
        <v>179.96</v>
      </c>
      <c r="D903" s="6">
        <v>44523</v>
      </c>
      <c r="E903" t="str">
        <f>"0581-344126"</f>
        <v>0581-344126</v>
      </c>
      <c r="F903" t="str">
        <f>"INV 0581-344126"</f>
        <v>INV 0581-344126</v>
      </c>
      <c r="G903" s="3">
        <v>17.559999999999999</v>
      </c>
      <c r="H903" t="str">
        <f>"INV 0581-344126"</f>
        <v>INV 0581-344126</v>
      </c>
    </row>
    <row r="904" spans="1:8" x14ac:dyDescent="0.25">
      <c r="E904" t="str">
        <f>"0605453852"</f>
        <v>0605453852</v>
      </c>
      <c r="F904" t="str">
        <f>"CUST #99088 PCT#4"</f>
        <v>CUST #99088 PCT#4</v>
      </c>
      <c r="G904" s="3">
        <v>72.97</v>
      </c>
      <c r="H904" t="str">
        <f>"CUST #99088 PCT#4"</f>
        <v>CUST #99088 PCT#4</v>
      </c>
    </row>
    <row r="905" spans="1:8" x14ac:dyDescent="0.25">
      <c r="E905" t="str">
        <f>"202111107127"</f>
        <v>202111107127</v>
      </c>
      <c r="F905" t="str">
        <f>"CUST#1772018/PCT#1"</f>
        <v>CUST#1772018/PCT#1</v>
      </c>
      <c r="G905" s="3">
        <v>84.71</v>
      </c>
      <c r="H905" t="str">
        <f>"CUST#1772018/PCT#1"</f>
        <v>CUST#1772018/PCT#1</v>
      </c>
    </row>
    <row r="906" spans="1:8" x14ac:dyDescent="0.25">
      <c r="E906" t="str">
        <f>"202111157139"</f>
        <v>202111157139</v>
      </c>
      <c r="F906" t="str">
        <f>"CUST#1772018/DEV SVCS"</f>
        <v>CUST#1772018/DEV SVCS</v>
      </c>
      <c r="G906" s="3">
        <v>4.72</v>
      </c>
      <c r="H906" t="str">
        <f>"CUST#1772018/DEV SVCS"</f>
        <v>CUST#1772018/DEV SVCS</v>
      </c>
    </row>
    <row r="907" spans="1:8" x14ac:dyDescent="0.25">
      <c r="A907" t="s">
        <v>467</v>
      </c>
      <c r="B907">
        <v>137799</v>
      </c>
      <c r="C907" s="3">
        <v>2750.56</v>
      </c>
      <c r="D907" s="6">
        <v>44508</v>
      </c>
      <c r="E907" t="str">
        <f>"202111047023"</f>
        <v>202111047023</v>
      </c>
      <c r="F907" t="str">
        <f>"Statement"</f>
        <v>Statement</v>
      </c>
      <c r="G907" s="3">
        <v>33.21</v>
      </c>
      <c r="H907" t="str">
        <f>"200533340001"</f>
        <v>200533340001</v>
      </c>
    </row>
    <row r="908" spans="1:8" x14ac:dyDescent="0.25">
      <c r="E908" t="str">
        <f>""</f>
        <v/>
      </c>
      <c r="F908" t="str">
        <f>""</f>
        <v/>
      </c>
      <c r="G908" s="3">
        <v>216.92</v>
      </c>
      <c r="H908" t="str">
        <f>"202323007001"</f>
        <v>202323007001</v>
      </c>
    </row>
    <row r="909" spans="1:8" x14ac:dyDescent="0.25">
      <c r="E909" t="str">
        <f>""</f>
        <v/>
      </c>
      <c r="F909" t="str">
        <f>""</f>
        <v/>
      </c>
      <c r="G909" s="3">
        <v>690.53</v>
      </c>
      <c r="H909" t="str">
        <f>"202801567001"</f>
        <v>202801567001</v>
      </c>
    </row>
    <row r="910" spans="1:8" x14ac:dyDescent="0.25">
      <c r="E910" t="str">
        <f>""</f>
        <v/>
      </c>
      <c r="F910" t="str">
        <f>""</f>
        <v/>
      </c>
      <c r="G910" s="3">
        <v>9.57</v>
      </c>
      <c r="H910" t="str">
        <f>"201380906002"</f>
        <v>201380906002</v>
      </c>
    </row>
    <row r="911" spans="1:8" x14ac:dyDescent="0.25">
      <c r="E911" t="str">
        <f>""</f>
        <v/>
      </c>
      <c r="F911" t="str">
        <f>""</f>
        <v/>
      </c>
      <c r="G911" s="3">
        <v>24.7</v>
      </c>
      <c r="H911" t="str">
        <f>"202404101001"</f>
        <v>202404101001</v>
      </c>
    </row>
    <row r="912" spans="1:8" x14ac:dyDescent="0.25">
      <c r="E912" t="str">
        <f>""</f>
        <v/>
      </c>
      <c r="F912" t="str">
        <f>""</f>
        <v/>
      </c>
      <c r="G912" s="3">
        <v>471.98</v>
      </c>
      <c r="H912" t="str">
        <f>"202407969001"</f>
        <v>202407969001</v>
      </c>
    </row>
    <row r="913" spans="1:8" x14ac:dyDescent="0.25">
      <c r="E913" t="str">
        <f>""</f>
        <v/>
      </c>
      <c r="F913" t="str">
        <f>""</f>
        <v/>
      </c>
      <c r="G913" s="3">
        <v>856.47</v>
      </c>
      <c r="H913" t="str">
        <f>"203455093001"</f>
        <v>203455093001</v>
      </c>
    </row>
    <row r="914" spans="1:8" x14ac:dyDescent="0.25">
      <c r="E914" t="str">
        <f>""</f>
        <v/>
      </c>
      <c r="F914" t="str">
        <f>""</f>
        <v/>
      </c>
      <c r="G914" s="3">
        <v>53.98</v>
      </c>
      <c r="H914" t="str">
        <f>"203459779001"</f>
        <v>203459779001</v>
      </c>
    </row>
    <row r="915" spans="1:8" x14ac:dyDescent="0.25">
      <c r="E915" t="str">
        <f>""</f>
        <v/>
      </c>
      <c r="F915" t="str">
        <f>""</f>
        <v/>
      </c>
      <c r="G915" s="3">
        <v>306.06</v>
      </c>
      <c r="H915" t="str">
        <f>"202960259001"</f>
        <v>202960259001</v>
      </c>
    </row>
    <row r="916" spans="1:8" x14ac:dyDescent="0.25">
      <c r="E916" t="str">
        <f>""</f>
        <v/>
      </c>
      <c r="F916" t="str">
        <f>""</f>
        <v/>
      </c>
      <c r="G916" s="3">
        <v>22.75</v>
      </c>
      <c r="H916" t="str">
        <f>"200533340001"</f>
        <v>200533340001</v>
      </c>
    </row>
    <row r="917" spans="1:8" x14ac:dyDescent="0.25">
      <c r="E917" t="str">
        <f>""</f>
        <v/>
      </c>
      <c r="F917" t="str">
        <f>""</f>
        <v/>
      </c>
      <c r="G917" s="3">
        <v>19.989999999999998</v>
      </c>
      <c r="H917" t="str">
        <f>"200579841001"</f>
        <v>200579841001</v>
      </c>
    </row>
    <row r="918" spans="1:8" x14ac:dyDescent="0.25">
      <c r="E918" t="str">
        <f>""</f>
        <v/>
      </c>
      <c r="F918" t="str">
        <f>""</f>
        <v/>
      </c>
      <c r="G918" s="3">
        <v>35.590000000000003</v>
      </c>
      <c r="H918" t="str">
        <f>"206188628001"</f>
        <v>206188628001</v>
      </c>
    </row>
    <row r="919" spans="1:8" x14ac:dyDescent="0.25">
      <c r="E919" t="str">
        <f>""</f>
        <v/>
      </c>
      <c r="F919" t="str">
        <f>""</f>
        <v/>
      </c>
      <c r="G919" s="3">
        <v>8.81</v>
      </c>
      <c r="H919" t="str">
        <f>"206189637001"</f>
        <v>206189637001</v>
      </c>
    </row>
    <row r="920" spans="1:8" x14ac:dyDescent="0.25">
      <c r="A920" t="s">
        <v>467</v>
      </c>
      <c r="B920">
        <v>138060</v>
      </c>
      <c r="C920" s="3">
        <v>1171.94</v>
      </c>
      <c r="D920" s="6">
        <v>44522</v>
      </c>
      <c r="E920" t="str">
        <f>"20094321"</f>
        <v>20094321</v>
      </c>
      <c r="F920" t="str">
        <f>"Statement"</f>
        <v>Statement</v>
      </c>
      <c r="G920" s="3">
        <v>86.09</v>
      </c>
      <c r="H920" t="str">
        <f>"203374718001"</f>
        <v>203374718001</v>
      </c>
    </row>
    <row r="921" spans="1:8" x14ac:dyDescent="0.25">
      <c r="E921" t="str">
        <f>""</f>
        <v/>
      </c>
      <c r="F921" t="str">
        <f>""</f>
        <v/>
      </c>
      <c r="G921" s="3">
        <v>35.96</v>
      </c>
      <c r="H921" t="str">
        <f>"203407950001"</f>
        <v>203407950001</v>
      </c>
    </row>
    <row r="922" spans="1:8" x14ac:dyDescent="0.25">
      <c r="E922" t="str">
        <f>""</f>
        <v/>
      </c>
      <c r="F922" t="str">
        <f>""</f>
        <v/>
      </c>
      <c r="G922" s="3">
        <v>71.900000000000006</v>
      </c>
      <c r="H922" t="str">
        <f>"207316542001"</f>
        <v>207316542001</v>
      </c>
    </row>
    <row r="923" spans="1:8" x14ac:dyDescent="0.25">
      <c r="E923" t="str">
        <f>""</f>
        <v/>
      </c>
      <c r="F923" t="str">
        <f>""</f>
        <v/>
      </c>
      <c r="G923" s="3">
        <v>144.01</v>
      </c>
      <c r="H923" t="str">
        <f>"207733386001"</f>
        <v>207733386001</v>
      </c>
    </row>
    <row r="924" spans="1:8" x14ac:dyDescent="0.25">
      <c r="E924" t="str">
        <f>""</f>
        <v/>
      </c>
      <c r="F924" t="str">
        <f>""</f>
        <v/>
      </c>
      <c r="G924" s="3">
        <v>85.99</v>
      </c>
      <c r="H924" t="str">
        <f>"207746504001"</f>
        <v>207746504001</v>
      </c>
    </row>
    <row r="925" spans="1:8" x14ac:dyDescent="0.25">
      <c r="E925" t="str">
        <f>""</f>
        <v/>
      </c>
      <c r="F925" t="str">
        <f>""</f>
        <v/>
      </c>
      <c r="G925" s="3">
        <v>686.88</v>
      </c>
      <c r="H925" t="str">
        <f>"207643149001"</f>
        <v>207643149001</v>
      </c>
    </row>
    <row r="926" spans="1:8" x14ac:dyDescent="0.25">
      <c r="E926" t="str">
        <f>""</f>
        <v/>
      </c>
      <c r="F926" t="str">
        <f>""</f>
        <v/>
      </c>
      <c r="G926" s="3">
        <v>47.92</v>
      </c>
      <c r="H926" t="str">
        <f>"607646952001"</f>
        <v>607646952001</v>
      </c>
    </row>
    <row r="927" spans="1:8" x14ac:dyDescent="0.25">
      <c r="E927" t="str">
        <f>""</f>
        <v/>
      </c>
      <c r="F927" t="str">
        <f>""</f>
        <v/>
      </c>
      <c r="G927" s="3">
        <v>13.19</v>
      </c>
      <c r="H927" t="str">
        <f>"206189638001"</f>
        <v>206189638001</v>
      </c>
    </row>
    <row r="928" spans="1:8" x14ac:dyDescent="0.25">
      <c r="A928" t="s">
        <v>468</v>
      </c>
      <c r="B928">
        <v>138061</v>
      </c>
      <c r="C928" s="3">
        <v>545</v>
      </c>
      <c r="D928" s="6">
        <v>44522</v>
      </c>
      <c r="E928" t="str">
        <f>" 289814"</f>
        <v xml:space="preserve"> 289814</v>
      </c>
      <c r="F928" t="str">
        <f>"CUST ID:BASCOU/DRUG SCREENING"</f>
        <v>CUST ID:BASCOU/DRUG SCREENING</v>
      </c>
      <c r="G928" s="3">
        <v>35</v>
      </c>
      <c r="H928" t="str">
        <f>"CUST ID:BASCOU/DRUG SCREENING"</f>
        <v>CUST ID:BASCOU/DRUG SCREENING</v>
      </c>
    </row>
    <row r="929" spans="1:8" x14ac:dyDescent="0.25">
      <c r="E929" t="str">
        <f>"289814"</f>
        <v>289814</v>
      </c>
      <c r="F929" t="str">
        <f>"CUST#BASCOU/PCT1"</f>
        <v>CUST#BASCOU/PCT1</v>
      </c>
      <c r="G929" s="3">
        <v>90</v>
      </c>
      <c r="H929" t="str">
        <f>"CUST#BASCOU/PCT1"</f>
        <v>CUST#BASCOU/PCT1</v>
      </c>
    </row>
    <row r="930" spans="1:8" x14ac:dyDescent="0.25">
      <c r="E930" t="str">
        <f>"289814 2"</f>
        <v>289814 2</v>
      </c>
      <c r="F930" t="str">
        <f>"CUST ID BASCOU PCT2"</f>
        <v>CUST ID BASCOU PCT2</v>
      </c>
      <c r="G930" s="3">
        <v>210</v>
      </c>
      <c r="H930" t="str">
        <f>"RANDOM DOT &amp; BAT/ PCT2"</f>
        <v>RANDOM DOT &amp; BAT/ PCT2</v>
      </c>
    </row>
    <row r="931" spans="1:8" x14ac:dyDescent="0.25">
      <c r="E931" t="str">
        <f>"289814 3"</f>
        <v>289814 3</v>
      </c>
      <c r="F931" t="str">
        <f>"CUST IS BASCOU PCT3"</f>
        <v>CUST IS BASCOU PCT3</v>
      </c>
      <c r="G931" s="3">
        <v>165</v>
      </c>
      <c r="H931" t="str">
        <f>"CUST IS BASCOU PCT3"</f>
        <v>CUST IS BASCOU PCT3</v>
      </c>
    </row>
    <row r="932" spans="1:8" x14ac:dyDescent="0.25">
      <c r="E932" t="str">
        <f>"289814 4"</f>
        <v>289814 4</v>
      </c>
      <c r="F932" t="str">
        <f>"CUST IS BASCOU PCT4"</f>
        <v>CUST IS BASCOU PCT4</v>
      </c>
      <c r="G932" s="3">
        <v>45</v>
      </c>
      <c r="H932" t="str">
        <f>"CUST IS BASCOU PCT4"</f>
        <v>CUST IS BASCOU PCT4</v>
      </c>
    </row>
    <row r="933" spans="1:8" x14ac:dyDescent="0.25">
      <c r="A933" t="s">
        <v>469</v>
      </c>
      <c r="B933">
        <v>137800</v>
      </c>
      <c r="C933" s="3">
        <v>12884</v>
      </c>
      <c r="D933" s="6">
        <v>44508</v>
      </c>
      <c r="E933" t="str">
        <f>"59688"</f>
        <v>59688</v>
      </c>
      <c r="F933" t="str">
        <f>"SUBSCRIPTION &amp; PRODUCT LICEN"</f>
        <v>SUBSCRIPTION &amp; PRODUCT LICEN</v>
      </c>
      <c r="G933" s="3">
        <v>11754.82</v>
      </c>
      <c r="H933" t="str">
        <f>"SUBSCRIPTION &amp; PRODUCT LICEN"</f>
        <v>SUBSCRIPTION &amp; PRODUCT LICEN</v>
      </c>
    </row>
    <row r="934" spans="1:8" x14ac:dyDescent="0.25">
      <c r="E934" t="str">
        <f>""</f>
        <v/>
      </c>
      <c r="F934" t="str">
        <f>""</f>
        <v/>
      </c>
      <c r="G934" s="3">
        <v>564.59</v>
      </c>
      <c r="H934" t="str">
        <f>"SUBSCRIPTION &amp; PRODUCT LICEN"</f>
        <v>SUBSCRIPTION &amp; PRODUCT LICEN</v>
      </c>
    </row>
    <row r="935" spans="1:8" x14ac:dyDescent="0.25">
      <c r="E935" t="str">
        <f>""</f>
        <v/>
      </c>
      <c r="F935" t="str">
        <f>""</f>
        <v/>
      </c>
      <c r="G935" s="3">
        <v>564.59</v>
      </c>
      <c r="H935" t="str">
        <f>"SUBSCRIPTION &amp; PRODUCT LICEN"</f>
        <v>SUBSCRIPTION &amp; PRODUCT LICEN</v>
      </c>
    </row>
    <row r="936" spans="1:8" x14ac:dyDescent="0.25">
      <c r="A936" t="s">
        <v>470</v>
      </c>
      <c r="B936">
        <v>138062</v>
      </c>
      <c r="C936" s="3">
        <v>170.45</v>
      </c>
      <c r="D936" s="6">
        <v>44522</v>
      </c>
      <c r="E936" t="str">
        <f>"0004628"</f>
        <v>0004628</v>
      </c>
      <c r="F936" t="str">
        <f>"CALL/EMAIL/MEETINGS"</f>
        <v>CALL/EMAIL/MEETINGS</v>
      </c>
      <c r="G936" s="3">
        <v>170.45</v>
      </c>
      <c r="H936" t="str">
        <f>"CALL/EMAIL/MEETINGS"</f>
        <v>CALL/EMAIL/MEETINGS</v>
      </c>
    </row>
    <row r="937" spans="1:8" x14ac:dyDescent="0.25">
      <c r="A937" t="s">
        <v>471</v>
      </c>
      <c r="B937">
        <v>137801</v>
      </c>
      <c r="C937" s="3">
        <v>279.14999999999998</v>
      </c>
      <c r="D937" s="6">
        <v>44508</v>
      </c>
      <c r="E937" t="str">
        <f>"86281"</f>
        <v>86281</v>
      </c>
      <c r="F937" t="str">
        <f>"ACCT#222/PCT#2"</f>
        <v>ACCT#222/PCT#2</v>
      </c>
      <c r="G937" s="3">
        <v>178.65</v>
      </c>
      <c r="H937" t="str">
        <f>"ACCT#222/PCT#2"</f>
        <v>ACCT#222/PCT#2</v>
      </c>
    </row>
    <row r="938" spans="1:8" x14ac:dyDescent="0.25">
      <c r="E938" t="str">
        <f>"86470"</f>
        <v>86470</v>
      </c>
      <c r="F938" t="str">
        <f>"ACCT#222/PCT#2"</f>
        <v>ACCT#222/PCT#2</v>
      </c>
      <c r="G938" s="3">
        <v>100.5</v>
      </c>
      <c r="H938" t="str">
        <f>"ACCT#222/PCT#2"</f>
        <v>ACCT#222/PCT#2</v>
      </c>
    </row>
    <row r="939" spans="1:8" x14ac:dyDescent="0.25">
      <c r="A939" t="s">
        <v>471</v>
      </c>
      <c r="B939">
        <v>138063</v>
      </c>
      <c r="C939" s="3">
        <v>330.67</v>
      </c>
      <c r="D939" s="6">
        <v>44522</v>
      </c>
      <c r="E939" t="str">
        <f>"11701"</f>
        <v>11701</v>
      </c>
      <c r="F939" t="str">
        <f>"PARTS PCT4"</f>
        <v>PARTS PCT4</v>
      </c>
      <c r="G939" s="3">
        <v>322.14999999999998</v>
      </c>
      <c r="H939" t="str">
        <f>"PARTS PCT4"</f>
        <v>PARTS PCT4</v>
      </c>
    </row>
    <row r="940" spans="1:8" x14ac:dyDescent="0.25">
      <c r="E940" t="str">
        <f>"86716"</f>
        <v>86716</v>
      </c>
      <c r="F940" t="str">
        <f>"PARTS PCT4"</f>
        <v>PARTS PCT4</v>
      </c>
      <c r="G940" s="3">
        <v>8.52</v>
      </c>
      <c r="H940" t="str">
        <f>"PARTS PCT4"</f>
        <v>PARTS PCT4</v>
      </c>
    </row>
    <row r="941" spans="1:8" x14ac:dyDescent="0.25">
      <c r="A941" t="s">
        <v>472</v>
      </c>
      <c r="B941">
        <v>5437</v>
      </c>
      <c r="C941" s="3">
        <v>145</v>
      </c>
      <c r="D941" s="6">
        <v>44523</v>
      </c>
      <c r="E941" t="str">
        <f>"0000060560"</f>
        <v>0000060560</v>
      </c>
      <c r="F941" t="str">
        <f>"INV 0000060560"</f>
        <v>INV 0000060560</v>
      </c>
      <c r="G941" s="3">
        <v>145</v>
      </c>
      <c r="H941" t="str">
        <f>"INV 0000060560"</f>
        <v>INV 0000060560</v>
      </c>
    </row>
    <row r="942" spans="1:8" x14ac:dyDescent="0.25">
      <c r="A942" t="s">
        <v>473</v>
      </c>
      <c r="B942">
        <v>138064</v>
      </c>
      <c r="C942" s="3">
        <v>562.34</v>
      </c>
      <c r="D942" s="6">
        <v>44522</v>
      </c>
      <c r="E942" t="str">
        <f>"1509228"</f>
        <v>1509228</v>
      </c>
      <c r="F942" t="str">
        <f>"CUST #PK001137 PCT#4"</f>
        <v>CUST #PK001137 PCT#4</v>
      </c>
      <c r="G942" s="3">
        <v>562.34</v>
      </c>
      <c r="H942" t="str">
        <f>"CUST #PK001137 PCT#4"</f>
        <v>CUST #PK001137 PCT#4</v>
      </c>
    </row>
    <row r="943" spans="1:8" x14ac:dyDescent="0.25">
      <c r="A943" t="s">
        <v>474</v>
      </c>
      <c r="B943">
        <v>138065</v>
      </c>
      <c r="C943" s="3">
        <v>128.85</v>
      </c>
      <c r="D943" s="6">
        <v>44522</v>
      </c>
      <c r="E943" t="str">
        <f>"11222"</f>
        <v>11222</v>
      </c>
      <c r="F943" t="str">
        <f>"LIME GREEN CONE/PCT1"</f>
        <v>LIME GREEN CONE/PCT1</v>
      </c>
      <c r="G943" s="3">
        <v>128.85</v>
      </c>
      <c r="H943" t="str">
        <f>"LIME GREEN CONE/PCT1"</f>
        <v>LIME GREEN CONE/PCT1</v>
      </c>
    </row>
    <row r="944" spans="1:8" x14ac:dyDescent="0.25">
      <c r="A944" t="s">
        <v>475</v>
      </c>
      <c r="B944">
        <v>137802</v>
      </c>
      <c r="C944" s="3">
        <v>4211.88</v>
      </c>
      <c r="D944" s="6">
        <v>44508</v>
      </c>
      <c r="E944" t="str">
        <f>"202111026966"</f>
        <v>202111026966</v>
      </c>
      <c r="F944" t="str">
        <f>"ACCT#0200140783/ANIMAL CONTROL"</f>
        <v>ACCT#0200140783/ANIMAL CONTROL</v>
      </c>
      <c r="G944" s="3">
        <v>3704.81</v>
      </c>
      <c r="H944" t="str">
        <f>"ACCT#0200140783/ANIMAL CONTROL"</f>
        <v>ACCT#0200140783/ANIMAL CONTROL</v>
      </c>
    </row>
    <row r="945" spans="1:8" x14ac:dyDescent="0.25">
      <c r="E945" t="str">
        <f>""</f>
        <v/>
      </c>
      <c r="F945" t="str">
        <f>""</f>
        <v/>
      </c>
      <c r="G945" s="3">
        <v>384</v>
      </c>
      <c r="H945" t="str">
        <f>"ACCT#0200140783/ANIMAL CONTROL"</f>
        <v>ACCT#0200140783/ANIMAL CONTROL</v>
      </c>
    </row>
    <row r="946" spans="1:8" x14ac:dyDescent="0.25">
      <c r="E946" t="str">
        <f>""</f>
        <v/>
      </c>
      <c r="F946" t="str">
        <f>""</f>
        <v/>
      </c>
      <c r="G946" s="3">
        <v>123.07</v>
      </c>
      <c r="H946" t="str">
        <f>"ACCT#0200140783/ANIMAL CONTROL"</f>
        <v>ACCT#0200140783/ANIMAL CONTROL</v>
      </c>
    </row>
    <row r="947" spans="1:8" x14ac:dyDescent="0.25">
      <c r="A947" t="s">
        <v>476</v>
      </c>
      <c r="B947">
        <v>5332</v>
      </c>
      <c r="C947" s="3">
        <v>702</v>
      </c>
      <c r="D947" s="6">
        <v>44509</v>
      </c>
      <c r="E947" t="str">
        <f>"202111026981"</f>
        <v>202111026981</v>
      </c>
      <c r="F947" t="str">
        <f>"TRASH REMOVAL 110121-110521"</f>
        <v>TRASH REMOVAL 110121-110521</v>
      </c>
      <c r="G947" s="3">
        <v>390</v>
      </c>
      <c r="H947" t="str">
        <f>"TRASH REMOVAL 110121-110521"</f>
        <v>TRASH REMOVAL 110121-110521</v>
      </c>
    </row>
    <row r="948" spans="1:8" x14ac:dyDescent="0.25">
      <c r="E948" t="str">
        <f>"202111026982"</f>
        <v>202111026982</v>
      </c>
      <c r="F948" t="str">
        <f>"TRASH REMOVAL 102521-102921"</f>
        <v>TRASH REMOVAL 102521-102921</v>
      </c>
      <c r="G948" s="3">
        <v>312</v>
      </c>
      <c r="H948" t="str">
        <f>"TRASH REMOVAL 102521-102921"</f>
        <v>TRASH REMOVAL 102521-102921</v>
      </c>
    </row>
    <row r="949" spans="1:8" x14ac:dyDescent="0.25">
      <c r="A949" t="s">
        <v>476</v>
      </c>
      <c r="B949">
        <v>5408</v>
      </c>
      <c r="C949" s="3">
        <v>643.5</v>
      </c>
      <c r="D949" s="6">
        <v>44523</v>
      </c>
      <c r="E949" t="str">
        <f>"202111167182"</f>
        <v>202111167182</v>
      </c>
      <c r="F949" t="str">
        <f>"TRASH REMOVAL 11/9-11/19/21"</f>
        <v>TRASH REMOVAL 11/9-11/19/21</v>
      </c>
      <c r="G949" s="3">
        <v>643.5</v>
      </c>
      <c r="H949" t="str">
        <f>"TRASH REMOVAL 11/9-11/19/21"</f>
        <v>TRASH REMOVAL 11/9-11/19/21</v>
      </c>
    </row>
    <row r="950" spans="1:8" x14ac:dyDescent="0.25">
      <c r="A950" t="s">
        <v>477</v>
      </c>
      <c r="B950">
        <v>137803</v>
      </c>
      <c r="C950" s="3">
        <v>9430.41</v>
      </c>
      <c r="D950" s="6">
        <v>44508</v>
      </c>
      <c r="E950" t="str">
        <f>"IVC00061707"</f>
        <v>IVC00061707</v>
      </c>
      <c r="F950" t="str">
        <f>"ATTNY FEES/PROF SVCS/3RD QTR"</f>
        <v>ATTNY FEES/PROF SVCS/3RD QTR</v>
      </c>
      <c r="G950" s="3">
        <v>9430.41</v>
      </c>
      <c r="H950" t="str">
        <f>"ATTNY FEES/PROF SVCS/3RD QTR"</f>
        <v>ATTNY FEES/PROF SVCS/3RD QTR</v>
      </c>
    </row>
    <row r="951" spans="1:8" x14ac:dyDescent="0.25">
      <c r="A951" t="s">
        <v>478</v>
      </c>
      <c r="B951">
        <v>5452</v>
      </c>
      <c r="C951" s="3">
        <v>1725</v>
      </c>
      <c r="D951" s="6">
        <v>44523</v>
      </c>
      <c r="E951" t="str">
        <f>"202111107080"</f>
        <v>202111107080</v>
      </c>
      <c r="F951" t="str">
        <f>"21-20975"</f>
        <v>21-20975</v>
      </c>
      <c r="G951" s="3">
        <v>975</v>
      </c>
      <c r="H951" t="str">
        <f>"21-20975"</f>
        <v>21-20975</v>
      </c>
    </row>
    <row r="952" spans="1:8" x14ac:dyDescent="0.25">
      <c r="E952" t="str">
        <f>"202111107109"</f>
        <v>202111107109</v>
      </c>
      <c r="F952" t="str">
        <f>"C21-0025"</f>
        <v>C21-0025</v>
      </c>
      <c r="G952" s="3">
        <v>250</v>
      </c>
      <c r="H952" t="str">
        <f>"C21-0025"</f>
        <v>C21-0025</v>
      </c>
    </row>
    <row r="953" spans="1:8" x14ac:dyDescent="0.25">
      <c r="E953" t="str">
        <f>"202111107110"</f>
        <v>202111107110</v>
      </c>
      <c r="F953" t="str">
        <f>"4060821-2"</f>
        <v>4060821-2</v>
      </c>
      <c r="G953" s="3">
        <v>250</v>
      </c>
      <c r="H953" t="str">
        <f>"4060821-2"</f>
        <v>4060821-2</v>
      </c>
    </row>
    <row r="954" spans="1:8" x14ac:dyDescent="0.25">
      <c r="E954" t="str">
        <f>"202111157154"</f>
        <v>202111157154</v>
      </c>
      <c r="F954" t="str">
        <f>"57476"</f>
        <v>57476</v>
      </c>
      <c r="G954" s="3">
        <v>250</v>
      </c>
      <c r="H954" t="str">
        <f>"57476"</f>
        <v>57476</v>
      </c>
    </row>
    <row r="955" spans="1:8" x14ac:dyDescent="0.25">
      <c r="A955" t="s">
        <v>479</v>
      </c>
      <c r="B955">
        <v>137804</v>
      </c>
      <c r="C955" s="3">
        <v>99</v>
      </c>
      <c r="D955" s="6">
        <v>44508</v>
      </c>
      <c r="E955" t="str">
        <f>"1019248448"</f>
        <v>1019248448</v>
      </c>
      <c r="F955" t="str">
        <f>"INV 1019248448"</f>
        <v>INV 1019248448</v>
      </c>
      <c r="G955" s="3">
        <v>99</v>
      </c>
      <c r="H955" t="str">
        <f>"INV 1019248448"</f>
        <v>INV 1019248448</v>
      </c>
    </row>
    <row r="956" spans="1:8" x14ac:dyDescent="0.25">
      <c r="A956" t="s">
        <v>480</v>
      </c>
      <c r="B956">
        <v>5338</v>
      </c>
      <c r="C956" s="3">
        <v>17032.25</v>
      </c>
      <c r="D956" s="6">
        <v>44509</v>
      </c>
      <c r="E956" t="str">
        <f>"202111016847"</f>
        <v>202111016847</v>
      </c>
      <c r="F956" t="str">
        <f>"20-20208"</f>
        <v>20-20208</v>
      </c>
      <c r="G956" s="3">
        <v>161.25</v>
      </c>
      <c r="H956" t="str">
        <f>"20-20208"</f>
        <v>20-20208</v>
      </c>
    </row>
    <row r="957" spans="1:8" x14ac:dyDescent="0.25">
      <c r="E957" t="str">
        <f>"202111016848"</f>
        <v>202111016848</v>
      </c>
      <c r="F957" t="str">
        <f>"19-19567"</f>
        <v>19-19567</v>
      </c>
      <c r="G957" s="3">
        <v>647.5</v>
      </c>
      <c r="H957" t="str">
        <f>"19-19567"</f>
        <v>19-19567</v>
      </c>
    </row>
    <row r="958" spans="1:8" x14ac:dyDescent="0.25">
      <c r="E958" t="str">
        <f>"202111016849"</f>
        <v>202111016849</v>
      </c>
      <c r="F958" t="str">
        <f>"20-20056"</f>
        <v>20-20056</v>
      </c>
      <c r="G958" s="3">
        <v>4874.75</v>
      </c>
      <c r="H958" t="str">
        <f>"20-20056"</f>
        <v>20-20056</v>
      </c>
    </row>
    <row r="959" spans="1:8" x14ac:dyDescent="0.25">
      <c r="E959" t="str">
        <f>"202111016850"</f>
        <v>202111016850</v>
      </c>
      <c r="F959" t="str">
        <f>"21-20635"</f>
        <v>21-20635</v>
      </c>
      <c r="G959" s="3">
        <v>912.5</v>
      </c>
      <c r="H959" t="str">
        <f>"21-20635"</f>
        <v>21-20635</v>
      </c>
    </row>
    <row r="960" spans="1:8" x14ac:dyDescent="0.25">
      <c r="E960" t="str">
        <f>"202111016851"</f>
        <v>202111016851</v>
      </c>
      <c r="F960" t="str">
        <f>"20-20372"</f>
        <v>20-20372</v>
      </c>
      <c r="G960" s="3">
        <v>841.25</v>
      </c>
      <c r="H960" t="str">
        <f>"20-20372"</f>
        <v>20-20372</v>
      </c>
    </row>
    <row r="961" spans="5:8" x14ac:dyDescent="0.25">
      <c r="E961" t="str">
        <f>"202111016852"</f>
        <v>202111016852</v>
      </c>
      <c r="F961" t="str">
        <f>"21-20881"</f>
        <v>21-20881</v>
      </c>
      <c r="G961" s="3">
        <v>306.25</v>
      </c>
      <c r="H961" t="str">
        <f>"21-20881"</f>
        <v>21-20881</v>
      </c>
    </row>
    <row r="962" spans="5:8" x14ac:dyDescent="0.25">
      <c r="E962" t="str">
        <f>"202111016853"</f>
        <v>202111016853</v>
      </c>
      <c r="F962" t="str">
        <f>"21-20880"</f>
        <v>21-20880</v>
      </c>
      <c r="G962" s="3">
        <v>105</v>
      </c>
      <c r="H962" t="str">
        <f>"21-20880"</f>
        <v>21-20880</v>
      </c>
    </row>
    <row r="963" spans="5:8" x14ac:dyDescent="0.25">
      <c r="E963" t="str">
        <f>"202111016854"</f>
        <v>202111016854</v>
      </c>
      <c r="F963" t="str">
        <f>"20-20377"</f>
        <v>20-20377</v>
      </c>
      <c r="G963" s="3">
        <v>666.25</v>
      </c>
      <c r="H963" t="str">
        <f>"20-20377"</f>
        <v>20-20377</v>
      </c>
    </row>
    <row r="964" spans="5:8" x14ac:dyDescent="0.25">
      <c r="E964" t="str">
        <f>"202111016855"</f>
        <v>202111016855</v>
      </c>
      <c r="F964" t="str">
        <f>"20-20448"</f>
        <v>20-20448</v>
      </c>
      <c r="G964" s="3">
        <v>7.5</v>
      </c>
      <c r="H964" t="str">
        <f>"20-20448"</f>
        <v>20-20448</v>
      </c>
    </row>
    <row r="965" spans="5:8" x14ac:dyDescent="0.25">
      <c r="E965" t="str">
        <f>"202111016856"</f>
        <v>202111016856</v>
      </c>
      <c r="F965" t="str">
        <f>"21-20565"</f>
        <v>21-20565</v>
      </c>
      <c r="G965" s="3">
        <v>1477.5</v>
      </c>
      <c r="H965" t="str">
        <f>"21-20565"</f>
        <v>21-20565</v>
      </c>
    </row>
    <row r="966" spans="5:8" x14ac:dyDescent="0.25">
      <c r="E966" t="str">
        <f>"202111016857"</f>
        <v>202111016857</v>
      </c>
      <c r="F966" t="str">
        <f>"20-20508"</f>
        <v>20-20508</v>
      </c>
      <c r="G966" s="3">
        <v>950</v>
      </c>
      <c r="H966" t="str">
        <f>"20-20508"</f>
        <v>20-20508</v>
      </c>
    </row>
    <row r="967" spans="5:8" x14ac:dyDescent="0.25">
      <c r="E967" t="str">
        <f>"202111016858"</f>
        <v>202111016858</v>
      </c>
      <c r="F967" t="str">
        <f>"20-20216"</f>
        <v>20-20216</v>
      </c>
      <c r="G967" s="3">
        <v>645</v>
      </c>
      <c r="H967" t="str">
        <f>"20-20216"</f>
        <v>20-20216</v>
      </c>
    </row>
    <row r="968" spans="5:8" x14ac:dyDescent="0.25">
      <c r="E968" t="str">
        <f>"202111016859"</f>
        <v>202111016859</v>
      </c>
      <c r="F968" t="str">
        <f>"20-20215"</f>
        <v>20-20215</v>
      </c>
      <c r="G968" s="3">
        <v>601.25</v>
      </c>
      <c r="H968" t="str">
        <f>"20-20215"</f>
        <v>20-20215</v>
      </c>
    </row>
    <row r="969" spans="5:8" x14ac:dyDescent="0.25">
      <c r="E969" t="str">
        <f>"202111016860"</f>
        <v>202111016860</v>
      </c>
      <c r="F969" t="str">
        <f>"21-20677"</f>
        <v>21-20677</v>
      </c>
      <c r="G969" s="3">
        <v>225</v>
      </c>
      <c r="H969" t="str">
        <f>"21-20677"</f>
        <v>21-20677</v>
      </c>
    </row>
    <row r="970" spans="5:8" x14ac:dyDescent="0.25">
      <c r="E970" t="str">
        <f>"202111016861"</f>
        <v>202111016861</v>
      </c>
      <c r="F970" t="str">
        <f>"20-20314"</f>
        <v>20-20314</v>
      </c>
      <c r="G970" s="3">
        <v>1221.25</v>
      </c>
      <c r="H970" t="str">
        <f>"20-20314"</f>
        <v>20-20314</v>
      </c>
    </row>
    <row r="971" spans="5:8" x14ac:dyDescent="0.25">
      <c r="E971" t="str">
        <f>"202111016862"</f>
        <v>202111016862</v>
      </c>
      <c r="F971" t="str">
        <f>"20-20084"</f>
        <v>20-20084</v>
      </c>
      <c r="G971" s="3">
        <v>172.5</v>
      </c>
      <c r="H971" t="str">
        <f>"20-20084"</f>
        <v>20-20084</v>
      </c>
    </row>
    <row r="972" spans="5:8" x14ac:dyDescent="0.25">
      <c r="E972" t="str">
        <f>"202111016863"</f>
        <v>202111016863</v>
      </c>
      <c r="F972" t="str">
        <f>"21-20596"</f>
        <v>21-20596</v>
      </c>
      <c r="G972" s="3">
        <v>448.75</v>
      </c>
      <c r="H972" t="str">
        <f>"21-20596"</f>
        <v>21-20596</v>
      </c>
    </row>
    <row r="973" spans="5:8" x14ac:dyDescent="0.25">
      <c r="E973" t="str">
        <f>"202111016864"</f>
        <v>202111016864</v>
      </c>
      <c r="F973" t="str">
        <f>"21-20742"</f>
        <v>21-20742</v>
      </c>
      <c r="G973" s="3">
        <v>448.75</v>
      </c>
      <c r="H973" t="str">
        <f>"21-20742"</f>
        <v>21-20742</v>
      </c>
    </row>
    <row r="974" spans="5:8" x14ac:dyDescent="0.25">
      <c r="E974" t="str">
        <f>"202111016865"</f>
        <v>202111016865</v>
      </c>
      <c r="F974" t="str">
        <f>"21-20726"</f>
        <v>21-20726</v>
      </c>
      <c r="G974" s="3">
        <v>735</v>
      </c>
      <c r="H974" t="str">
        <f>"21-20726"</f>
        <v>21-20726</v>
      </c>
    </row>
    <row r="975" spans="5:8" x14ac:dyDescent="0.25">
      <c r="E975" t="str">
        <f>"202111026947"</f>
        <v>202111026947</v>
      </c>
      <c r="F975" t="str">
        <f>"21-20542"</f>
        <v>21-20542</v>
      </c>
      <c r="G975" s="3">
        <v>1085</v>
      </c>
      <c r="H975" t="str">
        <f>"21-20542"</f>
        <v>21-20542</v>
      </c>
    </row>
    <row r="976" spans="5:8" x14ac:dyDescent="0.25">
      <c r="E976" t="str">
        <f>"202111026954"</f>
        <v>202111026954</v>
      </c>
      <c r="F976" t="str">
        <f>"57 891"</f>
        <v>57 891</v>
      </c>
      <c r="G976" s="3">
        <v>250</v>
      </c>
      <c r="H976" t="str">
        <f>"57 891"</f>
        <v>57 891</v>
      </c>
    </row>
    <row r="977" spans="1:8" x14ac:dyDescent="0.25">
      <c r="E977" t="str">
        <f>"202111026955"</f>
        <v>202111026955</v>
      </c>
      <c r="F977" t="str">
        <f>"57 791"</f>
        <v>57 791</v>
      </c>
      <c r="G977" s="3">
        <v>250</v>
      </c>
      <c r="H977" t="str">
        <f>"57 791"</f>
        <v>57 791</v>
      </c>
    </row>
    <row r="978" spans="1:8" x14ac:dyDescent="0.25">
      <c r="A978" t="s">
        <v>480</v>
      </c>
      <c r="B978">
        <v>5412</v>
      </c>
      <c r="C978" s="3">
        <v>1895</v>
      </c>
      <c r="D978" s="6">
        <v>44523</v>
      </c>
      <c r="E978" t="str">
        <f>"202111107081"</f>
        <v>202111107081</v>
      </c>
      <c r="F978" t="str">
        <f>"21-20596"</f>
        <v>21-20596</v>
      </c>
      <c r="G978" s="3">
        <v>770</v>
      </c>
      <c r="H978" t="str">
        <f>"21-20596"</f>
        <v>21-20596</v>
      </c>
    </row>
    <row r="979" spans="1:8" x14ac:dyDescent="0.25">
      <c r="E979" t="str">
        <f>"202111107090"</f>
        <v>202111107090</v>
      </c>
      <c r="F979" t="str">
        <f>"57 801"</f>
        <v>57 801</v>
      </c>
      <c r="G979" s="3">
        <v>250</v>
      </c>
      <c r="H979" t="str">
        <f>"57 801"</f>
        <v>57 801</v>
      </c>
    </row>
    <row r="980" spans="1:8" x14ac:dyDescent="0.25">
      <c r="E980" t="str">
        <f>"202111107091"</f>
        <v>202111107091</v>
      </c>
      <c r="F980" t="str">
        <f>"57 511"</f>
        <v>57 511</v>
      </c>
      <c r="G980" s="3">
        <v>625</v>
      </c>
      <c r="H980" t="str">
        <f>"57 511"</f>
        <v>57 511</v>
      </c>
    </row>
    <row r="981" spans="1:8" x14ac:dyDescent="0.25">
      <c r="E981" t="str">
        <f>"202111107092"</f>
        <v>202111107092</v>
      </c>
      <c r="F981" t="str">
        <f>"57 940"</f>
        <v>57 940</v>
      </c>
      <c r="G981" s="3">
        <v>250</v>
      </c>
      <c r="H981" t="str">
        <f>"57 940"</f>
        <v>57 940</v>
      </c>
    </row>
    <row r="982" spans="1:8" x14ac:dyDescent="0.25">
      <c r="A982" t="s">
        <v>481</v>
      </c>
      <c r="B982">
        <v>5429</v>
      </c>
      <c r="C982" s="3">
        <v>410.15</v>
      </c>
      <c r="D982" s="6">
        <v>44523</v>
      </c>
      <c r="E982" t="str">
        <f>"730"</f>
        <v>730</v>
      </c>
      <c r="F982" t="str">
        <f>"ACCT#5 PCT4"</f>
        <v>ACCT#5 PCT4</v>
      </c>
      <c r="G982" s="3">
        <v>61.97</v>
      </c>
      <c r="H982" t="str">
        <f>"ACCT#5 PCT4"</f>
        <v>ACCT#5 PCT4</v>
      </c>
    </row>
    <row r="983" spans="1:8" x14ac:dyDescent="0.25">
      <c r="E983" t="str">
        <f>""</f>
        <v/>
      </c>
      <c r="F983" t="str">
        <f>""</f>
        <v/>
      </c>
      <c r="G983" s="3">
        <v>348.18</v>
      </c>
      <c r="H983" t="str">
        <f>"ACCT#5 PCT4"</f>
        <v>ACCT#5 PCT4</v>
      </c>
    </row>
    <row r="984" spans="1:8" x14ac:dyDescent="0.25">
      <c r="A984" t="s">
        <v>482</v>
      </c>
      <c r="B984">
        <v>137805</v>
      </c>
      <c r="C984" s="3">
        <v>800</v>
      </c>
      <c r="D984" s="6">
        <v>44508</v>
      </c>
      <c r="E984" t="str">
        <f>"202110276708"</f>
        <v>202110276708</v>
      </c>
      <c r="F984" t="str">
        <f>"PERMIT#4511526/TAX COLLECTOR"</f>
        <v>PERMIT#4511526/TAX COLLECTOR</v>
      </c>
      <c r="G984" s="3">
        <v>800</v>
      </c>
      <c r="H984" t="str">
        <f>"PERMIT#4511526/TAX COLLECTOR"</f>
        <v>PERMIT#4511526/TAX COLLECTOR</v>
      </c>
    </row>
    <row r="985" spans="1:8" x14ac:dyDescent="0.25">
      <c r="A985" t="s">
        <v>483</v>
      </c>
      <c r="B985">
        <v>137806</v>
      </c>
      <c r="C985" s="3">
        <v>1137.3599999999999</v>
      </c>
      <c r="D985" s="6">
        <v>44508</v>
      </c>
      <c r="E985" t="str">
        <f>"W20992"</f>
        <v>W20992</v>
      </c>
      <c r="F985" t="str">
        <f>"ACCT#8850283308/PCT#1"</f>
        <v>ACCT#8850283308/PCT#1</v>
      </c>
      <c r="G985" s="3">
        <v>1137.3599999999999</v>
      </c>
      <c r="H985" t="str">
        <f>"ACCT#8850283308/PCT#1"</f>
        <v>ACCT#8850283308/PCT#1</v>
      </c>
    </row>
    <row r="986" spans="1:8" x14ac:dyDescent="0.25">
      <c r="A986" t="s">
        <v>484</v>
      </c>
      <c r="B986">
        <v>137807</v>
      </c>
      <c r="C986" s="3">
        <v>375</v>
      </c>
      <c r="D986" s="6">
        <v>44508</v>
      </c>
      <c r="E986" t="str">
        <f>"178159"</f>
        <v>178159</v>
      </c>
      <c r="F986" t="str">
        <f>"2017 F250 LABOR/INSTALL/PCT#1"</f>
        <v>2017 F250 LABOR/INSTALL/PCT#1</v>
      </c>
      <c r="G986" s="3">
        <v>375</v>
      </c>
      <c r="H986" t="str">
        <f>"2017 F250 LABOR/INSTALL/PCT#1"</f>
        <v>2017 F250 LABOR/INSTALL/PCT#1</v>
      </c>
    </row>
    <row r="987" spans="1:8" x14ac:dyDescent="0.25">
      <c r="A987" t="s">
        <v>485</v>
      </c>
      <c r="B987">
        <v>137808</v>
      </c>
      <c r="C987" s="3">
        <v>2105</v>
      </c>
      <c r="D987" s="6">
        <v>44508</v>
      </c>
      <c r="E987" t="str">
        <f>"BCSD00792021"</f>
        <v>BCSD00792021</v>
      </c>
      <c r="F987" t="str">
        <f>"CUST ID:BCSD007/TCLEDDS SUBSCR"</f>
        <v>CUST ID:BCSD007/TCLEDDS SUBSCR</v>
      </c>
      <c r="G987" s="3">
        <v>2105</v>
      </c>
      <c r="H987" t="str">
        <f>"CUST ID:BCSD007/TCLEDDS SUBSCR"</f>
        <v>CUST ID:BCSD007/TCLEDDS SUBSCR</v>
      </c>
    </row>
    <row r="988" spans="1:8" x14ac:dyDescent="0.25">
      <c r="A988" t="s">
        <v>486</v>
      </c>
      <c r="B988">
        <v>137809</v>
      </c>
      <c r="C988" s="3">
        <v>50</v>
      </c>
      <c r="D988" s="6">
        <v>44508</v>
      </c>
      <c r="E988" t="s">
        <v>487</v>
      </c>
      <c r="F988" s="3" t="str">
        <f>"RESTITUTION - COY FERRIS"</f>
        <v>RESTITUTION - COY FERRIS</v>
      </c>
      <c r="G988" s="3">
        <v>50</v>
      </c>
      <c r="H988" t="str">
        <f>"RESTITUTION - COY FERRIS"</f>
        <v>RESTITUTION - COY FERRIS</v>
      </c>
    </row>
    <row r="989" spans="1:8" x14ac:dyDescent="0.25">
      <c r="A989" t="s">
        <v>488</v>
      </c>
      <c r="B989">
        <v>137810</v>
      </c>
      <c r="C989" s="3">
        <v>790</v>
      </c>
      <c r="D989" s="6">
        <v>44508</v>
      </c>
      <c r="E989" t="str">
        <f>"202111026931"</f>
        <v>202111026931</v>
      </c>
      <c r="F989" t="str">
        <f>"TRANSPORT - LARRY EDWARDS"</f>
        <v>TRANSPORT - LARRY EDWARDS</v>
      </c>
      <c r="G989" s="3">
        <v>395</v>
      </c>
      <c r="H989" t="str">
        <f>"TRANSPORT - LARRY EDWARDS"</f>
        <v>TRANSPORT - LARRY EDWARDS</v>
      </c>
    </row>
    <row r="990" spans="1:8" x14ac:dyDescent="0.25">
      <c r="E990" t="str">
        <f>"202111026932"</f>
        <v>202111026932</v>
      </c>
      <c r="F990" t="str">
        <f>"TRANSPORT - LARRY KRETSCHNER"</f>
        <v>TRANSPORT - LARRY KRETSCHNER</v>
      </c>
      <c r="G990" s="3">
        <v>395</v>
      </c>
      <c r="H990" t="str">
        <f>"TRANSPORT - LARRY KRETSCHNER"</f>
        <v>TRANSPORT - LARRY KRETSCHNER</v>
      </c>
    </row>
    <row r="991" spans="1:8" x14ac:dyDescent="0.25">
      <c r="A991" t="s">
        <v>489</v>
      </c>
      <c r="B991">
        <v>137811</v>
      </c>
      <c r="C991" s="3">
        <v>750.5</v>
      </c>
      <c r="D991" s="6">
        <v>44508</v>
      </c>
      <c r="E991" t="str">
        <f>"PSI612351"</f>
        <v>PSI612351</v>
      </c>
      <c r="F991" t="str">
        <f>"ACCT#C542836/WO#341470"</f>
        <v>ACCT#C542836/WO#341470</v>
      </c>
      <c r="G991" s="3">
        <v>750.5</v>
      </c>
      <c r="H991" t="str">
        <f>"ACCT#C542836/WO#341470"</f>
        <v>ACCT#C542836/WO#341470</v>
      </c>
    </row>
    <row r="992" spans="1:8" x14ac:dyDescent="0.25">
      <c r="A992" t="s">
        <v>489</v>
      </c>
      <c r="B992">
        <v>138066</v>
      </c>
      <c r="C992" s="3">
        <v>47</v>
      </c>
      <c r="D992" s="6">
        <v>44522</v>
      </c>
      <c r="E992" t="str">
        <f>"341522"</f>
        <v>341522</v>
      </c>
      <c r="F992" t="str">
        <f>"ANN FIRE EXTINGUISHER SVCS"</f>
        <v>ANN FIRE EXTINGUISHER SVCS</v>
      </c>
      <c r="G992" s="3">
        <v>47</v>
      </c>
      <c r="H992" t="str">
        <f>"ANN FIRE EXTINGUISHER SVCS"</f>
        <v>ANN FIRE EXTINGUISHER SVCS</v>
      </c>
    </row>
    <row r="993" spans="1:8" x14ac:dyDescent="0.25">
      <c r="A993" t="s">
        <v>490</v>
      </c>
      <c r="B993">
        <v>137812</v>
      </c>
      <c r="C993" s="3">
        <v>250</v>
      </c>
      <c r="D993" s="6">
        <v>44508</v>
      </c>
      <c r="E993" t="str">
        <f>"202111016898"</f>
        <v>202111016898</v>
      </c>
      <c r="F993" t="str">
        <f>"FERAL HOGS"</f>
        <v>FERAL HOGS</v>
      </c>
      <c r="G993" s="3">
        <v>250</v>
      </c>
      <c r="H993" t="str">
        <f>"FERAL HOGS"</f>
        <v>FERAL HOGS</v>
      </c>
    </row>
    <row r="994" spans="1:8" x14ac:dyDescent="0.25">
      <c r="A994" t="s">
        <v>491</v>
      </c>
      <c r="B994">
        <v>137813</v>
      </c>
      <c r="C994" s="3">
        <v>95</v>
      </c>
      <c r="D994" s="6">
        <v>44508</v>
      </c>
      <c r="E994" t="str">
        <f>"202111016899"</f>
        <v>202111016899</v>
      </c>
      <c r="F994" t="str">
        <f>"FERAL HOGS"</f>
        <v>FERAL HOGS</v>
      </c>
      <c r="G994" s="3">
        <v>95</v>
      </c>
      <c r="H994" t="str">
        <f>"FERAL HOGS"</f>
        <v>FERAL HOGS</v>
      </c>
    </row>
    <row r="995" spans="1:8" x14ac:dyDescent="0.25">
      <c r="A995" t="s">
        <v>492</v>
      </c>
      <c r="B995">
        <v>137814</v>
      </c>
      <c r="C995" s="3">
        <v>4689</v>
      </c>
      <c r="D995" s="6">
        <v>44508</v>
      </c>
      <c r="E995" t="str">
        <f>"134296"</f>
        <v>134296</v>
      </c>
      <c r="F995" t="str">
        <f>"OUTFIT TRUCK/PCT#1"</f>
        <v>OUTFIT TRUCK/PCT#1</v>
      </c>
      <c r="G995" s="3">
        <v>4689</v>
      </c>
      <c r="H995" t="str">
        <f>"OUTFIT TRUCK/PCT#1"</f>
        <v>OUTFIT TRUCK/PCT#1</v>
      </c>
    </row>
    <row r="996" spans="1:8" x14ac:dyDescent="0.25">
      <c r="A996" t="s">
        <v>492</v>
      </c>
      <c r="B996">
        <v>138067</v>
      </c>
      <c r="C996" s="3">
        <v>2875</v>
      </c>
      <c r="D996" s="6">
        <v>44522</v>
      </c>
      <c r="E996" t="str">
        <f>"134316"</f>
        <v>134316</v>
      </c>
      <c r="F996" t="str">
        <f>"INSTALLATION/TINT PCT#1"</f>
        <v>INSTALLATION/TINT PCT#1</v>
      </c>
      <c r="G996" s="3">
        <v>2875</v>
      </c>
      <c r="H996" t="str">
        <f>"INSTALLATION/TINT PCT#1"</f>
        <v>INSTALLATION/TINT PCT#1</v>
      </c>
    </row>
    <row r="997" spans="1:8" x14ac:dyDescent="0.25">
      <c r="A997" t="s">
        <v>493</v>
      </c>
      <c r="B997">
        <v>5400</v>
      </c>
      <c r="C997" s="3">
        <v>198.88</v>
      </c>
      <c r="D997" s="6">
        <v>44523</v>
      </c>
      <c r="E997" t="str">
        <f>"11K0121569859"</f>
        <v>11K0121569859</v>
      </c>
      <c r="F997" t="str">
        <f>"ACCT#0121569859/JP#4"</f>
        <v>ACCT#0121569859/JP#4</v>
      </c>
      <c r="G997" s="3">
        <v>90.95</v>
      </c>
      <c r="H997" t="str">
        <f>"ACCT#0121569859/JP#4"</f>
        <v>ACCT#0121569859/JP#4</v>
      </c>
    </row>
    <row r="998" spans="1:8" x14ac:dyDescent="0.25">
      <c r="E998" t="str">
        <f>"11K0121587851"</f>
        <v>11K0121587851</v>
      </c>
      <c r="F998" t="str">
        <f>"ACCT#0121587851/PCT#4"</f>
        <v>ACCT#0121587851/PCT#4</v>
      </c>
      <c r="G998" s="3">
        <v>107.93</v>
      </c>
      <c r="H998" t="str">
        <f>"ACCT#0121587851/PCT#4"</f>
        <v>ACCT#0121587851/PCT#4</v>
      </c>
    </row>
    <row r="999" spans="1:8" x14ac:dyDescent="0.25">
      <c r="A999" t="s">
        <v>494</v>
      </c>
      <c r="B999">
        <v>5357</v>
      </c>
      <c r="C999" s="3">
        <v>2000</v>
      </c>
      <c r="D999" s="6">
        <v>44509</v>
      </c>
      <c r="E999" t="str">
        <f>"91"</f>
        <v>91</v>
      </c>
      <c r="F999" t="str">
        <f>"SPAY/NEUTER OCT 19TH-28TH"</f>
        <v>SPAY/NEUTER OCT 19TH-28TH</v>
      </c>
      <c r="G999" s="3">
        <v>2000</v>
      </c>
      <c r="H999" t="str">
        <f>"SPAY/NEUTER OCT 19TH-28TH"</f>
        <v>SPAY/NEUTER OCT 19TH-28TH</v>
      </c>
    </row>
    <row r="1000" spans="1:8" x14ac:dyDescent="0.25">
      <c r="A1000" t="s">
        <v>494</v>
      </c>
      <c r="B1000">
        <v>5432</v>
      </c>
      <c r="C1000" s="3">
        <v>1500</v>
      </c>
      <c r="D1000" s="6">
        <v>44523</v>
      </c>
      <c r="E1000" t="str">
        <f>"94"</f>
        <v>94</v>
      </c>
      <c r="F1000" t="str">
        <f>"PROF SVCS-SURGERIES 11/2-11/9"</f>
        <v>PROF SVCS-SURGERIES 11/2-11/9</v>
      </c>
      <c r="G1000" s="3">
        <v>1500</v>
      </c>
      <c r="H1000" t="str">
        <f>"PROF SVCS-SURGERIES 11/2-11/9"</f>
        <v>PROF SVCS-SURGERIES 11/2-11/9</v>
      </c>
    </row>
    <row r="1001" spans="1:8" x14ac:dyDescent="0.25">
      <c r="A1001" t="s">
        <v>495</v>
      </c>
      <c r="B1001">
        <v>137815</v>
      </c>
      <c r="C1001" s="3">
        <v>500</v>
      </c>
      <c r="D1001" s="6">
        <v>44508</v>
      </c>
      <c r="E1001" t="str">
        <f>"202111026959"</f>
        <v>202111026959</v>
      </c>
      <c r="F1001" t="str">
        <f>"DEEP CLEANING/PCT#2"</f>
        <v>DEEP CLEANING/PCT#2</v>
      </c>
      <c r="G1001" s="3">
        <v>500</v>
      </c>
      <c r="H1001" t="str">
        <f>"DEEP CLEANING/PCT#2"</f>
        <v>DEEP CLEANING/PCT#2</v>
      </c>
    </row>
    <row r="1002" spans="1:8" x14ac:dyDescent="0.25">
      <c r="A1002" t="s">
        <v>496</v>
      </c>
      <c r="B1002">
        <v>138068</v>
      </c>
      <c r="C1002" s="3">
        <v>1000</v>
      </c>
      <c r="D1002" s="6">
        <v>44522</v>
      </c>
      <c r="E1002" t="str">
        <f>"228"</f>
        <v>228</v>
      </c>
      <c r="F1002" t="str">
        <f>"16789"</f>
        <v>16789</v>
      </c>
      <c r="G1002" s="3">
        <v>1000</v>
      </c>
      <c r="H1002" t="str">
        <f>"16789"</f>
        <v>16789</v>
      </c>
    </row>
    <row r="1003" spans="1:8" x14ac:dyDescent="0.25">
      <c r="A1003" t="s">
        <v>497</v>
      </c>
      <c r="B1003">
        <v>138069</v>
      </c>
      <c r="C1003" s="3">
        <v>3261.65</v>
      </c>
      <c r="D1003" s="6">
        <v>44522</v>
      </c>
      <c r="E1003" t="str">
        <f>"202111157146"</f>
        <v>202111157146</v>
      </c>
      <c r="F1003" t="str">
        <f>"ACCT#19610/GEN SVCS"</f>
        <v>ACCT#19610/GEN SVCS</v>
      </c>
      <c r="G1003" s="3">
        <v>1739.18</v>
      </c>
      <c r="H1003" t="str">
        <f>"ACCT#19610"</f>
        <v>ACCT#19610</v>
      </c>
    </row>
    <row r="1004" spans="1:8" x14ac:dyDescent="0.25">
      <c r="E1004" t="str">
        <f>"202111167172"</f>
        <v>202111167172</v>
      </c>
      <c r="F1004" t="str">
        <f>"ACCT#19610/PCT#2"</f>
        <v>ACCT#19610/PCT#2</v>
      </c>
      <c r="G1004" s="3">
        <v>504.76</v>
      </c>
      <c r="H1004" t="str">
        <f>"ACCT#19610/PCT#2"</f>
        <v>ACCT#19610/PCT#2</v>
      </c>
    </row>
    <row r="1005" spans="1:8" x14ac:dyDescent="0.25">
      <c r="E1005" t="str">
        <f>"202111167175"</f>
        <v>202111167175</v>
      </c>
      <c r="F1005" t="str">
        <f>"ACCT#19610/PCT#2"</f>
        <v>ACCT#19610/PCT#2</v>
      </c>
      <c r="G1005" s="3">
        <v>500.97</v>
      </c>
      <c r="H1005" t="str">
        <f>"ACCT#19610/PCT#2"</f>
        <v>ACCT#19610/PCT#2</v>
      </c>
    </row>
    <row r="1006" spans="1:8" x14ac:dyDescent="0.25">
      <c r="E1006" t="str">
        <f>"202111167176"</f>
        <v>202111167176</v>
      </c>
      <c r="F1006" t="str">
        <f>"ACCT#19610/PCT#3"</f>
        <v>ACCT#19610/PCT#3</v>
      </c>
      <c r="G1006" s="3">
        <v>216.74</v>
      </c>
      <c r="H1006" t="str">
        <f>"ACCT#19610/PCT#3"</f>
        <v>ACCT#19610/PCT#3</v>
      </c>
    </row>
    <row r="1007" spans="1:8" x14ac:dyDescent="0.25">
      <c r="E1007" t="str">
        <f>"202111167177"</f>
        <v>202111167177</v>
      </c>
      <c r="F1007" t="str">
        <f>"ACCT#19610/PCT#4"</f>
        <v>ACCT#19610/PCT#4</v>
      </c>
      <c r="G1007" s="3">
        <v>300</v>
      </c>
      <c r="H1007" t="str">
        <f>"ACCT#19610/PCT#4"</f>
        <v>ACCT#19610/PCT#4</v>
      </c>
    </row>
    <row r="1008" spans="1:8" x14ac:dyDescent="0.25">
      <c r="A1008" t="s">
        <v>498</v>
      </c>
      <c r="B1008">
        <v>137704</v>
      </c>
      <c r="C1008" s="3">
        <v>1106.8399999999999</v>
      </c>
      <c r="D1008" s="6">
        <v>44504</v>
      </c>
      <c r="E1008" t="str">
        <f>"302 003 227 223 4"</f>
        <v>302 003 227 223 4</v>
      </c>
      <c r="F1008" t="str">
        <f>"ACCT#15 070 712-3 / 10292021"</f>
        <v>ACCT#15 070 712-3 / 10292021</v>
      </c>
      <c r="G1008" s="3">
        <v>18.510000000000002</v>
      </c>
      <c r="H1008" t="str">
        <f>"NRG ENERGY INC"</f>
        <v>NRG ENERGY INC</v>
      </c>
    </row>
    <row r="1009" spans="1:8" x14ac:dyDescent="0.25">
      <c r="E1009" t="str">
        <f>"302 003 227 224 2"</f>
        <v>302 003 227 224 2</v>
      </c>
      <c r="F1009" t="str">
        <f>"ACCT#15 070 713-1 / 10292021"</f>
        <v>ACCT#15 070 713-1 / 10292021</v>
      </c>
      <c r="G1009" s="3">
        <v>22.47</v>
      </c>
      <c r="H1009" t="str">
        <f>"NRG ENERGY INC"</f>
        <v>NRG ENERGY INC</v>
      </c>
    </row>
    <row r="1010" spans="1:8" x14ac:dyDescent="0.25">
      <c r="E1010" t="str">
        <f>"303 002 958 526 6"</f>
        <v>303 002 958 526 6</v>
      </c>
      <c r="F1010" t="str">
        <f>"ACCT#15 072 199-1 / 10282021"</f>
        <v>ACCT#15 072 199-1 / 10282021</v>
      </c>
      <c r="G1010" s="3">
        <v>53.03</v>
      </c>
      <c r="H1010" t="str">
        <f>"NRG ENERGY INC"</f>
        <v>NRG ENERGY INC</v>
      </c>
    </row>
    <row r="1011" spans="1:8" x14ac:dyDescent="0.25">
      <c r="E1011" t="str">
        <f>"303 002 958 527 4"</f>
        <v>303 002 958 527 4</v>
      </c>
      <c r="F1011" t="str">
        <f>"ACCT#15 072 200-7 / 10282021"</f>
        <v>ACCT#15 072 200-7 / 10282021</v>
      </c>
      <c r="G1011" s="3">
        <v>222.45</v>
      </c>
      <c r="H1011" t="str">
        <f>"ACCT#15 072 200-7 / 10282021"</f>
        <v>ACCT#15 072 200-7 / 10282021</v>
      </c>
    </row>
    <row r="1012" spans="1:8" x14ac:dyDescent="0.25">
      <c r="E1012" t="str">
        <f>"303 002 958 528 2"</f>
        <v>303 002 958 528 2</v>
      </c>
      <c r="F1012" t="str">
        <f>"ACCT#15 072 201-5 / 10282021"</f>
        <v>ACCT#15 072 201-5 / 10282021</v>
      </c>
      <c r="G1012" s="3">
        <v>404.79</v>
      </c>
      <c r="H1012" t="str">
        <f>"ACCT#15 072 201-5 / 10282021"</f>
        <v>ACCT#15 072 201-5 / 10282021</v>
      </c>
    </row>
    <row r="1013" spans="1:8" x14ac:dyDescent="0.25">
      <c r="E1013" t="str">
        <f>"303 002 958 529 0"</f>
        <v>303 002 958 529 0</v>
      </c>
      <c r="F1013" t="str">
        <f>"ACCT#15 072 202-3 / 10282021"</f>
        <v>ACCT#15 072 202-3 / 10282021</v>
      </c>
      <c r="G1013" s="3">
        <v>24.96</v>
      </c>
      <c r="H1013" t="str">
        <f>"ACCT#15 072 202-3 / 10282021"</f>
        <v>ACCT#15 072 202-3 / 10282021</v>
      </c>
    </row>
    <row r="1014" spans="1:8" x14ac:dyDescent="0.25">
      <c r="E1014" t="str">
        <f>"303 002 958 530 8"</f>
        <v>303 002 958 530 8</v>
      </c>
      <c r="F1014" t="str">
        <f>"ACCT#15 072 203-1 / 10282021"</f>
        <v>ACCT#15 072 203-1 / 10282021</v>
      </c>
      <c r="G1014" s="3">
        <v>14.73</v>
      </c>
      <c r="H1014" t="str">
        <f>"ACCT#15 072 203-1 / 10282021"</f>
        <v>ACCT#15 072 203-1 / 10282021</v>
      </c>
    </row>
    <row r="1015" spans="1:8" x14ac:dyDescent="0.25">
      <c r="E1015" t="str">
        <f>"303 002 958 531 6"</f>
        <v>303 002 958 531 6</v>
      </c>
      <c r="F1015" t="str">
        <f>"ACCT#15 072 204-9 / 10282021"</f>
        <v>ACCT#15 072 204-9 / 10282021</v>
      </c>
      <c r="G1015" s="3">
        <v>345.9</v>
      </c>
      <c r="H1015" t="str">
        <f>"NRG ENERGY INC"</f>
        <v>NRG ENERGY INC</v>
      </c>
    </row>
    <row r="1016" spans="1:8" x14ac:dyDescent="0.25">
      <c r="A1016" t="s">
        <v>499</v>
      </c>
      <c r="B1016">
        <v>138070</v>
      </c>
      <c r="C1016" s="3">
        <v>9000</v>
      </c>
      <c r="D1016" s="6">
        <v>44522</v>
      </c>
      <c r="E1016" t="str">
        <f>"202111157132"</f>
        <v>202111157132</v>
      </c>
      <c r="F1016" t="str">
        <f>"ACCT#34549337/POSTAGE"</f>
        <v>ACCT#34549337/POSTAGE</v>
      </c>
      <c r="G1016" s="3">
        <v>9000</v>
      </c>
      <c r="H1016" t="str">
        <f>"ACCT#34549337/POSTAGE"</f>
        <v>ACCT#34549337/POSTAGE</v>
      </c>
    </row>
    <row r="1017" spans="1:8" x14ac:dyDescent="0.25">
      <c r="A1017" t="s">
        <v>500</v>
      </c>
      <c r="B1017">
        <v>137816</v>
      </c>
      <c r="C1017" s="3">
        <v>35</v>
      </c>
      <c r="D1017" s="6">
        <v>44508</v>
      </c>
      <c r="E1017" t="str">
        <f>"202111016900"</f>
        <v>202111016900</v>
      </c>
      <c r="F1017" t="str">
        <f>"FERAL HOGS"</f>
        <v>FERAL HOGS</v>
      </c>
      <c r="G1017" s="3">
        <v>35</v>
      </c>
      <c r="H1017" t="str">
        <f>"FERAL HOGS"</f>
        <v>FERAL HOGS</v>
      </c>
    </row>
    <row r="1018" spans="1:8" x14ac:dyDescent="0.25">
      <c r="A1018" t="s">
        <v>501</v>
      </c>
      <c r="B1018">
        <v>137817</v>
      </c>
      <c r="C1018" s="3">
        <v>150</v>
      </c>
      <c r="D1018" s="6">
        <v>44508</v>
      </c>
      <c r="E1018" t="str">
        <f>"202111016901"</f>
        <v>202111016901</v>
      </c>
      <c r="F1018" t="str">
        <f>"FERAL HOGS"</f>
        <v>FERAL HOGS</v>
      </c>
      <c r="G1018" s="3">
        <v>150</v>
      </c>
      <c r="H1018" t="str">
        <f>"FERAL HOGS"</f>
        <v>FERAL HOGS</v>
      </c>
    </row>
    <row r="1019" spans="1:8" x14ac:dyDescent="0.25">
      <c r="A1019" t="s">
        <v>502</v>
      </c>
      <c r="B1019">
        <v>5403</v>
      </c>
      <c r="C1019" s="3">
        <v>9238.11</v>
      </c>
      <c r="D1019" s="6">
        <v>44523</v>
      </c>
      <c r="E1019" t="str">
        <f>"5063126009"</f>
        <v>5063126009</v>
      </c>
      <c r="F1019" t="str">
        <f>"CUST#12847097/08012021-1031202"</f>
        <v>CUST#12847097/08012021-1031202</v>
      </c>
      <c r="G1019" s="3">
        <v>384.37</v>
      </c>
      <c r="H1019" t="str">
        <f t="shared" ref="H1019:H1049" si="10">"CUST#12847097/08012021-1031202"</f>
        <v>CUST#12847097/08012021-1031202</v>
      </c>
    </row>
    <row r="1020" spans="1:8" x14ac:dyDescent="0.25">
      <c r="E1020" t="str">
        <f>""</f>
        <v/>
      </c>
      <c r="F1020" t="str">
        <f>""</f>
        <v/>
      </c>
      <c r="G1020" s="3">
        <v>82.49</v>
      </c>
      <c r="H1020" t="str">
        <f t="shared" si="10"/>
        <v>CUST#12847097/08012021-1031202</v>
      </c>
    </row>
    <row r="1021" spans="1:8" x14ac:dyDescent="0.25">
      <c r="E1021" t="str">
        <f>""</f>
        <v/>
      </c>
      <c r="F1021" t="str">
        <f>""</f>
        <v/>
      </c>
      <c r="G1021" s="3">
        <v>67.67</v>
      </c>
      <c r="H1021" t="str">
        <f t="shared" si="10"/>
        <v>CUST#12847097/08012021-1031202</v>
      </c>
    </row>
    <row r="1022" spans="1:8" x14ac:dyDescent="0.25">
      <c r="E1022" t="str">
        <f>""</f>
        <v/>
      </c>
      <c r="F1022" t="str">
        <f>""</f>
        <v/>
      </c>
      <c r="G1022" s="3">
        <v>801.27</v>
      </c>
      <c r="H1022" t="str">
        <f t="shared" si="10"/>
        <v>CUST#12847097/08012021-1031202</v>
      </c>
    </row>
    <row r="1023" spans="1:8" x14ac:dyDescent="0.25">
      <c r="E1023" t="str">
        <f>""</f>
        <v/>
      </c>
      <c r="F1023" t="str">
        <f>""</f>
        <v/>
      </c>
      <c r="G1023" s="3">
        <v>302.64999999999998</v>
      </c>
      <c r="H1023" t="str">
        <f t="shared" si="10"/>
        <v>CUST#12847097/08012021-1031202</v>
      </c>
    </row>
    <row r="1024" spans="1:8" x14ac:dyDescent="0.25">
      <c r="E1024" t="str">
        <f>""</f>
        <v/>
      </c>
      <c r="F1024" t="str">
        <f>""</f>
        <v/>
      </c>
      <c r="G1024" s="3">
        <v>24.94</v>
      </c>
      <c r="H1024" t="str">
        <f t="shared" si="10"/>
        <v>CUST#12847097/08012021-1031202</v>
      </c>
    </row>
    <row r="1025" spans="5:8" x14ac:dyDescent="0.25">
      <c r="E1025" t="str">
        <f>""</f>
        <v/>
      </c>
      <c r="F1025" t="str">
        <f>""</f>
        <v/>
      </c>
      <c r="G1025" s="3">
        <v>82.38</v>
      </c>
      <c r="H1025" t="str">
        <f t="shared" si="10"/>
        <v>CUST#12847097/08012021-1031202</v>
      </c>
    </row>
    <row r="1026" spans="5:8" x14ac:dyDescent="0.25">
      <c r="E1026" t="str">
        <f>""</f>
        <v/>
      </c>
      <c r="F1026" t="str">
        <f>""</f>
        <v/>
      </c>
      <c r="G1026" s="3">
        <v>408.37</v>
      </c>
      <c r="H1026" t="str">
        <f t="shared" si="10"/>
        <v>CUST#12847097/08012021-1031202</v>
      </c>
    </row>
    <row r="1027" spans="5:8" x14ac:dyDescent="0.25">
      <c r="E1027" t="str">
        <f>""</f>
        <v/>
      </c>
      <c r="F1027" t="str">
        <f>""</f>
        <v/>
      </c>
      <c r="G1027" s="3">
        <v>292.64</v>
      </c>
      <c r="H1027" t="str">
        <f t="shared" si="10"/>
        <v>CUST#12847097/08012021-1031202</v>
      </c>
    </row>
    <row r="1028" spans="5:8" x14ac:dyDescent="0.25">
      <c r="E1028" t="str">
        <f>""</f>
        <v/>
      </c>
      <c r="F1028" t="str">
        <f>""</f>
        <v/>
      </c>
      <c r="G1028" s="3">
        <v>181.05</v>
      </c>
      <c r="H1028" t="str">
        <f t="shared" si="10"/>
        <v>CUST#12847097/08012021-1031202</v>
      </c>
    </row>
    <row r="1029" spans="5:8" x14ac:dyDescent="0.25">
      <c r="E1029" t="str">
        <f>""</f>
        <v/>
      </c>
      <c r="F1029" t="str">
        <f>""</f>
        <v/>
      </c>
      <c r="G1029" s="3">
        <v>70.28</v>
      </c>
      <c r="H1029" t="str">
        <f t="shared" si="10"/>
        <v>CUST#12847097/08012021-1031202</v>
      </c>
    </row>
    <row r="1030" spans="5:8" x14ac:dyDescent="0.25">
      <c r="E1030" t="str">
        <f>""</f>
        <v/>
      </c>
      <c r="F1030" t="str">
        <f>""</f>
        <v/>
      </c>
      <c r="G1030" s="3">
        <v>71.69</v>
      </c>
      <c r="H1030" t="str">
        <f t="shared" si="10"/>
        <v>CUST#12847097/08012021-1031202</v>
      </c>
    </row>
    <row r="1031" spans="5:8" x14ac:dyDescent="0.25">
      <c r="E1031" t="str">
        <f>""</f>
        <v/>
      </c>
      <c r="F1031" t="str">
        <f>""</f>
        <v/>
      </c>
      <c r="G1031" s="3">
        <v>455.48</v>
      </c>
      <c r="H1031" t="str">
        <f t="shared" si="10"/>
        <v>CUST#12847097/08012021-1031202</v>
      </c>
    </row>
    <row r="1032" spans="5:8" x14ac:dyDescent="0.25">
      <c r="E1032" t="str">
        <f>""</f>
        <v/>
      </c>
      <c r="F1032" t="str">
        <f>""</f>
        <v/>
      </c>
      <c r="G1032" s="3">
        <v>250.55</v>
      </c>
      <c r="H1032" t="str">
        <f t="shared" si="10"/>
        <v>CUST#12847097/08012021-1031202</v>
      </c>
    </row>
    <row r="1033" spans="5:8" x14ac:dyDescent="0.25">
      <c r="E1033" t="str">
        <f>""</f>
        <v/>
      </c>
      <c r="F1033" t="str">
        <f>""</f>
        <v/>
      </c>
      <c r="G1033" s="3">
        <v>188.2</v>
      </c>
      <c r="H1033" t="str">
        <f t="shared" si="10"/>
        <v>CUST#12847097/08012021-1031202</v>
      </c>
    </row>
    <row r="1034" spans="5:8" x14ac:dyDescent="0.25">
      <c r="E1034" t="str">
        <f>""</f>
        <v/>
      </c>
      <c r="F1034" t="str">
        <f>""</f>
        <v/>
      </c>
      <c r="G1034" s="3">
        <v>319.10000000000002</v>
      </c>
      <c r="H1034" t="str">
        <f t="shared" si="10"/>
        <v>CUST#12847097/08012021-1031202</v>
      </c>
    </row>
    <row r="1035" spans="5:8" x14ac:dyDescent="0.25">
      <c r="E1035" t="str">
        <f>""</f>
        <v/>
      </c>
      <c r="F1035" t="str">
        <f>""</f>
        <v/>
      </c>
      <c r="G1035" s="3">
        <v>374.91</v>
      </c>
      <c r="H1035" t="str">
        <f t="shared" si="10"/>
        <v>CUST#12847097/08012021-1031202</v>
      </c>
    </row>
    <row r="1036" spans="5:8" x14ac:dyDescent="0.25">
      <c r="E1036" t="str">
        <f>""</f>
        <v/>
      </c>
      <c r="F1036" t="str">
        <f>""</f>
        <v/>
      </c>
      <c r="G1036" s="3">
        <v>15.29</v>
      </c>
      <c r="H1036" t="str">
        <f t="shared" si="10"/>
        <v>CUST#12847097/08012021-1031202</v>
      </c>
    </row>
    <row r="1037" spans="5:8" x14ac:dyDescent="0.25">
      <c r="E1037" t="str">
        <f>""</f>
        <v/>
      </c>
      <c r="F1037" t="str">
        <f>""</f>
        <v/>
      </c>
      <c r="G1037" s="3">
        <v>280.64</v>
      </c>
      <c r="H1037" t="str">
        <f t="shared" si="10"/>
        <v>CUST#12847097/08012021-1031202</v>
      </c>
    </row>
    <row r="1038" spans="5:8" x14ac:dyDescent="0.25">
      <c r="E1038" t="str">
        <f>""</f>
        <v/>
      </c>
      <c r="F1038" t="str">
        <f>""</f>
        <v/>
      </c>
      <c r="G1038" s="3">
        <v>787.95</v>
      </c>
      <c r="H1038" t="str">
        <f t="shared" si="10"/>
        <v>CUST#12847097/08012021-1031202</v>
      </c>
    </row>
    <row r="1039" spans="5:8" x14ac:dyDescent="0.25">
      <c r="E1039" t="str">
        <f>""</f>
        <v/>
      </c>
      <c r="F1039" t="str">
        <f>""</f>
        <v/>
      </c>
      <c r="G1039" s="3">
        <v>841.93</v>
      </c>
      <c r="H1039" t="str">
        <f t="shared" si="10"/>
        <v>CUST#12847097/08012021-1031202</v>
      </c>
    </row>
    <row r="1040" spans="5:8" x14ac:dyDescent="0.25">
      <c r="E1040" t="str">
        <f>""</f>
        <v/>
      </c>
      <c r="F1040" t="str">
        <f>""</f>
        <v/>
      </c>
      <c r="G1040" s="3">
        <v>1067.2</v>
      </c>
      <c r="H1040" t="str">
        <f t="shared" si="10"/>
        <v>CUST#12847097/08012021-1031202</v>
      </c>
    </row>
    <row r="1041" spans="1:8" x14ac:dyDescent="0.25">
      <c r="E1041" t="str">
        <f>""</f>
        <v/>
      </c>
      <c r="F1041" t="str">
        <f>""</f>
        <v/>
      </c>
      <c r="G1041" s="3">
        <v>178.37</v>
      </c>
      <c r="H1041" t="str">
        <f t="shared" si="10"/>
        <v>CUST#12847097/08012021-1031202</v>
      </c>
    </row>
    <row r="1042" spans="1:8" x14ac:dyDescent="0.25">
      <c r="E1042" t="str">
        <f>""</f>
        <v/>
      </c>
      <c r="F1042" t="str">
        <f>""</f>
        <v/>
      </c>
      <c r="G1042" s="3">
        <v>390.6</v>
      </c>
      <c r="H1042" t="str">
        <f t="shared" si="10"/>
        <v>CUST#12847097/08012021-1031202</v>
      </c>
    </row>
    <row r="1043" spans="1:8" x14ac:dyDescent="0.25">
      <c r="E1043" t="str">
        <f>""</f>
        <v/>
      </c>
      <c r="F1043" t="str">
        <f>""</f>
        <v/>
      </c>
      <c r="G1043" s="3">
        <v>67.67</v>
      </c>
      <c r="H1043" t="str">
        <f t="shared" si="10"/>
        <v>CUST#12847097/08012021-1031202</v>
      </c>
    </row>
    <row r="1044" spans="1:8" x14ac:dyDescent="0.25">
      <c r="E1044" t="str">
        <f>""</f>
        <v/>
      </c>
      <c r="F1044" t="str">
        <f>""</f>
        <v/>
      </c>
      <c r="G1044" s="3">
        <v>660.95</v>
      </c>
      <c r="H1044" t="str">
        <f t="shared" si="10"/>
        <v>CUST#12847097/08012021-1031202</v>
      </c>
    </row>
    <row r="1045" spans="1:8" x14ac:dyDescent="0.25">
      <c r="E1045" t="str">
        <f>""</f>
        <v/>
      </c>
      <c r="F1045" t="str">
        <f>""</f>
        <v/>
      </c>
      <c r="G1045" s="3">
        <v>82.71</v>
      </c>
      <c r="H1045" t="str">
        <f t="shared" si="10"/>
        <v>CUST#12847097/08012021-1031202</v>
      </c>
    </row>
    <row r="1046" spans="1:8" x14ac:dyDescent="0.25">
      <c r="E1046" t="str">
        <f>""</f>
        <v/>
      </c>
      <c r="F1046" t="str">
        <f>""</f>
        <v/>
      </c>
      <c r="G1046" s="3">
        <v>82.71</v>
      </c>
      <c r="H1046" t="str">
        <f t="shared" si="10"/>
        <v>CUST#12847097/08012021-1031202</v>
      </c>
    </row>
    <row r="1047" spans="1:8" x14ac:dyDescent="0.25">
      <c r="E1047" t="str">
        <f>""</f>
        <v/>
      </c>
      <c r="F1047" t="str">
        <f>""</f>
        <v/>
      </c>
      <c r="G1047" s="3">
        <v>82.71</v>
      </c>
      <c r="H1047" t="str">
        <f t="shared" si="10"/>
        <v>CUST#12847097/08012021-1031202</v>
      </c>
    </row>
    <row r="1048" spans="1:8" x14ac:dyDescent="0.25">
      <c r="E1048" t="str">
        <f>""</f>
        <v/>
      </c>
      <c r="F1048" t="str">
        <f>""</f>
        <v/>
      </c>
      <c r="G1048" s="3">
        <v>261.98</v>
      </c>
      <c r="H1048" t="str">
        <f t="shared" si="10"/>
        <v>CUST#12847097/08012021-1031202</v>
      </c>
    </row>
    <row r="1049" spans="1:8" x14ac:dyDescent="0.25">
      <c r="E1049" t="str">
        <f>""</f>
        <v/>
      </c>
      <c r="F1049" t="str">
        <f>""</f>
        <v/>
      </c>
      <c r="G1049" s="3">
        <v>79.36</v>
      </c>
      <c r="H1049" t="str">
        <f t="shared" si="10"/>
        <v>CUST#12847097/08012021-1031202</v>
      </c>
    </row>
    <row r="1050" spans="1:8" x14ac:dyDescent="0.25">
      <c r="A1050" t="s">
        <v>503</v>
      </c>
      <c r="B1050">
        <v>138071</v>
      </c>
      <c r="C1050" s="3">
        <v>9315.17</v>
      </c>
      <c r="D1050" s="6">
        <v>44522</v>
      </c>
      <c r="E1050" t="str">
        <f>"38774880"</f>
        <v>38774880</v>
      </c>
      <c r="F1050" t="str">
        <f>"CUST #2000172616"</f>
        <v>CUST #2000172616</v>
      </c>
      <c r="G1050" s="3">
        <v>249.26</v>
      </c>
      <c r="H1050" t="str">
        <f t="shared" ref="H1050:H1081" si="11">"CUST #2000172616"</f>
        <v>CUST #2000172616</v>
      </c>
    </row>
    <row r="1051" spans="1:8" x14ac:dyDescent="0.25">
      <c r="E1051" t="str">
        <f>""</f>
        <v/>
      </c>
      <c r="F1051" t="str">
        <f>""</f>
        <v/>
      </c>
      <c r="G1051" s="3">
        <v>174.17</v>
      </c>
      <c r="H1051" t="str">
        <f t="shared" si="11"/>
        <v>CUST #2000172616</v>
      </c>
    </row>
    <row r="1052" spans="1:8" x14ac:dyDescent="0.25">
      <c r="E1052" t="str">
        <f>""</f>
        <v/>
      </c>
      <c r="F1052" t="str">
        <f>""</f>
        <v/>
      </c>
      <c r="G1052" s="3">
        <v>95.11</v>
      </c>
      <c r="H1052" t="str">
        <f t="shared" si="11"/>
        <v>CUST #2000172616</v>
      </c>
    </row>
    <row r="1053" spans="1:8" x14ac:dyDescent="0.25">
      <c r="E1053" t="str">
        <f>""</f>
        <v/>
      </c>
      <c r="F1053" t="str">
        <f>""</f>
        <v/>
      </c>
      <c r="G1053" s="3">
        <v>101.5</v>
      </c>
      <c r="H1053" t="str">
        <f t="shared" si="11"/>
        <v>CUST #2000172616</v>
      </c>
    </row>
    <row r="1054" spans="1:8" x14ac:dyDescent="0.25">
      <c r="E1054" t="str">
        <f>""</f>
        <v/>
      </c>
      <c r="F1054" t="str">
        <f>""</f>
        <v/>
      </c>
      <c r="G1054" s="3">
        <v>249.26</v>
      </c>
      <c r="H1054" t="str">
        <f t="shared" si="11"/>
        <v>CUST #2000172616</v>
      </c>
    </row>
    <row r="1055" spans="1:8" x14ac:dyDescent="0.25">
      <c r="E1055" t="str">
        <f>""</f>
        <v/>
      </c>
      <c r="F1055" t="str">
        <f>""</f>
        <v/>
      </c>
      <c r="G1055" s="3">
        <v>428.42</v>
      </c>
      <c r="H1055" t="str">
        <f t="shared" si="11"/>
        <v>CUST #2000172616</v>
      </c>
    </row>
    <row r="1056" spans="1:8" x14ac:dyDescent="0.25">
      <c r="E1056" t="str">
        <f>""</f>
        <v/>
      </c>
      <c r="F1056" t="str">
        <f>""</f>
        <v/>
      </c>
      <c r="G1056" s="3">
        <v>95.1</v>
      </c>
      <c r="H1056" t="str">
        <f t="shared" si="11"/>
        <v>CUST #2000172616</v>
      </c>
    </row>
    <row r="1057" spans="5:8" x14ac:dyDescent="0.25">
      <c r="E1057" t="str">
        <f>""</f>
        <v/>
      </c>
      <c r="F1057" t="str">
        <f>""</f>
        <v/>
      </c>
      <c r="G1057" s="3">
        <v>303.86</v>
      </c>
      <c r="H1057" t="str">
        <f t="shared" si="11"/>
        <v>CUST #2000172616</v>
      </c>
    </row>
    <row r="1058" spans="5:8" x14ac:dyDescent="0.25">
      <c r="E1058" t="str">
        <f>""</f>
        <v/>
      </c>
      <c r="F1058" t="str">
        <f>""</f>
        <v/>
      </c>
      <c r="G1058" s="3">
        <v>543.30999999999995</v>
      </c>
      <c r="H1058" t="str">
        <f t="shared" si="11"/>
        <v>CUST #2000172616</v>
      </c>
    </row>
    <row r="1059" spans="5:8" x14ac:dyDescent="0.25">
      <c r="E1059" t="str">
        <f>""</f>
        <v/>
      </c>
      <c r="F1059" t="str">
        <f>""</f>
        <v/>
      </c>
      <c r="G1059" s="3">
        <v>249.26</v>
      </c>
      <c r="H1059" t="str">
        <f t="shared" si="11"/>
        <v>CUST #2000172616</v>
      </c>
    </row>
    <row r="1060" spans="5:8" x14ac:dyDescent="0.25">
      <c r="E1060" t="str">
        <f>""</f>
        <v/>
      </c>
      <c r="F1060" t="str">
        <f>""</f>
        <v/>
      </c>
      <c r="G1060" s="3">
        <v>201</v>
      </c>
      <c r="H1060" t="str">
        <f t="shared" si="11"/>
        <v>CUST #2000172616</v>
      </c>
    </row>
    <row r="1061" spans="5:8" x14ac:dyDescent="0.25">
      <c r="E1061" t="str">
        <f>""</f>
        <v/>
      </c>
      <c r="F1061" t="str">
        <f>""</f>
        <v/>
      </c>
      <c r="G1061" s="3">
        <v>80.28</v>
      </c>
      <c r="H1061" t="str">
        <f t="shared" si="11"/>
        <v>CUST #2000172616</v>
      </c>
    </row>
    <row r="1062" spans="5:8" x14ac:dyDescent="0.25">
      <c r="E1062" t="str">
        <f>""</f>
        <v/>
      </c>
      <c r="F1062" t="str">
        <f>""</f>
        <v/>
      </c>
      <c r="G1062" s="3">
        <v>220.09</v>
      </c>
      <c r="H1062" t="str">
        <f t="shared" si="11"/>
        <v>CUST #2000172616</v>
      </c>
    </row>
    <row r="1063" spans="5:8" x14ac:dyDescent="0.25">
      <c r="E1063" t="str">
        <f>""</f>
        <v/>
      </c>
      <c r="F1063" t="str">
        <f>""</f>
        <v/>
      </c>
      <c r="G1063" s="3">
        <v>525.66</v>
      </c>
      <c r="H1063" t="str">
        <f t="shared" si="11"/>
        <v>CUST #2000172616</v>
      </c>
    </row>
    <row r="1064" spans="5:8" x14ac:dyDescent="0.25">
      <c r="E1064" t="str">
        <f>""</f>
        <v/>
      </c>
      <c r="F1064" t="str">
        <f>""</f>
        <v/>
      </c>
      <c r="G1064" s="3">
        <v>249.26</v>
      </c>
      <c r="H1064" t="str">
        <f t="shared" si="11"/>
        <v>CUST #2000172616</v>
      </c>
    </row>
    <row r="1065" spans="5:8" x14ac:dyDescent="0.25">
      <c r="E1065" t="str">
        <f>""</f>
        <v/>
      </c>
      <c r="F1065" t="str">
        <f>""</f>
        <v/>
      </c>
      <c r="G1065" s="3">
        <v>249.26</v>
      </c>
      <c r="H1065" t="str">
        <f t="shared" si="11"/>
        <v>CUST #2000172616</v>
      </c>
    </row>
    <row r="1066" spans="5:8" x14ac:dyDescent="0.25">
      <c r="E1066" t="str">
        <f>""</f>
        <v/>
      </c>
      <c r="F1066" t="str">
        <f>""</f>
        <v/>
      </c>
      <c r="G1066" s="3">
        <v>119.57</v>
      </c>
      <c r="H1066" t="str">
        <f t="shared" si="11"/>
        <v>CUST #2000172616</v>
      </c>
    </row>
    <row r="1067" spans="5:8" x14ac:dyDescent="0.25">
      <c r="E1067" t="str">
        <f>""</f>
        <v/>
      </c>
      <c r="F1067" t="str">
        <f>""</f>
        <v/>
      </c>
      <c r="G1067" s="3">
        <v>338.84</v>
      </c>
      <c r="H1067" t="str">
        <f t="shared" si="11"/>
        <v>CUST #2000172616</v>
      </c>
    </row>
    <row r="1068" spans="5:8" x14ac:dyDescent="0.25">
      <c r="E1068" t="str">
        <f>""</f>
        <v/>
      </c>
      <c r="F1068" t="str">
        <f>""</f>
        <v/>
      </c>
      <c r="G1068" s="3">
        <v>78.540000000000006</v>
      </c>
      <c r="H1068" t="str">
        <f t="shared" si="11"/>
        <v>CUST #2000172616</v>
      </c>
    </row>
    <row r="1069" spans="5:8" x14ac:dyDescent="0.25">
      <c r="E1069" t="str">
        <f>""</f>
        <v/>
      </c>
      <c r="F1069" t="str">
        <f>""</f>
        <v/>
      </c>
      <c r="G1069" s="3">
        <v>249.26</v>
      </c>
      <c r="H1069" t="str">
        <f t="shared" si="11"/>
        <v>CUST #2000172616</v>
      </c>
    </row>
    <row r="1070" spans="5:8" x14ac:dyDescent="0.25">
      <c r="E1070" t="str">
        <f>""</f>
        <v/>
      </c>
      <c r="F1070" t="str">
        <f>""</f>
        <v/>
      </c>
      <c r="G1070" s="3">
        <v>139.51</v>
      </c>
      <c r="H1070" t="str">
        <f t="shared" si="11"/>
        <v>CUST #2000172616</v>
      </c>
    </row>
    <row r="1071" spans="5:8" x14ac:dyDescent="0.25">
      <c r="E1071" t="str">
        <f>""</f>
        <v/>
      </c>
      <c r="F1071" t="str">
        <f>""</f>
        <v/>
      </c>
      <c r="G1071" s="3">
        <v>303.86</v>
      </c>
      <c r="H1071" t="str">
        <f t="shared" si="11"/>
        <v>CUST #2000172616</v>
      </c>
    </row>
    <row r="1072" spans="5:8" x14ac:dyDescent="0.25">
      <c r="E1072" t="str">
        <f>""</f>
        <v/>
      </c>
      <c r="F1072" t="str">
        <f>""</f>
        <v/>
      </c>
      <c r="G1072" s="3">
        <v>1267.82</v>
      </c>
      <c r="H1072" t="str">
        <f t="shared" si="11"/>
        <v>CUST #2000172616</v>
      </c>
    </row>
    <row r="1073" spans="1:8" x14ac:dyDescent="0.25">
      <c r="E1073" t="str">
        <f>""</f>
        <v/>
      </c>
      <c r="F1073" t="str">
        <f>""</f>
        <v/>
      </c>
      <c r="G1073" s="3">
        <v>1244.07</v>
      </c>
      <c r="H1073" t="str">
        <f t="shared" si="11"/>
        <v>CUST #2000172616</v>
      </c>
    </row>
    <row r="1074" spans="1:8" x14ac:dyDescent="0.25">
      <c r="E1074" t="str">
        <f>""</f>
        <v/>
      </c>
      <c r="F1074" t="str">
        <f>""</f>
        <v/>
      </c>
      <c r="G1074" s="3">
        <v>334.08</v>
      </c>
      <c r="H1074" t="str">
        <f t="shared" si="11"/>
        <v>CUST #2000172616</v>
      </c>
    </row>
    <row r="1075" spans="1:8" x14ac:dyDescent="0.25">
      <c r="E1075" t="str">
        <f>""</f>
        <v/>
      </c>
      <c r="F1075" t="str">
        <f>""</f>
        <v/>
      </c>
      <c r="G1075" s="3">
        <v>303.86</v>
      </c>
      <c r="H1075" t="str">
        <f t="shared" si="11"/>
        <v>CUST #2000172616</v>
      </c>
    </row>
    <row r="1076" spans="1:8" x14ac:dyDescent="0.25">
      <c r="E1076" t="str">
        <f>""</f>
        <v/>
      </c>
      <c r="F1076" t="str">
        <f>""</f>
        <v/>
      </c>
      <c r="G1076" s="3">
        <v>303.86</v>
      </c>
      <c r="H1076" t="str">
        <f t="shared" si="11"/>
        <v>CUST #2000172616</v>
      </c>
    </row>
    <row r="1077" spans="1:8" x14ac:dyDescent="0.25">
      <c r="E1077" t="str">
        <f>""</f>
        <v/>
      </c>
      <c r="F1077" t="str">
        <f>""</f>
        <v/>
      </c>
      <c r="G1077" s="3">
        <v>101.5</v>
      </c>
      <c r="H1077" t="str">
        <f t="shared" si="11"/>
        <v>CUST #2000172616</v>
      </c>
    </row>
    <row r="1078" spans="1:8" x14ac:dyDescent="0.25">
      <c r="E1078" t="str">
        <f>""</f>
        <v/>
      </c>
      <c r="F1078" t="str">
        <f>""</f>
        <v/>
      </c>
      <c r="G1078" s="3">
        <v>303.86</v>
      </c>
      <c r="H1078" t="str">
        <f t="shared" si="11"/>
        <v>CUST #2000172616</v>
      </c>
    </row>
    <row r="1079" spans="1:8" x14ac:dyDescent="0.25">
      <c r="E1079" t="str">
        <f>""</f>
        <v/>
      </c>
      <c r="F1079" t="str">
        <f>""</f>
        <v/>
      </c>
      <c r="G1079" s="3">
        <v>70.58</v>
      </c>
      <c r="H1079" t="str">
        <f t="shared" si="11"/>
        <v>CUST #2000172616</v>
      </c>
    </row>
    <row r="1080" spans="1:8" x14ac:dyDescent="0.25">
      <c r="E1080" t="str">
        <f>""</f>
        <v/>
      </c>
      <c r="F1080" t="str">
        <f>""</f>
        <v/>
      </c>
      <c r="G1080" s="3">
        <v>70.58</v>
      </c>
      <c r="H1080" t="str">
        <f t="shared" si="11"/>
        <v>CUST #2000172616</v>
      </c>
    </row>
    <row r="1081" spans="1:8" x14ac:dyDescent="0.25">
      <c r="E1081" t="str">
        <f>""</f>
        <v/>
      </c>
      <c r="F1081" t="str">
        <f>""</f>
        <v/>
      </c>
      <c r="G1081" s="3">
        <v>70.58</v>
      </c>
      <c r="H1081" t="str">
        <f t="shared" si="11"/>
        <v>CUST #2000172616</v>
      </c>
    </row>
    <row r="1082" spans="1:8" x14ac:dyDescent="0.25">
      <c r="A1082" t="s">
        <v>504</v>
      </c>
      <c r="B1082">
        <v>5422</v>
      </c>
      <c r="C1082" s="3">
        <v>350</v>
      </c>
      <c r="D1082" s="6">
        <v>44523</v>
      </c>
      <c r="E1082" t="str">
        <f>"BCS00CT21"</f>
        <v>BCS00CT21</v>
      </c>
      <c r="F1082" t="str">
        <f>"INV BCSOOCT21"</f>
        <v>INV BCSOOCT21</v>
      </c>
      <c r="G1082" s="3">
        <v>350</v>
      </c>
      <c r="H1082" t="str">
        <f>"INV BCSOOCT21"</f>
        <v>INV BCSOOCT21</v>
      </c>
    </row>
    <row r="1083" spans="1:8" x14ac:dyDescent="0.25">
      <c r="A1083" t="s">
        <v>505</v>
      </c>
      <c r="B1083">
        <v>137818</v>
      </c>
      <c r="C1083" s="3">
        <v>205</v>
      </c>
      <c r="D1083" s="6">
        <v>44508</v>
      </c>
      <c r="E1083" t="str">
        <f>"202111016902"</f>
        <v>202111016902</v>
      </c>
      <c r="F1083" t="str">
        <f>"FERAL HOGS"</f>
        <v>FERAL HOGS</v>
      </c>
      <c r="G1083" s="3">
        <v>205</v>
      </c>
      <c r="H1083" t="str">
        <f>"FERAL HOGS"</f>
        <v>FERAL HOGS</v>
      </c>
    </row>
    <row r="1084" spans="1:8" x14ac:dyDescent="0.25">
      <c r="A1084" t="s">
        <v>506</v>
      </c>
      <c r="B1084">
        <v>137819</v>
      </c>
      <c r="C1084" s="3">
        <v>145</v>
      </c>
      <c r="D1084" s="6">
        <v>44508</v>
      </c>
      <c r="E1084" t="str">
        <f>"202111016903"</f>
        <v>202111016903</v>
      </c>
      <c r="F1084" t="str">
        <f>"FERAL HOGS"</f>
        <v>FERAL HOGS</v>
      </c>
      <c r="G1084" s="3">
        <v>65</v>
      </c>
      <c r="H1084" t="str">
        <f>"FERAL HOGS"</f>
        <v>FERAL HOGS</v>
      </c>
    </row>
    <row r="1085" spans="1:8" x14ac:dyDescent="0.25">
      <c r="E1085" t="str">
        <f>"202111016904"</f>
        <v>202111016904</v>
      </c>
      <c r="F1085" t="str">
        <f>"FERAL HOGS"</f>
        <v>FERAL HOGS</v>
      </c>
      <c r="G1085" s="3">
        <v>80</v>
      </c>
      <c r="H1085" t="str">
        <f>"FERAL HOGS"</f>
        <v>FERAL HOGS</v>
      </c>
    </row>
    <row r="1086" spans="1:8" x14ac:dyDescent="0.25">
      <c r="A1086" t="s">
        <v>507</v>
      </c>
      <c r="B1086">
        <v>137820</v>
      </c>
      <c r="C1086" s="3">
        <v>585.29999999999995</v>
      </c>
      <c r="D1086" s="6">
        <v>44508</v>
      </c>
      <c r="E1086" t="str">
        <f>"PS03097661"</f>
        <v>PS03097661</v>
      </c>
      <c r="F1086" t="str">
        <f>"CUST#04912/PCT#2"</f>
        <v>CUST#04912/PCT#2</v>
      </c>
      <c r="G1086" s="3">
        <v>585.29999999999995</v>
      </c>
      <c r="H1086" t="str">
        <f>"CUST#04912/PCT#2"</f>
        <v>CUST#04912/PCT#2</v>
      </c>
    </row>
    <row r="1087" spans="1:8" x14ac:dyDescent="0.25">
      <c r="A1087" t="s">
        <v>508</v>
      </c>
      <c r="B1087">
        <v>137821</v>
      </c>
      <c r="C1087" s="3">
        <v>140</v>
      </c>
      <c r="D1087" s="6">
        <v>44508</v>
      </c>
      <c r="E1087" t="str">
        <f>"202111016905"</f>
        <v>202111016905</v>
      </c>
      <c r="F1087" t="str">
        <f>"FERAL HOGS"</f>
        <v>FERAL HOGS</v>
      </c>
      <c r="G1087" s="3">
        <v>140</v>
      </c>
      <c r="H1087" t="str">
        <f>"FERAL HOGS"</f>
        <v>FERAL HOGS</v>
      </c>
    </row>
    <row r="1088" spans="1:8" x14ac:dyDescent="0.25">
      <c r="A1088" t="s">
        <v>509</v>
      </c>
      <c r="B1088">
        <v>137822</v>
      </c>
      <c r="C1088" s="3">
        <v>122</v>
      </c>
      <c r="D1088" s="6">
        <v>44508</v>
      </c>
      <c r="E1088" t="str">
        <f>"202111026969"</f>
        <v>202111026969</v>
      </c>
      <c r="F1088" t="str">
        <f>"DEVELOPMENT SVCS RECORDING FEE"</f>
        <v>DEVELOPMENT SVCS RECORDING FEE</v>
      </c>
      <c r="G1088" s="3">
        <v>122</v>
      </c>
      <c r="H1088" t="str">
        <f>"DEVELOPMENT SVCS RECORDING FEE"</f>
        <v>DEVELOPMENT SVCS RECORDING FEE</v>
      </c>
    </row>
    <row r="1089" spans="1:8" x14ac:dyDescent="0.25">
      <c r="A1089" t="s">
        <v>509</v>
      </c>
      <c r="B1089">
        <v>138072</v>
      </c>
      <c r="C1089" s="3">
        <v>61</v>
      </c>
      <c r="D1089" s="6">
        <v>44522</v>
      </c>
      <c r="E1089" t="str">
        <f>"202111167202"</f>
        <v>202111167202</v>
      </c>
      <c r="F1089" t="str">
        <f>"DEVELOPMENT SVCS RECORDING FEE"</f>
        <v>DEVELOPMENT SVCS RECORDING FEE</v>
      </c>
      <c r="G1089" s="3">
        <v>61</v>
      </c>
      <c r="H1089" t="str">
        <f>"DEVELOPMENT SVCS RECORDING FEE"</f>
        <v>DEVELOPMENT SVCS RECORDING FEE</v>
      </c>
    </row>
    <row r="1090" spans="1:8" x14ac:dyDescent="0.25">
      <c r="A1090" t="s">
        <v>510</v>
      </c>
      <c r="B1090">
        <v>5454</v>
      </c>
      <c r="C1090" s="3">
        <v>67.900000000000006</v>
      </c>
      <c r="D1090" s="6">
        <v>44523</v>
      </c>
      <c r="E1090" t="str">
        <f>"202111167196"</f>
        <v>202111167196</v>
      </c>
      <c r="F1090" t="str">
        <f>"INDIGENT HEALTH"</f>
        <v>INDIGENT HEALTH</v>
      </c>
      <c r="G1090" s="3">
        <v>67.900000000000006</v>
      </c>
      <c r="H1090" t="str">
        <f>"INDIGENT HEALTH"</f>
        <v>INDIGENT HEALTH</v>
      </c>
    </row>
    <row r="1091" spans="1:8" x14ac:dyDescent="0.25">
      <c r="A1091" t="s">
        <v>511</v>
      </c>
      <c r="B1091">
        <v>137824</v>
      </c>
      <c r="C1091" s="3">
        <v>25</v>
      </c>
      <c r="D1091" s="6">
        <v>44508</v>
      </c>
      <c r="E1091" t="str">
        <f>"BCNTY-101021"</f>
        <v>BCNTY-101021</v>
      </c>
      <c r="F1091" t="str">
        <f>"INV BCNTY-101021"</f>
        <v>INV BCNTY-101021</v>
      </c>
      <c r="G1091" s="3">
        <v>25</v>
      </c>
      <c r="H1091" t="str">
        <f>"INV BCNTY-101021"</f>
        <v>INV BCNTY-101021</v>
      </c>
    </row>
    <row r="1092" spans="1:8" x14ac:dyDescent="0.25">
      <c r="A1092" t="s">
        <v>512</v>
      </c>
      <c r="B1092">
        <v>137825</v>
      </c>
      <c r="C1092" s="3">
        <v>275</v>
      </c>
      <c r="D1092" s="6">
        <v>44508</v>
      </c>
      <c r="E1092" t="str">
        <f>"202111016906"</f>
        <v>202111016906</v>
      </c>
      <c r="F1092" t="str">
        <f>"FERAL HOGS"</f>
        <v>FERAL HOGS</v>
      </c>
      <c r="G1092" s="3">
        <v>275</v>
      </c>
      <c r="H1092" t="str">
        <f>"FERAL HOGS"</f>
        <v>FERAL HOGS</v>
      </c>
    </row>
    <row r="1093" spans="1:8" x14ac:dyDescent="0.25">
      <c r="A1093" t="s">
        <v>513</v>
      </c>
      <c r="B1093">
        <v>137826</v>
      </c>
      <c r="C1093" s="3">
        <v>100</v>
      </c>
      <c r="D1093" s="6">
        <v>44508</v>
      </c>
      <c r="E1093" t="str">
        <f>"202111026961"</f>
        <v>202111026961</v>
      </c>
      <c r="F1093" t="str">
        <f>"REFUND FOR CASH BOND"</f>
        <v>REFUND FOR CASH BOND</v>
      </c>
      <c r="G1093" s="3">
        <v>100</v>
      </c>
      <c r="H1093" t="str">
        <f>"REFUND FOR CASH BOND"</f>
        <v>REFUND FOR CASH BOND</v>
      </c>
    </row>
    <row r="1094" spans="1:8" x14ac:dyDescent="0.25">
      <c r="A1094" t="s">
        <v>514</v>
      </c>
      <c r="B1094">
        <v>137827</v>
      </c>
      <c r="C1094" s="3">
        <v>3455.55</v>
      </c>
      <c r="D1094" s="6">
        <v>44508</v>
      </c>
      <c r="E1094" t="str">
        <f>"4858*06024*1"</f>
        <v>4858*06024*1</v>
      </c>
      <c r="F1094" t="str">
        <f>"JAIL MEDICAL"</f>
        <v>JAIL MEDICAL</v>
      </c>
      <c r="G1094" s="3">
        <v>3455.55</v>
      </c>
      <c r="H1094" t="str">
        <f>"JAIL MEDICAL"</f>
        <v>JAIL MEDICAL</v>
      </c>
    </row>
    <row r="1095" spans="1:8" x14ac:dyDescent="0.25">
      <c r="A1095" t="s">
        <v>515</v>
      </c>
      <c r="B1095">
        <v>138073</v>
      </c>
      <c r="C1095" s="3">
        <v>3400</v>
      </c>
      <c r="D1095" s="6">
        <v>44522</v>
      </c>
      <c r="E1095" t="str">
        <f>"202111157138"</f>
        <v>202111157138</v>
      </c>
      <c r="F1095" t="str">
        <f>"SETON PRESCRIPTION ASSIST PROG"</f>
        <v>SETON PRESCRIPTION ASSIST PROG</v>
      </c>
      <c r="G1095" s="3">
        <v>3400</v>
      </c>
      <c r="H1095" t="str">
        <f>"SETON PRESCRIPTION ASSIST PROG"</f>
        <v>SETON PRESCRIPTION ASSIST PROG</v>
      </c>
    </row>
    <row r="1096" spans="1:8" x14ac:dyDescent="0.25">
      <c r="A1096" t="s">
        <v>516</v>
      </c>
      <c r="B1096">
        <v>137828</v>
      </c>
      <c r="C1096" s="3">
        <v>50</v>
      </c>
      <c r="D1096" s="6">
        <v>44508</v>
      </c>
      <c r="E1096" t="s">
        <v>517</v>
      </c>
      <c r="F1096" s="3" t="str">
        <f>"RESTITUTION - DEBRA MCCOMB"</f>
        <v>RESTITUTION - DEBRA MCCOMB</v>
      </c>
      <c r="G1096" s="3">
        <v>50</v>
      </c>
      <c r="H1096" t="str">
        <f>"RESTITUTION - DEBRA MCCOMB"</f>
        <v>RESTITUTION - DEBRA MCCOMB</v>
      </c>
    </row>
    <row r="1097" spans="1:8" x14ac:dyDescent="0.25">
      <c r="A1097" t="s">
        <v>518</v>
      </c>
      <c r="B1097">
        <v>138074</v>
      </c>
      <c r="C1097" s="3">
        <v>135.31</v>
      </c>
      <c r="D1097" s="6">
        <v>44522</v>
      </c>
      <c r="E1097" t="str">
        <f>"5006605163"</f>
        <v>5006605163</v>
      </c>
      <c r="F1097" t="str">
        <f>"ACCT#120050140/ANIMAL SERVICES"</f>
        <v>ACCT#120050140/ANIMAL SERVICES</v>
      </c>
      <c r="G1097" s="3">
        <v>135.31</v>
      </c>
      <c r="H1097" t="str">
        <f>"ACCT#120050140/ANIMAL SERVICES"</f>
        <v>ACCT#120050140/ANIMAL SERVICES</v>
      </c>
    </row>
    <row r="1098" spans="1:8" x14ac:dyDescent="0.25">
      <c r="A1098" t="s">
        <v>519</v>
      </c>
      <c r="B1098">
        <v>137829</v>
      </c>
      <c r="C1098" s="3">
        <v>25325.32</v>
      </c>
      <c r="D1098" s="6">
        <v>44508</v>
      </c>
      <c r="E1098" t="str">
        <f>"GB00429847"</f>
        <v>GB00429847</v>
      </c>
      <c r="F1098" t="str">
        <f>"SHI Lansweeper"</f>
        <v>SHI Lansweeper</v>
      </c>
      <c r="G1098" s="3">
        <v>945</v>
      </c>
      <c r="H1098" t="str">
        <f>"SHI Lansweeper"</f>
        <v>SHI Lansweeper</v>
      </c>
    </row>
    <row r="1099" spans="1:8" x14ac:dyDescent="0.25">
      <c r="E1099" t="str">
        <f>"GB00432614"</f>
        <v>GB00432614</v>
      </c>
      <c r="F1099" t="str">
        <f>"Headset for Katy"</f>
        <v>Headset for Katy</v>
      </c>
      <c r="G1099" s="3">
        <v>209</v>
      </c>
      <c r="H1099" t="str">
        <f>"562WirelessHeadset"</f>
        <v>562WirelessHeadset</v>
      </c>
    </row>
    <row r="1100" spans="1:8" x14ac:dyDescent="0.25">
      <c r="E1100" t="str">
        <f>"GB00433305"</f>
        <v>GB00433305</v>
      </c>
      <c r="F1100" t="str">
        <f>"VMWARE RENEWAL"</f>
        <v>VMWARE RENEWAL</v>
      </c>
      <c r="G1100" s="3">
        <v>5575.68</v>
      </c>
      <c r="H1100" t="str">
        <f>"VR8-OSCT-P-SSS-C"</f>
        <v>VR8-OSCT-P-SSS-C</v>
      </c>
    </row>
    <row r="1101" spans="1:8" x14ac:dyDescent="0.25">
      <c r="E1101" t="str">
        <f>""</f>
        <v/>
      </c>
      <c r="F1101" t="str">
        <f>""</f>
        <v/>
      </c>
      <c r="G1101" s="3">
        <v>2979.92</v>
      </c>
      <c r="H1101" t="str">
        <f>"VSC7-STD-P-SSS-C"</f>
        <v>VSC7-STD-P-SSS-C</v>
      </c>
    </row>
    <row r="1102" spans="1:8" x14ac:dyDescent="0.25">
      <c r="E1102" t="str">
        <f>""</f>
        <v/>
      </c>
      <c r="F1102" t="str">
        <f>""</f>
        <v/>
      </c>
      <c r="G1102" s="3">
        <v>15615.72</v>
      </c>
      <c r="H1102" t="str">
        <f>"VS7-EPL-P-SSS-C"</f>
        <v>VS7-EPL-P-SSS-C</v>
      </c>
    </row>
    <row r="1103" spans="1:8" x14ac:dyDescent="0.25">
      <c r="A1103" t="s">
        <v>519</v>
      </c>
      <c r="B1103">
        <v>138075</v>
      </c>
      <c r="C1103" s="3">
        <v>22550</v>
      </c>
      <c r="D1103" s="6">
        <v>44522</v>
      </c>
      <c r="E1103" t="str">
        <f>"202111177232"</f>
        <v>202111177232</v>
      </c>
      <c r="F1103" t="str">
        <f>"ESET 3yr Renewal"</f>
        <v>ESET 3yr Renewal</v>
      </c>
      <c r="G1103" s="3">
        <v>7516.67</v>
      </c>
      <c r="H1103" t="str">
        <f>"ESET FY22-23"</f>
        <v>ESET FY22-23</v>
      </c>
    </row>
    <row r="1104" spans="1:8" x14ac:dyDescent="0.25">
      <c r="E1104" t="str">
        <f>""</f>
        <v/>
      </c>
      <c r="F1104" t="str">
        <f>""</f>
        <v/>
      </c>
      <c r="G1104" s="3">
        <v>7516.66</v>
      </c>
      <c r="H1104" t="str">
        <f>"ESET FY23-24"</f>
        <v>ESET FY23-24</v>
      </c>
    </row>
    <row r="1105" spans="1:8" x14ac:dyDescent="0.25">
      <c r="E1105" t="str">
        <f>""</f>
        <v/>
      </c>
      <c r="F1105" t="str">
        <f>""</f>
        <v/>
      </c>
      <c r="G1105" s="3">
        <v>7516.67</v>
      </c>
      <c r="H1105" t="str">
        <f>"ESET  FY21-22"</f>
        <v>ESET  FY21-22</v>
      </c>
    </row>
    <row r="1106" spans="1:8" x14ac:dyDescent="0.25">
      <c r="A1106" t="s">
        <v>520</v>
      </c>
      <c r="B1106">
        <v>138076</v>
      </c>
      <c r="C1106" s="3">
        <v>1791.63</v>
      </c>
      <c r="D1106" s="6">
        <v>44522</v>
      </c>
      <c r="E1106" t="str">
        <f>"1325384"</f>
        <v>1325384</v>
      </c>
      <c r="F1106" t="str">
        <f>"ACCT#564591/PCT#2"</f>
        <v>ACCT#564591/PCT#2</v>
      </c>
      <c r="G1106" s="3">
        <v>97.14</v>
      </c>
      <c r="H1106" t="str">
        <f>"ACCT#564591/PCT#2"</f>
        <v>ACCT#564591/PCT#2</v>
      </c>
    </row>
    <row r="1107" spans="1:8" x14ac:dyDescent="0.25">
      <c r="E1107" t="str">
        <f>"1343025"</f>
        <v>1343025</v>
      </c>
      <c r="F1107" t="str">
        <f>"CUST 5093E PCT4"</f>
        <v>CUST 5093E PCT4</v>
      </c>
      <c r="G1107" s="3">
        <v>1546.11</v>
      </c>
      <c r="H1107" t="str">
        <f>"CUST 5093E PCT4"</f>
        <v>CUST 5093E PCT4</v>
      </c>
    </row>
    <row r="1108" spans="1:8" x14ac:dyDescent="0.25">
      <c r="E1108" t="str">
        <f>"1384191"</f>
        <v>1384191</v>
      </c>
      <c r="F1108" t="str">
        <f>"PARTS PCT4"</f>
        <v>PARTS PCT4</v>
      </c>
      <c r="G1108" s="3">
        <v>77</v>
      </c>
      <c r="H1108" t="str">
        <f>"PARTS PCT4"</f>
        <v>PARTS PCT4</v>
      </c>
    </row>
    <row r="1109" spans="1:8" x14ac:dyDescent="0.25">
      <c r="E1109" t="str">
        <f>"1386104"</f>
        <v>1386104</v>
      </c>
      <c r="F1109" t="str">
        <f>"ACCT#550615/WILDFIRE MITIGATIO"</f>
        <v>ACCT#550615/WILDFIRE MITIGATIO</v>
      </c>
      <c r="G1109" s="3">
        <v>71.38</v>
      </c>
      <c r="H1109" t="str">
        <f>"ACCT#550615/WILDFIRE MITIGATIO"</f>
        <v>ACCT#550615/WILDFIRE MITIGATIO</v>
      </c>
    </row>
    <row r="1110" spans="1:8" x14ac:dyDescent="0.25">
      <c r="A1110" t="s">
        <v>521</v>
      </c>
      <c r="B1110">
        <v>137830</v>
      </c>
      <c r="C1110" s="3">
        <v>184.17</v>
      </c>
      <c r="D1110" s="6">
        <v>44508</v>
      </c>
      <c r="E1110" t="str">
        <f>"8000113397"</f>
        <v>8000113397</v>
      </c>
      <c r="F1110" t="str">
        <f>"CUST#1000374390/TAX OFFICE"</f>
        <v>CUST#1000374390/TAX OFFICE</v>
      </c>
      <c r="G1110" s="3">
        <v>184.17</v>
      </c>
      <c r="H1110" t="str">
        <f>"CUST#1000374390/TAX OFFICE"</f>
        <v>CUST#1000374390/TAX OFFICE</v>
      </c>
    </row>
    <row r="1111" spans="1:8" x14ac:dyDescent="0.25">
      <c r="A1111" t="s">
        <v>521</v>
      </c>
      <c r="B1111">
        <v>138077</v>
      </c>
      <c r="C1111" s="3">
        <v>341.28</v>
      </c>
      <c r="D1111" s="6">
        <v>44522</v>
      </c>
      <c r="E1111" t="str">
        <f>"8000330781"</f>
        <v>8000330781</v>
      </c>
      <c r="F1111" t="str">
        <f>"INV 8000330781"</f>
        <v>INV 8000330781</v>
      </c>
      <c r="G1111" s="3">
        <v>87.65</v>
      </c>
      <c r="H1111" t="str">
        <f>"INV 8000330781 (LE)"</f>
        <v>INV 8000330781 (LE)</v>
      </c>
    </row>
    <row r="1112" spans="1:8" x14ac:dyDescent="0.25">
      <c r="E1112" t="str">
        <f>""</f>
        <v/>
      </c>
      <c r="F1112" t="str">
        <f>""</f>
        <v/>
      </c>
      <c r="G1112" s="3">
        <v>87.64</v>
      </c>
      <c r="H1112" t="str">
        <f>"INV 8000330781 (JAIL"</f>
        <v>INV 8000330781 (JAIL</v>
      </c>
    </row>
    <row r="1113" spans="1:8" x14ac:dyDescent="0.25">
      <c r="E1113" t="str">
        <f>"8000331265"</f>
        <v>8000331265</v>
      </c>
      <c r="F1113" t="str">
        <f>"CUST#1000374390/TAX OFFICE"</f>
        <v>CUST#1000374390/TAX OFFICE</v>
      </c>
      <c r="G1113" s="3">
        <v>91.97</v>
      </c>
      <c r="H1113" t="str">
        <f>"CUST#1000374390/TAX OFFICE"</f>
        <v>CUST#1000374390/TAX OFFICE</v>
      </c>
    </row>
    <row r="1114" spans="1:8" x14ac:dyDescent="0.25">
      <c r="E1114" t="str">
        <f>"8000331330"</f>
        <v>8000331330</v>
      </c>
      <c r="F1114" t="str">
        <f>"CUST#1000374545/JP4"</f>
        <v>CUST#1000374545/JP4</v>
      </c>
      <c r="G1114" s="3">
        <v>74.02</v>
      </c>
      <c r="H1114" t="str">
        <f>"CUST#1000374545/JP4"</f>
        <v>CUST#1000374545/JP4</v>
      </c>
    </row>
    <row r="1115" spans="1:8" x14ac:dyDescent="0.25">
      <c r="A1115" t="s">
        <v>522</v>
      </c>
      <c r="B1115">
        <v>137831</v>
      </c>
      <c r="C1115" s="3">
        <v>13.9</v>
      </c>
      <c r="D1115" s="6">
        <v>44508</v>
      </c>
      <c r="E1115" t="str">
        <f>"4856*146*1"</f>
        <v>4856*146*1</v>
      </c>
      <c r="F1115" t="str">
        <f>"JAIL MEDICAL"</f>
        <v>JAIL MEDICAL</v>
      </c>
      <c r="G1115" s="3">
        <v>13.9</v>
      </c>
      <c r="H1115" t="str">
        <f>"JAIL MEDICAL"</f>
        <v>JAIL MEDICAL</v>
      </c>
    </row>
    <row r="1116" spans="1:8" x14ac:dyDescent="0.25">
      <c r="A1116" t="s">
        <v>522</v>
      </c>
      <c r="B1116">
        <v>138078</v>
      </c>
      <c r="C1116" s="3">
        <v>233.63</v>
      </c>
      <c r="D1116" s="6">
        <v>44522</v>
      </c>
      <c r="E1116" t="str">
        <f>"202111167198"</f>
        <v>202111167198</v>
      </c>
      <c r="F1116" t="str">
        <f>"INDIGENT HEALTH"</f>
        <v>INDIGENT HEALTH</v>
      </c>
      <c r="G1116" s="3">
        <v>98.37</v>
      </c>
      <c r="H1116" t="str">
        <f>"INDIGENT HEALTH"</f>
        <v>INDIGENT HEALTH</v>
      </c>
    </row>
    <row r="1117" spans="1:8" x14ac:dyDescent="0.25">
      <c r="E1117" t="str">
        <f>"4856*146*2"</f>
        <v>4856*146*2</v>
      </c>
      <c r="F1117" t="str">
        <f>"JAIL MEDICAL"</f>
        <v>JAIL MEDICAL</v>
      </c>
      <c r="G1117" s="3">
        <v>135.26</v>
      </c>
      <c r="H1117" t="str">
        <f>"JAIL MEDICAL"</f>
        <v>JAIL MEDICAL</v>
      </c>
    </row>
    <row r="1118" spans="1:8" x14ac:dyDescent="0.25">
      <c r="A1118" t="s">
        <v>523</v>
      </c>
      <c r="B1118">
        <v>5438</v>
      </c>
      <c r="C1118" s="3">
        <v>671.61</v>
      </c>
      <c r="D1118" s="6">
        <v>44523</v>
      </c>
      <c r="E1118" t="str">
        <f>"21-28785"</f>
        <v>21-28785</v>
      </c>
      <c r="F1118" t="str">
        <f>"INV PSMI001483"</f>
        <v>INV PSMI001483</v>
      </c>
      <c r="G1118" s="3">
        <v>282</v>
      </c>
      <c r="H1118" t="str">
        <f>"INV PSMI001483"</f>
        <v>INV PSMI001483</v>
      </c>
    </row>
    <row r="1119" spans="1:8" x14ac:dyDescent="0.25">
      <c r="E1119" t="str">
        <f>""</f>
        <v/>
      </c>
      <c r="F1119" t="str">
        <f>""</f>
        <v/>
      </c>
      <c r="G1119" s="3">
        <v>389.61</v>
      </c>
      <c r="H1119" t="str">
        <f>"INV PSMI001727"</f>
        <v>INV PSMI001727</v>
      </c>
    </row>
    <row r="1120" spans="1:8" x14ac:dyDescent="0.25">
      <c r="A1120" t="s">
        <v>524</v>
      </c>
      <c r="B1120">
        <v>138079</v>
      </c>
      <c r="C1120" s="3">
        <v>577.83000000000004</v>
      </c>
      <c r="D1120" s="6">
        <v>44522</v>
      </c>
      <c r="E1120" t="str">
        <f>"37838"</f>
        <v>37838</v>
      </c>
      <c r="F1120" t="str">
        <f>"OCT STATEMENT/PCT#2"</f>
        <v>OCT STATEMENT/PCT#2</v>
      </c>
      <c r="G1120" s="3">
        <v>577.83000000000004</v>
      </c>
      <c r="H1120" t="str">
        <f>"OCT STATEMENT/PCT#2"</f>
        <v>OCT STATEMENT/PCT#2</v>
      </c>
    </row>
    <row r="1121" spans="1:8" x14ac:dyDescent="0.25">
      <c r="A1121" t="s">
        <v>525</v>
      </c>
      <c r="B1121">
        <v>138080</v>
      </c>
      <c r="C1121" s="3">
        <v>195</v>
      </c>
      <c r="D1121" s="6">
        <v>44522</v>
      </c>
      <c r="E1121" t="str">
        <f>"9814"</f>
        <v>9814</v>
      </c>
      <c r="F1121" t="str">
        <f>"MEMBERSHIP RENEWAL-ANNUAL DUES"</f>
        <v>MEMBERSHIP RENEWAL-ANNUAL DUES</v>
      </c>
      <c r="G1121" s="3">
        <v>195</v>
      </c>
      <c r="H1121" t="str">
        <f>"MEMBERSHIP RENEWAL-ANNUAL DUES"</f>
        <v>MEMBERSHIP RENEWAL-ANNUAL DUES</v>
      </c>
    </row>
    <row r="1122" spans="1:8" x14ac:dyDescent="0.25">
      <c r="A1122" t="s">
        <v>526</v>
      </c>
      <c r="B1122">
        <v>138081</v>
      </c>
      <c r="C1122" s="3">
        <v>214.04</v>
      </c>
      <c r="D1122" s="6">
        <v>44522</v>
      </c>
      <c r="E1122" t="str">
        <f>"202111167174"</f>
        <v>202111167174</v>
      </c>
      <c r="F1122" t="str">
        <f>"ACCT#260/PCT#2"</f>
        <v>ACCT#260/PCT#2</v>
      </c>
      <c r="G1122" s="3">
        <v>214.04</v>
      </c>
      <c r="H1122" t="str">
        <f>"ACCT#260/PCT#2"</f>
        <v>ACCT#260/PCT#2</v>
      </c>
    </row>
    <row r="1123" spans="1:8" x14ac:dyDescent="0.25">
      <c r="A1123" t="s">
        <v>79</v>
      </c>
      <c r="B1123">
        <v>137832</v>
      </c>
      <c r="C1123" s="3">
        <v>12000</v>
      </c>
      <c r="D1123" s="6">
        <v>44508</v>
      </c>
      <c r="E1123" t="str">
        <f>"202110286721"</f>
        <v>202110286721</v>
      </c>
      <c r="F1123" t="str">
        <f>"FY 2022"</f>
        <v>FY 2022</v>
      </c>
      <c r="G1123" s="3">
        <v>12000</v>
      </c>
      <c r="H1123" t="str">
        <f>"FY 2022"</f>
        <v>FY 2022</v>
      </c>
    </row>
    <row r="1124" spans="1:8" x14ac:dyDescent="0.25">
      <c r="A1124" t="s">
        <v>527</v>
      </c>
      <c r="B1124">
        <v>137833</v>
      </c>
      <c r="C1124" s="3">
        <v>2075</v>
      </c>
      <c r="D1124" s="6">
        <v>44508</v>
      </c>
      <c r="E1124" t="str">
        <f>"25114"</f>
        <v>25114</v>
      </c>
      <c r="F1124" t="str">
        <f>"JOB#25121/LABOR/GLASS"</f>
        <v>JOB#25121/LABOR/GLASS</v>
      </c>
      <c r="G1124" s="3">
        <v>715</v>
      </c>
      <c r="H1124" t="str">
        <f>"JOB#25121/LABOR/GLASS"</f>
        <v>JOB#25121/LABOR/GLASS</v>
      </c>
    </row>
    <row r="1125" spans="1:8" x14ac:dyDescent="0.25">
      <c r="E1125" t="str">
        <f>"25115"</f>
        <v>25115</v>
      </c>
      <c r="F1125" t="str">
        <f>"JOB#25120/LABOR/GLASS"</f>
        <v>JOB#25120/LABOR/GLASS</v>
      </c>
      <c r="G1125" s="3">
        <v>1360</v>
      </c>
      <c r="H1125" t="str">
        <f>"JOB#25120/LABOR/GLASS"</f>
        <v>JOB#25120/LABOR/GLASS</v>
      </c>
    </row>
    <row r="1126" spans="1:8" x14ac:dyDescent="0.25">
      <c r="A1126" t="s">
        <v>528</v>
      </c>
      <c r="B1126">
        <v>138082</v>
      </c>
      <c r="C1126" s="3">
        <v>490.42</v>
      </c>
      <c r="D1126" s="6">
        <v>44522</v>
      </c>
      <c r="E1126" t="str">
        <f>"22T-394"</f>
        <v>22T-394</v>
      </c>
      <c r="F1126" t="str">
        <f>"OCT'21 PERMIT/ IT DEPT"</f>
        <v>OCT'21 PERMIT/ IT DEPT</v>
      </c>
      <c r="G1126" s="3">
        <v>490.42</v>
      </c>
      <c r="H1126" t="str">
        <f>"OCT'21 PERMIT/ IT DEPT"</f>
        <v>OCT'21 PERMIT/ IT DEPT</v>
      </c>
    </row>
    <row r="1127" spans="1:8" x14ac:dyDescent="0.25">
      <c r="A1127" t="s">
        <v>529</v>
      </c>
      <c r="B1127">
        <v>137834</v>
      </c>
      <c r="C1127" s="3">
        <v>891.02</v>
      </c>
      <c r="D1127" s="6">
        <v>44508</v>
      </c>
      <c r="E1127" t="str">
        <f>"IN-000712913"</f>
        <v>IN-000712913</v>
      </c>
      <c r="F1127" t="str">
        <f>"Scanner"</f>
        <v>Scanner</v>
      </c>
      <c r="G1127" s="3">
        <v>891.02</v>
      </c>
      <c r="H1127" t="str">
        <f>"FUJ-PA03670-B085"</f>
        <v>FUJ-PA03670-B085</v>
      </c>
    </row>
    <row r="1128" spans="1:8" x14ac:dyDescent="0.25">
      <c r="A1128" t="s">
        <v>529</v>
      </c>
      <c r="B1128">
        <v>138083</v>
      </c>
      <c r="C1128" s="3">
        <v>1782.04</v>
      </c>
      <c r="D1128" s="6">
        <v>44522</v>
      </c>
      <c r="E1128" t="str">
        <f>"IN-000715921"</f>
        <v>IN-000715921</v>
      </c>
      <c r="F1128" t="str">
        <f>"FUJITSU SCANNER DA'S"</f>
        <v>FUJITSU SCANNER DA'S</v>
      </c>
      <c r="G1128" s="3">
        <v>891.02</v>
      </c>
      <c r="H1128" t="str">
        <f>"FUJITSU SCANNER DA'S"</f>
        <v>FUJITSU SCANNER DA'S</v>
      </c>
    </row>
    <row r="1129" spans="1:8" x14ac:dyDescent="0.25">
      <c r="E1129" t="str">
        <f>"IN-000716129"</f>
        <v>IN-000716129</v>
      </c>
      <c r="F1129" t="str">
        <f>"Fujitsu 7160"</f>
        <v>Fujitsu 7160</v>
      </c>
      <c r="G1129" s="3">
        <v>891.02</v>
      </c>
      <c r="H1129" t="str">
        <f>"Fujitsu 7160"</f>
        <v>Fujitsu 7160</v>
      </c>
    </row>
    <row r="1130" spans="1:8" x14ac:dyDescent="0.25">
      <c r="A1130" t="s">
        <v>530</v>
      </c>
      <c r="B1130">
        <v>137835</v>
      </c>
      <c r="C1130" s="3">
        <v>7384.36</v>
      </c>
      <c r="D1130" s="6">
        <v>44508</v>
      </c>
      <c r="E1130" t="str">
        <f>"4190058411"</f>
        <v>4190058411</v>
      </c>
      <c r="F1130" t="str">
        <f>"CUST#0052157/PCT#3"</f>
        <v>CUST#0052157/PCT#3</v>
      </c>
      <c r="G1130" s="3">
        <v>1025.9000000000001</v>
      </c>
      <c r="H1130" t="str">
        <f>"CUST#0052157/PCT#3"</f>
        <v>CUST#0052157/PCT#3</v>
      </c>
    </row>
    <row r="1131" spans="1:8" x14ac:dyDescent="0.25">
      <c r="E1131" t="str">
        <f>"4240034693"</f>
        <v>4240034693</v>
      </c>
      <c r="F1131" t="str">
        <f>"INV 4240034693"</f>
        <v>INV 4240034693</v>
      </c>
      <c r="G1131" s="3">
        <v>1570.08</v>
      </c>
      <c r="H1131" t="str">
        <f>"INV 4240034693"</f>
        <v>INV 4240034693</v>
      </c>
    </row>
    <row r="1132" spans="1:8" x14ac:dyDescent="0.25">
      <c r="E1132" t="str">
        <f>"4650093214"</f>
        <v>4650093214</v>
      </c>
      <c r="F1132" t="str">
        <f>"CUST#0052157/PCT#1"</f>
        <v>CUST#0052157/PCT#1</v>
      </c>
      <c r="G1132" s="3">
        <v>100.5</v>
      </c>
      <c r="H1132" t="str">
        <f>"CUST#0052157/PCT#1"</f>
        <v>CUST#0052157/PCT#1</v>
      </c>
    </row>
    <row r="1133" spans="1:8" x14ac:dyDescent="0.25">
      <c r="E1133" t="str">
        <f>"4650093473"</f>
        <v>4650093473</v>
      </c>
      <c r="F1133" t="str">
        <f>"CUST#0052157/PCT#3"</f>
        <v>CUST#0052157/PCT#3</v>
      </c>
      <c r="G1133" s="3">
        <v>277.39999999999998</v>
      </c>
      <c r="H1133" t="str">
        <f>"CUST#0052157/PCT#3"</f>
        <v>CUST#0052157/PCT#3</v>
      </c>
    </row>
    <row r="1134" spans="1:8" x14ac:dyDescent="0.25">
      <c r="E1134" t="str">
        <f>"4650093723"</f>
        <v>4650093723</v>
      </c>
      <c r="F1134" t="str">
        <f>"CUST#0052157/PCT#3"</f>
        <v>CUST#0052157/PCT#3</v>
      </c>
      <c r="G1134" s="3">
        <v>261.44</v>
      </c>
      <c r="H1134" t="str">
        <f>"CUST#0052157/PCT#3"</f>
        <v>CUST#0052157/PCT#3</v>
      </c>
    </row>
    <row r="1135" spans="1:8" x14ac:dyDescent="0.25">
      <c r="E1135" t="str">
        <f>"4650094079"</f>
        <v>4650094079</v>
      </c>
      <c r="F1135" t="str">
        <f>"CUST#0052157/PCT#3"</f>
        <v>CUST#0052157/PCT#3</v>
      </c>
      <c r="G1135" s="3">
        <v>804.04</v>
      </c>
      <c r="H1135" t="str">
        <f>"CUST#0052157/PCT#3"</f>
        <v>CUST#0052157/PCT#3</v>
      </c>
    </row>
    <row r="1136" spans="1:8" x14ac:dyDescent="0.25">
      <c r="E1136" t="str">
        <f>"4650094169"</f>
        <v>4650094169</v>
      </c>
      <c r="F1136" t="str">
        <f>"CUST#0052157/PCT#4"</f>
        <v>CUST#0052157/PCT#4</v>
      </c>
      <c r="G1136" s="3">
        <v>160</v>
      </c>
      <c r="H1136" t="str">
        <f>"CUST#0052157/PCT#4"</f>
        <v>CUST#0052157/PCT#4</v>
      </c>
    </row>
    <row r="1137" spans="1:8" x14ac:dyDescent="0.25">
      <c r="E1137" t="str">
        <f>"4710125983"</f>
        <v>4710125983</v>
      </c>
      <c r="F1137" t="str">
        <f>"CUST#0052157/PCT#1"</f>
        <v>CUST#0052157/PCT#1</v>
      </c>
      <c r="G1137" s="3">
        <v>3185</v>
      </c>
      <c r="H1137" t="str">
        <f>"CUST#0052157/PCT#1"</f>
        <v>CUST#0052157/PCT#1</v>
      </c>
    </row>
    <row r="1138" spans="1:8" x14ac:dyDescent="0.25">
      <c r="A1138" t="s">
        <v>530</v>
      </c>
      <c r="B1138">
        <v>138084</v>
      </c>
      <c r="C1138" s="3">
        <v>6176.96</v>
      </c>
      <c r="D1138" s="6">
        <v>44522</v>
      </c>
      <c r="E1138" t="str">
        <f>"4240034833"</f>
        <v>4240034833</v>
      </c>
      <c r="F1138" t="str">
        <f>"INV 4240034833"</f>
        <v>INV 4240034833</v>
      </c>
      <c r="G1138" s="3">
        <v>785.04</v>
      </c>
      <c r="H1138" t="str">
        <f>"INV 4240034833"</f>
        <v>INV 4240034833</v>
      </c>
    </row>
    <row r="1139" spans="1:8" x14ac:dyDescent="0.25">
      <c r="E1139" t="str">
        <f>"4240035293"</f>
        <v>4240035293</v>
      </c>
      <c r="F1139" t="str">
        <f>"INV 4240035293"</f>
        <v>INV 4240035293</v>
      </c>
      <c r="G1139" s="3">
        <v>1450.92</v>
      </c>
      <c r="H1139" t="str">
        <f>"INV 4240035293"</f>
        <v>INV 4240035293</v>
      </c>
    </row>
    <row r="1140" spans="1:8" x14ac:dyDescent="0.25">
      <c r="E1140" t="str">
        <f>"4650095084"</f>
        <v>4650095084</v>
      </c>
      <c r="F1140" t="str">
        <f>"CUST 0052157 PCT4"</f>
        <v>CUST 0052157 PCT4</v>
      </c>
      <c r="G1140" s="3">
        <v>1714.96</v>
      </c>
      <c r="H1140" t="str">
        <f>"CUST 0052157 PCT4"</f>
        <v>CUST 0052157 PCT4</v>
      </c>
    </row>
    <row r="1141" spans="1:8" x14ac:dyDescent="0.25">
      <c r="E1141" t="str">
        <f>"4650095294"</f>
        <v>4650095294</v>
      </c>
      <c r="F1141" t="str">
        <f>"CUST#0052157/PCT#3"</f>
        <v>CUST#0052157/PCT#3</v>
      </c>
      <c r="G1141" s="3">
        <v>2146.04</v>
      </c>
      <c r="H1141" t="str">
        <f>"CUST#0052157/PCT#3"</f>
        <v>CUST#0052157/PCT#3</v>
      </c>
    </row>
    <row r="1142" spans="1:8" x14ac:dyDescent="0.25">
      <c r="E1142" t="str">
        <f>"4650096210"</f>
        <v>4650096210</v>
      </c>
      <c r="F1142" t="str">
        <f>"CUST#0052157/PCT#3"</f>
        <v>CUST#0052157/PCT#3</v>
      </c>
      <c r="G1142" s="3">
        <v>80</v>
      </c>
      <c r="H1142" t="str">
        <f>"CUST#0052157/PCT#3"</f>
        <v>CUST#0052157/PCT#3</v>
      </c>
    </row>
    <row r="1143" spans="1:8" x14ac:dyDescent="0.25">
      <c r="A1143" t="s">
        <v>531</v>
      </c>
      <c r="B1143">
        <v>138085</v>
      </c>
      <c r="C1143" s="3">
        <v>27.48</v>
      </c>
      <c r="D1143" s="6">
        <v>44522</v>
      </c>
      <c r="E1143" t="str">
        <f>"9604456 110421"</f>
        <v>9604456 110421</v>
      </c>
      <c r="F1143" t="str">
        <f>"ACCT#46668439604456/JP#2"</f>
        <v>ACCT#46668439604456/JP#2</v>
      </c>
      <c r="G1143" s="3">
        <v>27.48</v>
      </c>
      <c r="H1143" t="str">
        <f>"ACCT#46668439604456/JP#2"</f>
        <v>ACCT#46668439604456/JP#2</v>
      </c>
    </row>
    <row r="1144" spans="1:8" x14ac:dyDescent="0.25">
      <c r="A1144" t="s">
        <v>532</v>
      </c>
      <c r="B1144">
        <v>138086</v>
      </c>
      <c r="C1144" s="3">
        <v>214.53</v>
      </c>
      <c r="D1144" s="6">
        <v>44522</v>
      </c>
      <c r="E1144" t="str">
        <f>"202111167199"</f>
        <v>202111167199</v>
      </c>
      <c r="F1144" t="str">
        <f>"INDIGENT HEALTH"</f>
        <v>INDIGENT HEALTH</v>
      </c>
      <c r="G1144" s="3">
        <v>214.53</v>
      </c>
      <c r="H1144" t="str">
        <f>"INDIGENT HEALTH"</f>
        <v>INDIGENT HEALTH</v>
      </c>
    </row>
    <row r="1145" spans="1:8" x14ac:dyDescent="0.25">
      <c r="A1145" t="s">
        <v>533</v>
      </c>
      <c r="B1145">
        <v>138087</v>
      </c>
      <c r="C1145" s="3">
        <v>9052.3799999999992</v>
      </c>
      <c r="D1145" s="6">
        <v>44522</v>
      </c>
      <c r="E1145" t="str">
        <f>"8063917098"</f>
        <v>8063917098</v>
      </c>
      <c r="F1145" t="str">
        <f>"Statement"</f>
        <v>Statement</v>
      </c>
      <c r="G1145" s="3">
        <v>116.5</v>
      </c>
      <c r="H1145" t="str">
        <f>"3490051636"</f>
        <v>3490051636</v>
      </c>
    </row>
    <row r="1146" spans="1:8" x14ac:dyDescent="0.25">
      <c r="E1146" t="str">
        <f>""</f>
        <v/>
      </c>
      <c r="F1146" t="str">
        <f>""</f>
        <v/>
      </c>
      <c r="G1146" s="3">
        <v>92.36</v>
      </c>
      <c r="H1146" t="str">
        <f>"3490051631"</f>
        <v>3490051631</v>
      </c>
    </row>
    <row r="1147" spans="1:8" x14ac:dyDescent="0.25">
      <c r="E1147" t="str">
        <f>""</f>
        <v/>
      </c>
      <c r="F1147" t="str">
        <f>""</f>
        <v/>
      </c>
      <c r="G1147" s="3">
        <v>95.52</v>
      </c>
      <c r="H1147" t="str">
        <f>"3490051627"</f>
        <v>3490051627</v>
      </c>
    </row>
    <row r="1148" spans="1:8" x14ac:dyDescent="0.25">
      <c r="E1148" t="str">
        <f>""</f>
        <v/>
      </c>
      <c r="F1148" t="str">
        <f>""</f>
        <v/>
      </c>
      <c r="G1148" s="3">
        <v>220.08</v>
      </c>
      <c r="H1148" t="str">
        <f>"3490051637"</f>
        <v>3490051637</v>
      </c>
    </row>
    <row r="1149" spans="1:8" x14ac:dyDescent="0.25">
      <c r="E1149" t="str">
        <f>""</f>
        <v/>
      </c>
      <c r="F1149" t="str">
        <f>""</f>
        <v/>
      </c>
      <c r="G1149" s="3">
        <v>57.12</v>
      </c>
      <c r="H1149" t="str">
        <f>"3490051638"</f>
        <v>3490051638</v>
      </c>
    </row>
    <row r="1150" spans="1:8" x14ac:dyDescent="0.25">
      <c r="E1150" t="str">
        <f>""</f>
        <v/>
      </c>
      <c r="F1150" t="str">
        <f>""</f>
        <v/>
      </c>
      <c r="G1150" s="3">
        <v>789.16</v>
      </c>
      <c r="H1150" t="str">
        <f>"3490051639"</f>
        <v>3490051639</v>
      </c>
    </row>
    <row r="1151" spans="1:8" x14ac:dyDescent="0.25">
      <c r="E1151" t="str">
        <f>""</f>
        <v/>
      </c>
      <c r="F1151" t="str">
        <f>""</f>
        <v/>
      </c>
      <c r="G1151" s="3">
        <v>14.7</v>
      </c>
      <c r="H1151" t="str">
        <f>"3490051640"</f>
        <v>3490051640</v>
      </c>
    </row>
    <row r="1152" spans="1:8" x14ac:dyDescent="0.25">
      <c r="E1152" t="str">
        <f>""</f>
        <v/>
      </c>
      <c r="F1152" t="str">
        <f>""</f>
        <v/>
      </c>
      <c r="G1152" s="3">
        <v>76.98</v>
      </c>
      <c r="H1152" t="str">
        <f>"3490051645"</f>
        <v>3490051645</v>
      </c>
    </row>
    <row r="1153" spans="5:8" x14ac:dyDescent="0.25">
      <c r="E1153" t="str">
        <f>""</f>
        <v/>
      </c>
      <c r="F1153" t="str">
        <f>""</f>
        <v/>
      </c>
      <c r="G1153" s="3">
        <v>40.630000000000003</v>
      </c>
      <c r="H1153" t="str">
        <f>"3490051645"</f>
        <v>3490051645</v>
      </c>
    </row>
    <row r="1154" spans="5:8" x14ac:dyDescent="0.25">
      <c r="E1154" t="str">
        <f>""</f>
        <v/>
      </c>
      <c r="F1154" t="str">
        <f>""</f>
        <v/>
      </c>
      <c r="G1154" s="3">
        <v>120.98</v>
      </c>
      <c r="H1154" t="str">
        <f>"3490051642"</f>
        <v>3490051642</v>
      </c>
    </row>
    <row r="1155" spans="5:8" x14ac:dyDescent="0.25">
      <c r="E1155" t="str">
        <f>""</f>
        <v/>
      </c>
      <c r="F1155" t="str">
        <f>""</f>
        <v/>
      </c>
      <c r="G1155" s="3">
        <v>1148.1400000000001</v>
      </c>
      <c r="H1155" t="str">
        <f>"3490051644"</f>
        <v>3490051644</v>
      </c>
    </row>
    <row r="1156" spans="5:8" x14ac:dyDescent="0.25">
      <c r="E1156" t="str">
        <f>""</f>
        <v/>
      </c>
      <c r="F1156" t="str">
        <f>""</f>
        <v/>
      </c>
      <c r="G1156" s="3">
        <v>178.5</v>
      </c>
      <c r="H1156" t="str">
        <f>"3490051641"</f>
        <v>3490051641</v>
      </c>
    </row>
    <row r="1157" spans="5:8" x14ac:dyDescent="0.25">
      <c r="E1157" t="str">
        <f>""</f>
        <v/>
      </c>
      <c r="F1157" t="str">
        <f>""</f>
        <v/>
      </c>
      <c r="G1157" s="3">
        <v>500.52</v>
      </c>
      <c r="H1157" t="str">
        <f>"3490051643"</f>
        <v>3490051643</v>
      </c>
    </row>
    <row r="1158" spans="5:8" x14ac:dyDescent="0.25">
      <c r="E1158" t="str">
        <f>""</f>
        <v/>
      </c>
      <c r="F1158" t="str">
        <f>""</f>
        <v/>
      </c>
      <c r="G1158" s="3">
        <v>106.45</v>
      </c>
      <c r="H1158" t="str">
        <f>"3490051633"</f>
        <v>3490051633</v>
      </c>
    </row>
    <row r="1159" spans="5:8" x14ac:dyDescent="0.25">
      <c r="E1159" t="str">
        <f>""</f>
        <v/>
      </c>
      <c r="F1159" t="str">
        <f>""</f>
        <v/>
      </c>
      <c r="G1159" s="3">
        <v>51.22</v>
      </c>
      <c r="H1159" t="str">
        <f>"3480051634"</f>
        <v>3480051634</v>
      </c>
    </row>
    <row r="1160" spans="5:8" x14ac:dyDescent="0.25">
      <c r="E1160" t="str">
        <f>""</f>
        <v/>
      </c>
      <c r="F1160" t="str">
        <f>""</f>
        <v/>
      </c>
      <c r="G1160" s="3">
        <v>293.32</v>
      </c>
      <c r="H1160" t="str">
        <f>"3490051635"</f>
        <v>3490051635</v>
      </c>
    </row>
    <row r="1161" spans="5:8" x14ac:dyDescent="0.25">
      <c r="E1161" t="str">
        <f>""</f>
        <v/>
      </c>
      <c r="F1161" t="str">
        <f>""</f>
        <v/>
      </c>
      <c r="G1161" s="3">
        <v>56.3</v>
      </c>
      <c r="H1161" t="str">
        <f>"3490051632"</f>
        <v>3490051632</v>
      </c>
    </row>
    <row r="1162" spans="5:8" x14ac:dyDescent="0.25">
      <c r="E1162" t="str">
        <f>""</f>
        <v/>
      </c>
      <c r="F1162" t="str">
        <f>""</f>
        <v/>
      </c>
      <c r="G1162" s="3">
        <v>68.33</v>
      </c>
      <c r="H1162" t="str">
        <f>"3490051627"</f>
        <v>3490051627</v>
      </c>
    </row>
    <row r="1163" spans="5:8" x14ac:dyDescent="0.25">
      <c r="E1163" t="str">
        <f>""</f>
        <v/>
      </c>
      <c r="F1163" t="str">
        <f>""</f>
        <v/>
      </c>
      <c r="G1163" s="3">
        <v>65.48</v>
      </c>
      <c r="H1163" t="str">
        <f>"3490051629"</f>
        <v>3490051629</v>
      </c>
    </row>
    <row r="1164" spans="5:8" x14ac:dyDescent="0.25">
      <c r="E1164" t="str">
        <f>""</f>
        <v/>
      </c>
      <c r="F1164" t="str">
        <f>""</f>
        <v/>
      </c>
      <c r="G1164" s="3">
        <v>1.28</v>
      </c>
      <c r="H1164" t="str">
        <f>"3490051630"</f>
        <v>3490051630</v>
      </c>
    </row>
    <row r="1165" spans="5:8" x14ac:dyDescent="0.25">
      <c r="E1165" t="str">
        <f>"8064133330"</f>
        <v>8064133330</v>
      </c>
      <c r="F1165" t="str">
        <f>"Statement"</f>
        <v>Statement</v>
      </c>
      <c r="G1165" s="3">
        <v>4.88</v>
      </c>
      <c r="H1165" t="str">
        <f>"3491812771"</f>
        <v>3491812771</v>
      </c>
    </row>
    <row r="1166" spans="5:8" x14ac:dyDescent="0.25">
      <c r="E1166" t="str">
        <f>""</f>
        <v/>
      </c>
      <c r="F1166" t="str">
        <f>""</f>
        <v/>
      </c>
      <c r="G1166" s="3">
        <v>111.62</v>
      </c>
      <c r="H1166" t="str">
        <f>"3491812772"</f>
        <v>3491812772</v>
      </c>
    </row>
    <row r="1167" spans="5:8" x14ac:dyDescent="0.25">
      <c r="E1167" t="str">
        <f>""</f>
        <v/>
      </c>
      <c r="F1167" t="str">
        <f>""</f>
        <v/>
      </c>
      <c r="G1167" s="3">
        <v>92.36</v>
      </c>
      <c r="H1167" t="str">
        <f>"3491812768"</f>
        <v>3491812768</v>
      </c>
    </row>
    <row r="1168" spans="5:8" x14ac:dyDescent="0.25">
      <c r="E1168" t="str">
        <f>""</f>
        <v/>
      </c>
      <c r="F1168" t="str">
        <f>""</f>
        <v/>
      </c>
      <c r="G1168" s="3">
        <v>166.34</v>
      </c>
      <c r="H1168" t="str">
        <f>"3491812776"</f>
        <v>3491812776</v>
      </c>
    </row>
    <row r="1169" spans="1:8" x14ac:dyDescent="0.25">
      <c r="E1169" t="str">
        <f>""</f>
        <v/>
      </c>
      <c r="F1169" t="str">
        <f>""</f>
        <v/>
      </c>
      <c r="G1169" s="3">
        <v>91.3</v>
      </c>
      <c r="H1169" t="str">
        <f>"3491812770"</f>
        <v>3491812770</v>
      </c>
    </row>
    <row r="1170" spans="1:8" x14ac:dyDescent="0.25">
      <c r="E1170" t="str">
        <f>""</f>
        <v/>
      </c>
      <c r="F1170" t="str">
        <f>""</f>
        <v/>
      </c>
      <c r="G1170" s="3">
        <v>629.78</v>
      </c>
      <c r="H1170" t="str">
        <f>"3491812769"</f>
        <v>3491812769</v>
      </c>
    </row>
    <row r="1171" spans="1:8" x14ac:dyDescent="0.25">
      <c r="E1171" t="str">
        <f>""</f>
        <v/>
      </c>
      <c r="F1171" t="str">
        <f>""</f>
        <v/>
      </c>
      <c r="G1171" s="3">
        <v>52.95</v>
      </c>
      <c r="H1171" t="str">
        <f>"3491812781"</f>
        <v>3491812781</v>
      </c>
    </row>
    <row r="1172" spans="1:8" x14ac:dyDescent="0.25">
      <c r="E1172" t="str">
        <f>""</f>
        <v/>
      </c>
      <c r="F1172" t="str">
        <f>""</f>
        <v/>
      </c>
      <c r="G1172" s="3">
        <v>120.98</v>
      </c>
      <c r="H1172" t="str">
        <f>"3491812774"</f>
        <v>3491812774</v>
      </c>
    </row>
    <row r="1173" spans="1:8" x14ac:dyDescent="0.25">
      <c r="E1173" t="str">
        <f>""</f>
        <v/>
      </c>
      <c r="F1173" t="str">
        <f>""</f>
        <v/>
      </c>
      <c r="G1173" s="3">
        <v>1148.1400000000001</v>
      </c>
      <c r="H1173" t="str">
        <f>"3481812780"</f>
        <v>3481812780</v>
      </c>
    </row>
    <row r="1174" spans="1:8" x14ac:dyDescent="0.25">
      <c r="E1174" t="str">
        <f>""</f>
        <v/>
      </c>
      <c r="F1174" t="str">
        <f>""</f>
        <v/>
      </c>
      <c r="G1174" s="3">
        <v>178.5</v>
      </c>
      <c r="H1174" t="str">
        <f>"3491812773"</f>
        <v>3491812773</v>
      </c>
    </row>
    <row r="1175" spans="1:8" x14ac:dyDescent="0.25">
      <c r="E1175" t="str">
        <f>""</f>
        <v/>
      </c>
      <c r="F1175" t="str">
        <f>""</f>
        <v/>
      </c>
      <c r="G1175" s="3">
        <v>244.8</v>
      </c>
      <c r="H1175" t="str">
        <f>"3491812775"</f>
        <v>3491812775</v>
      </c>
    </row>
    <row r="1176" spans="1:8" x14ac:dyDescent="0.25">
      <c r="E1176" t="str">
        <f>""</f>
        <v/>
      </c>
      <c r="F1176" t="str">
        <f>""</f>
        <v/>
      </c>
      <c r="G1176" s="3">
        <v>81.260000000000005</v>
      </c>
      <c r="H1176" t="str">
        <f>"3491812777"</f>
        <v>3491812777</v>
      </c>
    </row>
    <row r="1177" spans="1:8" x14ac:dyDescent="0.25">
      <c r="E1177" t="str">
        <f>""</f>
        <v/>
      </c>
      <c r="F1177" t="str">
        <f>""</f>
        <v/>
      </c>
      <c r="G1177" s="3">
        <v>843.43</v>
      </c>
      <c r="H1177" t="str">
        <f>"3491812779"</f>
        <v>3491812779</v>
      </c>
    </row>
    <row r="1178" spans="1:8" x14ac:dyDescent="0.25">
      <c r="E1178" t="str">
        <f>""</f>
        <v/>
      </c>
      <c r="F1178" t="str">
        <f>""</f>
        <v/>
      </c>
      <c r="G1178" s="3">
        <v>764.96</v>
      </c>
      <c r="H1178" t="str">
        <f>"3491812782"</f>
        <v>3491812782</v>
      </c>
    </row>
    <row r="1179" spans="1:8" x14ac:dyDescent="0.25">
      <c r="E1179" t="str">
        <f>""</f>
        <v/>
      </c>
      <c r="F1179" t="str">
        <f>""</f>
        <v/>
      </c>
      <c r="G1179" s="3">
        <v>234.3</v>
      </c>
      <c r="H1179" t="str">
        <f>"3491812783"</f>
        <v>3491812783</v>
      </c>
    </row>
    <row r="1180" spans="1:8" x14ac:dyDescent="0.25">
      <c r="E1180" t="str">
        <f>""</f>
        <v/>
      </c>
      <c r="F1180" t="str">
        <f>""</f>
        <v/>
      </c>
      <c r="G1180" s="3">
        <v>93.72</v>
      </c>
      <c r="H1180" t="str">
        <f>"3491812784"</f>
        <v>3491812784</v>
      </c>
    </row>
    <row r="1181" spans="1:8" x14ac:dyDescent="0.25">
      <c r="E1181" t="str">
        <f>""</f>
        <v/>
      </c>
      <c r="F1181" t="str">
        <f>""</f>
        <v/>
      </c>
      <c r="G1181" s="3">
        <v>99.49</v>
      </c>
      <c r="H1181" t="str">
        <f>"3491812778"</f>
        <v>3491812778</v>
      </c>
    </row>
    <row r="1182" spans="1:8" x14ac:dyDescent="0.25">
      <c r="A1182" t="s">
        <v>534</v>
      </c>
      <c r="B1182">
        <v>138088</v>
      </c>
      <c r="C1182" s="3">
        <v>665.33</v>
      </c>
      <c r="D1182" s="6">
        <v>44522</v>
      </c>
      <c r="E1182" t="str">
        <f>"202111167203"</f>
        <v>202111167203</v>
      </c>
      <c r="F1182" t="str">
        <f>"OCTOBER 2021"</f>
        <v>OCTOBER 2021</v>
      </c>
      <c r="G1182" s="3">
        <v>665.33</v>
      </c>
      <c r="H1182" t="str">
        <f>"OCTOBER 2021"</f>
        <v>OCTOBER 2021</v>
      </c>
    </row>
    <row r="1183" spans="1:8" x14ac:dyDescent="0.25">
      <c r="A1183" t="s">
        <v>535</v>
      </c>
      <c r="B1183">
        <v>137836</v>
      </c>
      <c r="C1183" s="3">
        <v>874.93</v>
      </c>
      <c r="D1183" s="6">
        <v>44508</v>
      </c>
      <c r="E1183" t="str">
        <f>"4010490274"</f>
        <v>4010490274</v>
      </c>
      <c r="F1183" t="str">
        <f>"INV 4010490274"</f>
        <v>INV 4010490274</v>
      </c>
      <c r="G1183" s="3">
        <v>874.93</v>
      </c>
      <c r="H1183" t="str">
        <f>"INV 4010490274"</f>
        <v>INV 4010490274</v>
      </c>
    </row>
    <row r="1184" spans="1:8" x14ac:dyDescent="0.25">
      <c r="A1184" t="s">
        <v>536</v>
      </c>
      <c r="B1184">
        <v>5334</v>
      </c>
      <c r="C1184" s="3">
        <v>312</v>
      </c>
      <c r="D1184" s="6">
        <v>44509</v>
      </c>
      <c r="E1184" t="str">
        <f>"202111026979"</f>
        <v>202111026979</v>
      </c>
      <c r="F1184" t="str">
        <f>"TRASH REMOVAL 110121-110521"</f>
        <v>TRASH REMOVAL 110121-110521</v>
      </c>
      <c r="G1184" s="3">
        <v>156</v>
      </c>
      <c r="H1184" t="str">
        <f>"TRASH REMOVAL 110121-110521"</f>
        <v>TRASH REMOVAL 110121-110521</v>
      </c>
    </row>
    <row r="1185" spans="1:8" x14ac:dyDescent="0.25">
      <c r="E1185" t="str">
        <f>"202111026980"</f>
        <v>202111026980</v>
      </c>
      <c r="F1185" t="str">
        <f>"TRASH REMOVAL 102521-102921"</f>
        <v>TRASH REMOVAL 102521-102921</v>
      </c>
      <c r="G1185" s="3">
        <v>156</v>
      </c>
      <c r="H1185" t="str">
        <f>"TRASH REMOVAL 102521-102921"</f>
        <v>TRASH REMOVAL 102521-102921</v>
      </c>
    </row>
    <row r="1186" spans="1:8" x14ac:dyDescent="0.25">
      <c r="A1186" t="s">
        <v>536</v>
      </c>
      <c r="B1186">
        <v>5410</v>
      </c>
      <c r="C1186" s="3">
        <v>325</v>
      </c>
      <c r="D1186" s="6">
        <v>44523</v>
      </c>
      <c r="E1186" t="str">
        <f>"202111167184"</f>
        <v>202111167184</v>
      </c>
      <c r="F1186" t="str">
        <f>"TRASH REMOVAL 11/8-11/19/21"</f>
        <v>TRASH REMOVAL 11/8-11/19/21</v>
      </c>
      <c r="G1186" s="3">
        <v>325</v>
      </c>
      <c r="H1186" t="str">
        <f>"TRASH REMOVAL 11/8-11/19/21"</f>
        <v>TRASH REMOVAL 11/8-11/19/21</v>
      </c>
    </row>
    <row r="1187" spans="1:8" x14ac:dyDescent="0.25">
      <c r="A1187" t="s">
        <v>537</v>
      </c>
      <c r="B1187">
        <v>137837</v>
      </c>
      <c r="C1187" s="3">
        <v>165</v>
      </c>
      <c r="D1187" s="6">
        <v>44508</v>
      </c>
      <c r="E1187" t="str">
        <f>"20211018B"</f>
        <v>20211018B</v>
      </c>
      <c r="F1187" t="str">
        <f>"INV 20211018B"</f>
        <v>INV 20211018B</v>
      </c>
      <c r="G1187" s="3">
        <v>165</v>
      </c>
      <c r="H1187" t="str">
        <f>"INV 20211018B"</f>
        <v>INV 20211018B</v>
      </c>
    </row>
    <row r="1188" spans="1:8" x14ac:dyDescent="0.25">
      <c r="A1188" t="s">
        <v>538</v>
      </c>
      <c r="B1188">
        <v>5425</v>
      </c>
      <c r="C1188" s="3">
        <v>27300</v>
      </c>
      <c r="D1188" s="6">
        <v>44523</v>
      </c>
      <c r="E1188" t="str">
        <f>"1502"</f>
        <v>1502</v>
      </c>
      <c r="F1188" t="str">
        <f>"SHRED/MOW/WEEDEAT/TRASH/P2"</f>
        <v>SHRED/MOW/WEEDEAT/TRASH/P2</v>
      </c>
      <c r="G1188" s="3">
        <v>23400</v>
      </c>
      <c r="H1188" t="str">
        <f>"SHRED/MOW/WEEDEAT/TRASH/P2"</f>
        <v>SHRED/MOW/WEEDEAT/TRASH/P2</v>
      </c>
    </row>
    <row r="1189" spans="1:8" x14ac:dyDescent="0.25">
      <c r="E1189" t="str">
        <f>"1503"</f>
        <v>1503</v>
      </c>
      <c r="F1189" t="str">
        <f>"MOWING/SHREDDING/PCT#1"</f>
        <v>MOWING/SHREDDING/PCT#1</v>
      </c>
      <c r="G1189" s="3">
        <v>3900</v>
      </c>
      <c r="H1189" t="str">
        <f>"MOWING/SHREDDING/PCT#1"</f>
        <v>MOWING/SHREDDING/PCT#1</v>
      </c>
    </row>
    <row r="1190" spans="1:8" x14ac:dyDescent="0.25">
      <c r="A1190" t="s">
        <v>539</v>
      </c>
      <c r="B1190">
        <v>5359</v>
      </c>
      <c r="C1190" s="3">
        <v>12477.87</v>
      </c>
      <c r="D1190" s="6">
        <v>44509</v>
      </c>
      <c r="E1190" t="str">
        <f>"96247124"</f>
        <v>96247124</v>
      </c>
      <c r="F1190" t="str">
        <f>"ACCT#10187718/PCT#2"</f>
        <v>ACCT#10187718/PCT#2</v>
      </c>
      <c r="G1190" s="3">
        <v>2890.36</v>
      </c>
      <c r="H1190" t="str">
        <f>"ACCT#10187718/PCT#2"</f>
        <v>ACCT#10187718/PCT#2</v>
      </c>
    </row>
    <row r="1191" spans="1:8" x14ac:dyDescent="0.25">
      <c r="E1191" t="str">
        <f>"96252737"</f>
        <v>96252737</v>
      </c>
      <c r="F1191" t="str">
        <f>"ACCT#10187718/PCT#4"</f>
        <v>ACCT#10187718/PCT#4</v>
      </c>
      <c r="G1191" s="3">
        <v>1579.56</v>
      </c>
      <c r="H1191" t="str">
        <f>"ACCT#10187718/PCT#4"</f>
        <v>ACCT#10187718/PCT#4</v>
      </c>
    </row>
    <row r="1192" spans="1:8" x14ac:dyDescent="0.25">
      <c r="E1192" t="str">
        <f>"96252996"</f>
        <v>96252996</v>
      </c>
      <c r="F1192" t="str">
        <f>"ACCT#10187718/PCT#4"</f>
        <v>ACCT#10187718/PCT#4</v>
      </c>
      <c r="G1192" s="3">
        <v>8007.95</v>
      </c>
      <c r="H1192" t="str">
        <f>"ACCT#10187718/PCT#4"</f>
        <v>ACCT#10187718/PCT#4</v>
      </c>
    </row>
    <row r="1193" spans="1:8" x14ac:dyDescent="0.25">
      <c r="A1193" t="s">
        <v>539</v>
      </c>
      <c r="B1193">
        <v>5433</v>
      </c>
      <c r="C1193" s="3">
        <v>2849.83</v>
      </c>
      <c r="D1193" s="6">
        <v>44523</v>
      </c>
      <c r="E1193" t="str">
        <f>"96264503"</f>
        <v>96264503</v>
      </c>
      <c r="F1193" t="str">
        <f>"BOL866781 PCT2"</f>
        <v>BOL866781 PCT2</v>
      </c>
      <c r="G1193" s="3">
        <v>2849.83</v>
      </c>
      <c r="H1193" t="str">
        <f>"BOL866781 PCT2"</f>
        <v>BOL866781 PCT2</v>
      </c>
    </row>
    <row r="1194" spans="1:8" x14ac:dyDescent="0.25">
      <c r="A1194" t="s">
        <v>540</v>
      </c>
      <c r="B1194">
        <v>138089</v>
      </c>
      <c r="C1194" s="3">
        <v>120</v>
      </c>
      <c r="D1194" s="6">
        <v>44522</v>
      </c>
      <c r="E1194" t="str">
        <f>"9473886446"</f>
        <v>9473886446</v>
      </c>
      <c r="F1194" t="str">
        <f>"INV 9473886446"</f>
        <v>INV 9473886446</v>
      </c>
      <c r="G1194" s="3">
        <v>120</v>
      </c>
      <c r="H1194" t="str">
        <f>"INV 9473886446"</f>
        <v>INV 9473886446</v>
      </c>
    </row>
    <row r="1195" spans="1:8" x14ac:dyDescent="0.25">
      <c r="A1195" t="s">
        <v>541</v>
      </c>
      <c r="B1195">
        <v>138090</v>
      </c>
      <c r="C1195" s="3">
        <v>1406.86</v>
      </c>
      <c r="D1195" s="6">
        <v>44522</v>
      </c>
      <c r="E1195" t="str">
        <f>"2496734"</f>
        <v>2496734</v>
      </c>
      <c r="F1195" t="str">
        <f>"CUST #3451510/COUNTY CLERK"</f>
        <v>CUST #3451510/COUNTY CLERK</v>
      </c>
      <c r="G1195" s="3">
        <v>1406.86</v>
      </c>
      <c r="H1195" t="str">
        <f>"CUST #3451510/COUNTY CLERK"</f>
        <v>CUST #3451510/COUNTY CLERK</v>
      </c>
    </row>
    <row r="1196" spans="1:8" x14ac:dyDescent="0.25">
      <c r="A1196" t="s">
        <v>542</v>
      </c>
      <c r="B1196">
        <v>138091</v>
      </c>
      <c r="C1196" s="3">
        <v>50</v>
      </c>
      <c r="D1196" s="6">
        <v>44522</v>
      </c>
      <c r="E1196" t="str">
        <f>"202111167210"</f>
        <v>202111167210</v>
      </c>
      <c r="F1196" t="str">
        <f>"REFUND - RETURN W/IN 10 DAYS"</f>
        <v>REFUND - RETURN W/IN 10 DAYS</v>
      </c>
      <c r="G1196" s="3">
        <v>50</v>
      </c>
      <c r="H1196" t="str">
        <f>"REFUND - RETURN W/IN 10 DAYS"</f>
        <v>REFUND - RETURN W/IN 10 DAYS</v>
      </c>
    </row>
    <row r="1197" spans="1:8" x14ac:dyDescent="0.25">
      <c r="A1197" t="s">
        <v>543</v>
      </c>
      <c r="B1197">
        <v>5345</v>
      </c>
      <c r="C1197" s="3">
        <v>109.2</v>
      </c>
      <c r="D1197" s="6">
        <v>44509</v>
      </c>
      <c r="E1197" t="str">
        <f>"21110106"</f>
        <v>21110106</v>
      </c>
      <c r="F1197" t="str">
        <f>"SERVICE CONTRACT 10/01-11/01"</f>
        <v>SERVICE CONTRACT 10/01-11/01</v>
      </c>
      <c r="G1197" s="3">
        <v>109.2</v>
      </c>
      <c r="H1197" t="str">
        <f>"SERVICE CONTRACT 10/01-11/01"</f>
        <v>SERVICE CONTRACT 10/01-11/01</v>
      </c>
    </row>
    <row r="1198" spans="1:8" x14ac:dyDescent="0.25">
      <c r="A1198" t="s">
        <v>544</v>
      </c>
      <c r="B1198">
        <v>138092</v>
      </c>
      <c r="C1198" s="3">
        <v>550</v>
      </c>
      <c r="D1198" s="6">
        <v>44522</v>
      </c>
      <c r="E1198" t="str">
        <f>"JH7280936"</f>
        <v>JH7280936</v>
      </c>
      <c r="F1198" t="str">
        <f>"INV JH7280936"</f>
        <v>INV JH7280936</v>
      </c>
      <c r="G1198" s="3">
        <v>550</v>
      </c>
      <c r="H1198" t="str">
        <f>"INV JH7280936"</f>
        <v>INV JH7280936</v>
      </c>
    </row>
    <row r="1199" spans="1:8" x14ac:dyDescent="0.25">
      <c r="A1199" t="s">
        <v>545</v>
      </c>
      <c r="B1199">
        <v>5463</v>
      </c>
      <c r="C1199" s="3">
        <v>221</v>
      </c>
      <c r="D1199" s="6">
        <v>44523</v>
      </c>
      <c r="E1199" t="str">
        <f>"2122064"</f>
        <v>2122064</v>
      </c>
      <c r="F1199" t="str">
        <f>"MONTHLY CONTRACT BILLING"</f>
        <v>MONTHLY CONTRACT BILLING</v>
      </c>
      <c r="G1199" s="3">
        <v>221</v>
      </c>
      <c r="H1199" t="str">
        <f>"MONTHLY CONTRACT BILLING"</f>
        <v>MONTHLY CONTRACT BILLING</v>
      </c>
    </row>
    <row r="1200" spans="1:8" x14ac:dyDescent="0.25">
      <c r="A1200" t="s">
        <v>546</v>
      </c>
      <c r="B1200">
        <v>5455</v>
      </c>
      <c r="C1200" s="3">
        <v>188.28</v>
      </c>
      <c r="D1200" s="6">
        <v>44523</v>
      </c>
      <c r="E1200" t="str">
        <f>"898964"</f>
        <v>898964</v>
      </c>
      <c r="F1200" t="str">
        <f>"ACCT#63275 PCT#2"</f>
        <v>ACCT#63275 PCT#2</v>
      </c>
      <c r="G1200" s="3">
        <v>114.12</v>
      </c>
      <c r="H1200" t="str">
        <f>"ACCT#63275 PCT#2"</f>
        <v>ACCT#63275 PCT#2</v>
      </c>
    </row>
    <row r="1201" spans="1:8" x14ac:dyDescent="0.25">
      <c r="E1201" t="str">
        <f>"899289"</f>
        <v>899289</v>
      </c>
      <c r="F1201" t="str">
        <f>"ACCT#63275/BASCO1/PCT#3"</f>
        <v>ACCT#63275/BASCO1/PCT#3</v>
      </c>
      <c r="G1201" s="3">
        <v>74.16</v>
      </c>
      <c r="H1201" t="str">
        <f>"ACCT#63275/BASCO1/PCT#3"</f>
        <v>ACCT#63275/BASCO1/PCT#3</v>
      </c>
    </row>
    <row r="1202" spans="1:8" x14ac:dyDescent="0.25">
      <c r="A1202" t="s">
        <v>547</v>
      </c>
      <c r="B1202">
        <v>137838</v>
      </c>
      <c r="C1202" s="3">
        <v>11625.12</v>
      </c>
      <c r="D1202" s="6">
        <v>44508</v>
      </c>
      <c r="E1202" t="str">
        <f>"1142330-IN"</f>
        <v>1142330-IN</v>
      </c>
      <c r="F1202" t="str">
        <f>"ACCT#01-0112917/BOL#376551/P3"</f>
        <v>ACCT#01-0112917/BOL#376551/P3</v>
      </c>
      <c r="G1202" s="3">
        <v>4830.92</v>
      </c>
      <c r="H1202" t="str">
        <f>"ACCT#01-0112917/BOL#376551/P3"</f>
        <v>ACCT#01-0112917/BOL#376551/P3</v>
      </c>
    </row>
    <row r="1203" spans="1:8" x14ac:dyDescent="0.25">
      <c r="E1203" t="str">
        <f>"1142533-IN"</f>
        <v>1142533-IN</v>
      </c>
      <c r="F1203" t="str">
        <f>"ACCT#01-0112917/PCT#4"</f>
        <v>ACCT#01-0112917/PCT#4</v>
      </c>
      <c r="G1203" s="3">
        <v>6532.6</v>
      </c>
      <c r="H1203" t="str">
        <f>"ACCT#01-0112917/PCT#4"</f>
        <v>ACCT#01-0112917/PCT#4</v>
      </c>
    </row>
    <row r="1204" spans="1:8" x14ac:dyDescent="0.25">
      <c r="E1204" t="str">
        <f>"1143066-IN"</f>
        <v>1143066-IN</v>
      </c>
      <c r="F1204" t="str">
        <f>"ACCT#01-0112917/PCT#1"</f>
        <v>ACCT#01-0112917/PCT#1</v>
      </c>
      <c r="G1204" s="3">
        <v>261.60000000000002</v>
      </c>
      <c r="H1204" t="str">
        <f>"ACCT#01-0112917/PCT#1"</f>
        <v>ACCT#01-0112917/PCT#1</v>
      </c>
    </row>
    <row r="1205" spans="1:8" x14ac:dyDescent="0.25">
      <c r="A1205" t="s">
        <v>547</v>
      </c>
      <c r="B1205">
        <v>138093</v>
      </c>
      <c r="C1205" s="3">
        <v>12598.27</v>
      </c>
      <c r="D1205" s="6">
        <v>44522</v>
      </c>
      <c r="E1205" t="str">
        <f>"1148429-IN"</f>
        <v>1148429-IN</v>
      </c>
      <c r="F1205" t="str">
        <f>"BOL#378099 PCT#1"</f>
        <v>BOL#378099 PCT#1</v>
      </c>
      <c r="G1205" s="3">
        <v>7116.54</v>
      </c>
      <c r="H1205" t="str">
        <f>"BOL#378099 PCT#1"</f>
        <v>BOL#378099 PCT#1</v>
      </c>
    </row>
    <row r="1206" spans="1:8" x14ac:dyDescent="0.25">
      <c r="E1206" t="str">
        <f>"11486494-IN"</f>
        <v>11486494-IN</v>
      </c>
      <c r="F1206" t="str">
        <f>"BOL#377985 PCT3"</f>
        <v>BOL#377985 PCT3</v>
      </c>
      <c r="G1206" s="3">
        <v>5481.73</v>
      </c>
      <c r="H1206" t="str">
        <f>"BOL#377985 PCT3"</f>
        <v>BOL#377985 PCT3</v>
      </c>
    </row>
    <row r="1207" spans="1:8" x14ac:dyDescent="0.25">
      <c r="A1207" t="s">
        <v>548</v>
      </c>
      <c r="B1207">
        <v>5459</v>
      </c>
      <c r="C1207" s="3">
        <v>70</v>
      </c>
      <c r="D1207" s="6">
        <v>44523</v>
      </c>
      <c r="E1207" t="str">
        <f>"E200740"</f>
        <v>E200740</v>
      </c>
      <c r="F1207" t="str">
        <f>"CUST 5000000000202/COM BECKETT"</f>
        <v>CUST 5000000000202/COM BECKETT</v>
      </c>
      <c r="G1207" s="3">
        <v>70</v>
      </c>
      <c r="H1207" t="str">
        <f>"CUST 5000000000202/COM BECKETT"</f>
        <v>CUST 5000000000202/COM BECKETT</v>
      </c>
    </row>
    <row r="1208" spans="1:8" x14ac:dyDescent="0.25">
      <c r="A1208" t="s">
        <v>549</v>
      </c>
      <c r="B1208">
        <v>5466</v>
      </c>
      <c r="C1208" s="3">
        <v>5804.85</v>
      </c>
      <c r="D1208" s="6">
        <v>44523</v>
      </c>
      <c r="E1208" t="str">
        <f>"13412"</f>
        <v>13412</v>
      </c>
      <c r="F1208" t="str">
        <f>"BULLROCK/PCT1"</f>
        <v>BULLROCK/PCT1</v>
      </c>
      <c r="G1208" s="3">
        <v>465</v>
      </c>
      <c r="H1208" t="str">
        <f>"BULLROCK/PCT1"</f>
        <v>BULLROCK/PCT1</v>
      </c>
    </row>
    <row r="1209" spans="1:8" x14ac:dyDescent="0.25">
      <c r="E1209" t="str">
        <f>"13503"</f>
        <v>13503</v>
      </c>
      <c r="F1209" t="str">
        <f>"GRAVEL PCT4"</f>
        <v>GRAVEL PCT4</v>
      </c>
      <c r="G1209" s="3">
        <v>5339.85</v>
      </c>
      <c r="H1209" t="str">
        <f>"GRAVEL PCT4"</f>
        <v>GRAVEL PCT4</v>
      </c>
    </row>
    <row r="1210" spans="1:8" x14ac:dyDescent="0.25">
      <c r="A1210" t="s">
        <v>550</v>
      </c>
      <c r="B1210">
        <v>137839</v>
      </c>
      <c r="C1210" s="3">
        <v>35</v>
      </c>
      <c r="D1210" s="6">
        <v>44508</v>
      </c>
      <c r="E1210" t="str">
        <f>"202110286723"</f>
        <v>202110286723</v>
      </c>
      <c r="F1210" t="str">
        <f>"FY22 TACCLJ-BENTON ESKEW"</f>
        <v>FY22 TACCLJ-BENTON ESKEW</v>
      </c>
      <c r="G1210" s="3">
        <v>35</v>
      </c>
      <c r="H1210" t="str">
        <f>"FY22 TACCLJ-BENTON ESKEW"</f>
        <v>FY22 TACCLJ-BENTON ESKEW</v>
      </c>
    </row>
    <row r="1211" spans="1:8" x14ac:dyDescent="0.25">
      <c r="A1211" t="s">
        <v>551</v>
      </c>
      <c r="B1211">
        <v>137840</v>
      </c>
      <c r="C1211" s="3">
        <v>450</v>
      </c>
      <c r="D1211" s="6">
        <v>44508</v>
      </c>
      <c r="E1211" t="str">
        <f>"202111026978"</f>
        <v>202111026978</v>
      </c>
      <c r="F1211" t="str">
        <f>"NOVEMBER BONDS"</f>
        <v>NOVEMBER BONDS</v>
      </c>
      <c r="G1211" s="3">
        <v>400</v>
      </c>
      <c r="H1211" t="str">
        <f>"NOVEMBER BONDS"</f>
        <v>NOVEMBER BONDS</v>
      </c>
    </row>
    <row r="1212" spans="1:8" x14ac:dyDescent="0.25">
      <c r="E1212" t="str">
        <f>"7516"</f>
        <v>7516</v>
      </c>
      <c r="F1212" t="str">
        <f>"ITEM#183819/ACCT#BASTCOU-10"</f>
        <v>ITEM#183819/ACCT#BASTCOU-10</v>
      </c>
      <c r="G1212" s="3">
        <v>50</v>
      </c>
      <c r="H1212" t="str">
        <f>"ITEM#183819/ACCT#BASTCOU-10"</f>
        <v>ITEM#183819/ACCT#BASTCOU-10</v>
      </c>
    </row>
    <row r="1213" spans="1:8" x14ac:dyDescent="0.25">
      <c r="A1213" t="s">
        <v>551</v>
      </c>
      <c r="B1213">
        <v>138094</v>
      </c>
      <c r="C1213" s="3">
        <v>400</v>
      </c>
      <c r="D1213" s="6">
        <v>44522</v>
      </c>
      <c r="E1213" t="str">
        <f>"7608"</f>
        <v>7608</v>
      </c>
      <c r="F1213" t="str">
        <f>"INV 7608"</f>
        <v>INV 7608</v>
      </c>
      <c r="G1213" s="3">
        <v>50</v>
      </c>
      <c r="H1213" t="str">
        <f>"INV 7608"</f>
        <v>INV 7608</v>
      </c>
    </row>
    <row r="1214" spans="1:8" x14ac:dyDescent="0.25">
      <c r="E1214" t="str">
        <f>"7627"</f>
        <v>7627</v>
      </c>
      <c r="F1214" t="str">
        <f>"BASTCOU-09 CNTY CLERK"</f>
        <v>BASTCOU-09 CNTY CLERK</v>
      </c>
      <c r="G1214" s="3">
        <v>350</v>
      </c>
      <c r="H1214" t="str">
        <f>"BASTCOU-09 CNTY CLERK"</f>
        <v>BASTCOU-09 CNTY CLERK</v>
      </c>
    </row>
    <row r="1215" spans="1:8" x14ac:dyDescent="0.25">
      <c r="A1215" t="s">
        <v>552</v>
      </c>
      <c r="B1215">
        <v>138095</v>
      </c>
      <c r="C1215" s="3">
        <v>300</v>
      </c>
      <c r="D1215" s="6">
        <v>44522</v>
      </c>
      <c r="E1215" t="str">
        <f>"R318279"</f>
        <v>R318279</v>
      </c>
      <c r="F1215" t="str">
        <f>"ACCT#204718 / CLARA BECKETT"</f>
        <v>ACCT#204718 / CLARA BECKETT</v>
      </c>
      <c r="G1215" s="3">
        <v>300</v>
      </c>
      <c r="H1215" t="str">
        <f>"ACCT#204718 / CLARA BECKETT"</f>
        <v>ACCT#204718 / CLARA BECKETT</v>
      </c>
    </row>
    <row r="1216" spans="1:8" x14ac:dyDescent="0.25">
      <c r="A1216" t="s">
        <v>553</v>
      </c>
      <c r="B1216">
        <v>138096</v>
      </c>
      <c r="C1216" s="3">
        <v>200</v>
      </c>
      <c r="D1216" s="6">
        <v>44522</v>
      </c>
      <c r="E1216" t="str">
        <f>"102435"</f>
        <v>102435</v>
      </c>
      <c r="F1216" t="str">
        <f>"MEMBERSHIP DUES INDIGENT HEALT"</f>
        <v>MEMBERSHIP DUES INDIGENT HEALT</v>
      </c>
      <c r="G1216" s="3">
        <v>200</v>
      </c>
      <c r="H1216" t="str">
        <f>"MEMBERSHIP DUES INDIGENT HEALT"</f>
        <v>MEMBERSHIP DUES INDIGENT HEALT</v>
      </c>
    </row>
    <row r="1217" spans="1:8" x14ac:dyDescent="0.25">
      <c r="A1217" t="s">
        <v>554</v>
      </c>
      <c r="B1217">
        <v>138097</v>
      </c>
      <c r="C1217" s="3">
        <v>500</v>
      </c>
      <c r="D1217" s="6">
        <v>44522</v>
      </c>
      <c r="E1217" t="str">
        <f>"01866215"</f>
        <v>01866215</v>
      </c>
      <c r="F1217" t="str">
        <f>"CLIENT#00511884/BASTROP CO TOU"</f>
        <v>CLIENT#00511884/BASTROP CO TOU</v>
      </c>
      <c r="G1217" s="3">
        <v>500</v>
      </c>
      <c r="H1217" t="str">
        <f>"CLIENT#00511884/BASTROP CO TOU"</f>
        <v>CLIENT#00511884/BASTROP CO TOU</v>
      </c>
    </row>
    <row r="1218" spans="1:8" x14ac:dyDescent="0.25">
      <c r="A1218" t="s">
        <v>555</v>
      </c>
      <c r="B1218">
        <v>137841</v>
      </c>
      <c r="C1218" s="3">
        <v>99.5</v>
      </c>
      <c r="D1218" s="6">
        <v>44508</v>
      </c>
      <c r="E1218" t="s">
        <v>556</v>
      </c>
      <c r="F1218" s="3" t="str">
        <f>"RESTITUTION - CAITLAN ISBELL"</f>
        <v>RESTITUTION - CAITLAN ISBELL</v>
      </c>
      <c r="G1218" s="3">
        <v>99.5</v>
      </c>
      <c r="H1218" t="str">
        <f>"RESTITUTION - CAITLAN ISBELL"</f>
        <v>RESTITUTION - CAITLAN ISBELL</v>
      </c>
    </row>
    <row r="1219" spans="1:8" x14ac:dyDescent="0.25">
      <c r="A1219" t="s">
        <v>557</v>
      </c>
      <c r="B1219">
        <v>137842</v>
      </c>
      <c r="C1219" s="3">
        <v>167</v>
      </c>
      <c r="D1219" s="6">
        <v>44508</v>
      </c>
      <c r="E1219" t="str">
        <f>"6250586"</f>
        <v>6250586</v>
      </c>
      <c r="F1219" t="str">
        <f>"CUST#1-238865/NOVEMBER SERVICE"</f>
        <v>CUST#1-238865/NOVEMBER SERVICE</v>
      </c>
      <c r="G1219" s="3">
        <v>167</v>
      </c>
      <c r="H1219" t="str">
        <f>"CUST#1-238865/NOVEMBER SERVICE"</f>
        <v>CUST#1-238865/NOVEMBER SERVICE</v>
      </c>
    </row>
    <row r="1220" spans="1:8" x14ac:dyDescent="0.25">
      <c r="A1220" t="s">
        <v>558</v>
      </c>
      <c r="B1220">
        <v>138098</v>
      </c>
      <c r="C1220" s="3">
        <v>570</v>
      </c>
      <c r="D1220" s="6">
        <v>44522</v>
      </c>
      <c r="E1220" t="str">
        <f>"59256"</f>
        <v>59256</v>
      </c>
      <c r="F1220" t="str">
        <f>"REG FEE/LODGING N GONZALES"</f>
        <v>REG FEE/LODGING N GONZALES</v>
      </c>
      <c r="G1220" s="3">
        <v>260</v>
      </c>
      <c r="H1220" t="str">
        <f>"REG FEE/LODGING N GONZALES"</f>
        <v>REG FEE/LODGING N GONZALES</v>
      </c>
    </row>
    <row r="1221" spans="1:8" x14ac:dyDescent="0.25">
      <c r="E1221" t="str">
        <f>"59352"</f>
        <v>59352</v>
      </c>
      <c r="F1221" t="str">
        <f>"REG FEE/LODGING FEE J RODRIGUE"</f>
        <v>REG FEE/LODGING FEE J RODRIGUE</v>
      </c>
      <c r="G1221" s="3">
        <v>260</v>
      </c>
      <c r="H1221" t="str">
        <f>"REG FEE/LODGING FEE J RODRIGUE"</f>
        <v>REG FEE/LODGING FEE J RODRIGUE</v>
      </c>
    </row>
    <row r="1222" spans="1:8" x14ac:dyDescent="0.25">
      <c r="E1222" t="str">
        <f>"59427"</f>
        <v>59427</v>
      </c>
      <c r="F1222" t="str">
        <f>"REG FEE/JESSICA WILHELM"</f>
        <v>REG FEE/JESSICA WILHELM</v>
      </c>
      <c r="G1222" s="3">
        <v>50</v>
      </c>
      <c r="H1222" t="str">
        <f>"REG FEE/JESSICA WILHELM"</f>
        <v>REG FEE/JESSICA WILHELM</v>
      </c>
    </row>
    <row r="1223" spans="1:8" x14ac:dyDescent="0.25">
      <c r="A1223" t="s">
        <v>559</v>
      </c>
      <c r="B1223">
        <v>137843</v>
      </c>
      <c r="C1223" s="3">
        <v>781.2</v>
      </c>
      <c r="D1223" s="6">
        <v>44508</v>
      </c>
      <c r="E1223" t="str">
        <f>"200999225"</f>
        <v>200999225</v>
      </c>
      <c r="F1223" t="str">
        <f>"CUST#241267/PCT#1"</f>
        <v>CUST#241267/PCT#1</v>
      </c>
      <c r="G1223" s="3">
        <v>781.2</v>
      </c>
      <c r="H1223" t="str">
        <f>"CUST#241267/PCT#1"</f>
        <v>CUST#241267/PCT#1</v>
      </c>
    </row>
    <row r="1224" spans="1:8" x14ac:dyDescent="0.25">
      <c r="A1224" t="s">
        <v>559</v>
      </c>
      <c r="B1224">
        <v>138099</v>
      </c>
      <c r="C1224" s="3">
        <v>730.2</v>
      </c>
      <c r="D1224" s="6">
        <v>44522</v>
      </c>
      <c r="E1224" t="str">
        <f>"201001360"</f>
        <v>201001360</v>
      </c>
      <c r="F1224" t="str">
        <f>"CUST #24127 PCT1"</f>
        <v>CUST #24127 PCT1</v>
      </c>
      <c r="G1224" s="3">
        <v>730.2</v>
      </c>
      <c r="H1224" t="str">
        <f>"CUST #24127 PCT1"</f>
        <v>CUST #24127 PCT1</v>
      </c>
    </row>
    <row r="1225" spans="1:8" x14ac:dyDescent="0.25">
      <c r="A1225" t="s">
        <v>560</v>
      </c>
      <c r="B1225">
        <v>138100</v>
      </c>
      <c r="C1225" s="3">
        <v>70.040000000000006</v>
      </c>
      <c r="D1225" s="6">
        <v>44522</v>
      </c>
      <c r="E1225" t="str">
        <f>"202111167200"</f>
        <v>202111167200</v>
      </c>
      <c r="F1225" t="str">
        <f>"INDIGENT HEALTH"</f>
        <v>INDIGENT HEALTH</v>
      </c>
      <c r="G1225" s="3">
        <v>47.68</v>
      </c>
      <c r="H1225" t="str">
        <f>"INDIGENT HEALTH"</f>
        <v>INDIGENT HEALTH</v>
      </c>
    </row>
    <row r="1226" spans="1:8" x14ac:dyDescent="0.25">
      <c r="E1226" t="str">
        <f>""</f>
        <v/>
      </c>
      <c r="F1226" t="str">
        <f>""</f>
        <v/>
      </c>
      <c r="G1226" s="3">
        <v>22.36</v>
      </c>
      <c r="H1226" t="str">
        <f>"INDIGENT HEALTH"</f>
        <v>INDIGENT HEALTH</v>
      </c>
    </row>
    <row r="1227" spans="1:8" x14ac:dyDescent="0.25">
      <c r="A1227" t="s">
        <v>561</v>
      </c>
      <c r="B1227">
        <v>137844</v>
      </c>
      <c r="C1227" s="3">
        <v>3299.8</v>
      </c>
      <c r="D1227" s="6">
        <v>44508</v>
      </c>
      <c r="E1227" t="str">
        <f>"100"</f>
        <v>100</v>
      </c>
      <c r="F1227" t="str">
        <f>"INV 100"</f>
        <v>INV 100</v>
      </c>
      <c r="G1227" s="3">
        <v>3299.8</v>
      </c>
      <c r="H1227" t="str">
        <f>"INV 100"</f>
        <v>INV 100</v>
      </c>
    </row>
    <row r="1228" spans="1:8" x14ac:dyDescent="0.25">
      <c r="A1228" t="s">
        <v>562</v>
      </c>
      <c r="B1228">
        <v>137845</v>
      </c>
      <c r="C1228" s="3">
        <v>348.1</v>
      </c>
      <c r="D1228" s="6">
        <v>44508</v>
      </c>
      <c r="E1228" t="str">
        <f>"1CO-2927-20"</f>
        <v>1CO-2927-20</v>
      </c>
      <c r="F1228" t="str">
        <f>"A8382171 - K.A. MOFFETT"</f>
        <v>A8382171 - K.A. MOFFETT</v>
      </c>
      <c r="G1228" s="3">
        <v>4.7</v>
      </c>
      <c r="H1228" t="str">
        <f>"A8382171 - K.A. MOFFETT"</f>
        <v>A8382171 - K.A. MOFFETT</v>
      </c>
    </row>
    <row r="1229" spans="1:8" x14ac:dyDescent="0.25">
      <c r="E1229" t="str">
        <f>"1CO-4332-21"</f>
        <v>1CO-4332-21</v>
      </c>
      <c r="F1229" t="str">
        <f>"A8382171 - K. MOFFETT"</f>
        <v>A8382171 - K. MOFFETT</v>
      </c>
      <c r="G1229" s="3">
        <v>157.25</v>
      </c>
      <c r="H1229" t="str">
        <f>"A8382171 - K. MOFFETT"</f>
        <v>A8382171 - K. MOFFETT</v>
      </c>
    </row>
    <row r="1230" spans="1:8" x14ac:dyDescent="0.25">
      <c r="E1230" t="str">
        <f>"J2-69894"</f>
        <v>J2-69894</v>
      </c>
      <c r="F1230" t="str">
        <f>"A-13213 - R. DORADO"</f>
        <v>A-13213 - R. DORADO</v>
      </c>
      <c r="G1230" s="3">
        <v>71.400000000000006</v>
      </c>
      <c r="H1230" t="str">
        <f>"A-13213 - R. DORADO"</f>
        <v>A-13213 - R. DORADO</v>
      </c>
    </row>
    <row r="1231" spans="1:8" x14ac:dyDescent="0.25">
      <c r="E1231" t="str">
        <f>"J2-70127"</f>
        <v>J2-70127</v>
      </c>
      <c r="F1231" t="str">
        <f>"A8382143 - R. MINER"</f>
        <v>A8382143 - R. MINER</v>
      </c>
      <c r="G1231" s="3">
        <v>114.75</v>
      </c>
      <c r="H1231" t="str">
        <f>"A8382143 - R. MINER"</f>
        <v>A8382143 - R. MINER</v>
      </c>
    </row>
    <row r="1232" spans="1:8" x14ac:dyDescent="0.25">
      <c r="A1232" t="s">
        <v>563</v>
      </c>
      <c r="B1232">
        <v>137846</v>
      </c>
      <c r="C1232" s="3">
        <v>839</v>
      </c>
      <c r="D1232" s="6">
        <v>44508</v>
      </c>
      <c r="E1232" t="str">
        <f>"200019098"</f>
        <v>200019098</v>
      </c>
      <c r="F1232" t="str">
        <f>"CONFERENCE - FRAN HUNTER"</f>
        <v>CONFERENCE - FRAN HUNTER</v>
      </c>
      <c r="G1232" s="3">
        <v>399</v>
      </c>
      <c r="H1232" t="str">
        <f>"CONFERENCE - FRAN HUNTER"</f>
        <v>CONFERENCE - FRAN HUNTER</v>
      </c>
    </row>
    <row r="1233" spans="1:8" x14ac:dyDescent="0.25">
      <c r="E1233" t="str">
        <f>"300001924"</f>
        <v>300001924</v>
      </c>
      <c r="F1233" t="str">
        <f>"2022 DMO MEMBERSHIP"</f>
        <v>2022 DMO MEMBERSHIP</v>
      </c>
      <c r="G1233" s="3">
        <v>440</v>
      </c>
      <c r="H1233" t="str">
        <f>"2022 DMO MEMBERSHIP"</f>
        <v>2022 DMO MEMBERSHIP</v>
      </c>
    </row>
    <row r="1234" spans="1:8" x14ac:dyDescent="0.25">
      <c r="A1234" t="s">
        <v>564</v>
      </c>
      <c r="B1234">
        <v>5348</v>
      </c>
      <c r="C1234" s="3">
        <v>1909.5</v>
      </c>
      <c r="D1234" s="6">
        <v>44509</v>
      </c>
      <c r="E1234" t="str">
        <f>"280553"</f>
        <v>280553</v>
      </c>
      <c r="F1234" t="str">
        <f>"ACCT#188757/PCT#4 RD&amp;BRIDGE"</f>
        <v>ACCT#188757/PCT#4 RD&amp;BRIDGE</v>
      </c>
      <c r="G1234" s="3">
        <v>95.5</v>
      </c>
      <c r="H1234" t="str">
        <f>"ACCT#188757/PCT#4 RD&amp;BRIDGE"</f>
        <v>ACCT#188757/PCT#4 RD&amp;BRIDGE</v>
      </c>
    </row>
    <row r="1235" spans="1:8" x14ac:dyDescent="0.25">
      <c r="E1235" t="str">
        <f>"280563"</f>
        <v>280563</v>
      </c>
      <c r="F1235" t="str">
        <f>"ACCT#188757/LBJ BLDG/HLTH DEPT"</f>
        <v>ACCT#188757/LBJ BLDG/HLTH DEPT</v>
      </c>
      <c r="G1235" s="3">
        <v>69</v>
      </c>
      <c r="H1235" t="str">
        <f>"ACCT#188757/LBJ BLDG/HLTH DEPT"</f>
        <v>ACCT#188757/LBJ BLDG/HLTH DEPT</v>
      </c>
    </row>
    <row r="1236" spans="1:8" x14ac:dyDescent="0.25">
      <c r="E1236" t="str">
        <f>"281569"</f>
        <v>281569</v>
      </c>
      <c r="F1236" t="str">
        <f>"ACCT#188757/COM COURT JUVENILE"</f>
        <v>ACCT#188757/COM COURT JUVENILE</v>
      </c>
      <c r="G1236" s="3">
        <v>998</v>
      </c>
      <c r="H1236" t="str">
        <f>"ACCT#188757/COM COURT JUVENILE"</f>
        <v>ACCT#188757/COM COURT JUVENILE</v>
      </c>
    </row>
    <row r="1237" spans="1:8" x14ac:dyDescent="0.25">
      <c r="E1237" t="str">
        <f>"281762"</f>
        <v>281762</v>
      </c>
      <c r="F1237" t="str">
        <f>"ACCT#188757/CEDAR CREEK PARK"</f>
        <v>ACCT#188757/CEDAR CREEK PARK</v>
      </c>
      <c r="G1237" s="3">
        <v>392</v>
      </c>
      <c r="H1237" t="str">
        <f>"ACCT#188757/CEDAR CREEK PARK"</f>
        <v>ACCT#188757/CEDAR CREEK PARK</v>
      </c>
    </row>
    <row r="1238" spans="1:8" x14ac:dyDescent="0.25">
      <c r="E1238" t="str">
        <f>"282150"</f>
        <v>282150</v>
      </c>
      <c r="F1238" t="str">
        <f>"ACCT#188757/JP3/TAX OFFICE"</f>
        <v>ACCT#188757/JP3/TAX OFFICE</v>
      </c>
      <c r="G1238" s="3">
        <v>95</v>
      </c>
      <c r="H1238" t="str">
        <f>"ACCT#188757/JP3/TAX OFFICE"</f>
        <v>ACCT#188757/JP3/TAX OFFICE</v>
      </c>
    </row>
    <row r="1239" spans="1:8" x14ac:dyDescent="0.25">
      <c r="E1239" t="str">
        <f>"282154"</f>
        <v>282154</v>
      </c>
      <c r="F1239" t="str">
        <f>"ACCT#188757/STONY POINT PARK"</f>
        <v>ACCT#188757/STONY POINT PARK</v>
      </c>
      <c r="G1239" s="3">
        <v>95</v>
      </c>
      <c r="H1239" t="str">
        <f>"ACCT#188757/STONY POINT PARK"</f>
        <v>ACCT#188757/STONY POINT PARK</v>
      </c>
    </row>
    <row r="1240" spans="1:8" x14ac:dyDescent="0.25">
      <c r="E1240" t="str">
        <f>"284454"</f>
        <v>284454</v>
      </c>
      <c r="F1240" t="str">
        <f>"ACCT#188757/EXT HABITAT OFFICE"</f>
        <v>ACCT#188757/EXT HABITAT OFFICE</v>
      </c>
      <c r="G1240" s="3">
        <v>89</v>
      </c>
      <c r="H1240" t="str">
        <f>"ACCT#188757/EXT HABITAT OFFICE"</f>
        <v>ACCT#188757/EXT HABITAT OFFICE</v>
      </c>
    </row>
    <row r="1241" spans="1:8" x14ac:dyDescent="0.25">
      <c r="E1241" t="str">
        <f>"284474"</f>
        <v>284474</v>
      </c>
      <c r="F1241" t="str">
        <f>"ACCT#188757/HISTORIC JAIL"</f>
        <v>ACCT#188757/HISTORIC JAIL</v>
      </c>
      <c r="G1241" s="3">
        <v>76</v>
      </c>
      <c r="H1241" t="str">
        <f>"ACCT#188757/HISTORIC JAIL"</f>
        <v>ACCT#188757/HISTORIC JAIL</v>
      </c>
    </row>
    <row r="1242" spans="1:8" x14ac:dyDescent="0.25">
      <c r="A1242" t="s">
        <v>564</v>
      </c>
      <c r="B1242">
        <v>5424</v>
      </c>
      <c r="C1242" s="3">
        <v>1128</v>
      </c>
      <c r="D1242" s="6">
        <v>44523</v>
      </c>
      <c r="E1242" t="str">
        <f>"283835"</f>
        <v>283835</v>
      </c>
      <c r="F1242" t="str">
        <f>"ACCT#188757/COURTHOUSE"</f>
        <v>ACCT#188757/COURTHOUSE</v>
      </c>
      <c r="G1242" s="3">
        <v>486</v>
      </c>
      <c r="H1242" t="str">
        <f>"ACCT#188757/COURTHOUSE"</f>
        <v>ACCT#188757/COURTHOUSE</v>
      </c>
    </row>
    <row r="1243" spans="1:8" x14ac:dyDescent="0.25">
      <c r="E1243" t="str">
        <f>"284400"</f>
        <v>284400</v>
      </c>
      <c r="F1243" t="str">
        <f>"ACCT#188757/JUV PROBATION"</f>
        <v>ACCT#188757/JUV PROBATION</v>
      </c>
      <c r="G1243" s="3">
        <v>132</v>
      </c>
      <c r="H1243" t="str">
        <f>"ACCT#188757/GEN SVCS"</f>
        <v>ACCT#188757/GEN SVCS</v>
      </c>
    </row>
    <row r="1244" spans="1:8" x14ac:dyDescent="0.25">
      <c r="E1244" t="str">
        <f>"284406"</f>
        <v>284406</v>
      </c>
      <c r="F1244" t="str">
        <f>"ACCT#188757/DPS"</f>
        <v>ACCT#188757/DPS</v>
      </c>
      <c r="G1244" s="3">
        <v>76</v>
      </c>
      <c r="H1244" t="str">
        <f>"ACCT#188757/DPS"</f>
        <v>ACCT#188757/DPS</v>
      </c>
    </row>
    <row r="1245" spans="1:8" x14ac:dyDescent="0.25">
      <c r="E1245" t="str">
        <f>"284416"</f>
        <v>284416</v>
      </c>
      <c r="F1245" t="str">
        <f>"ACCT#188757/MIKE FISHER BLDG"</f>
        <v>ACCT#188757/MIKE FISHER BLDG</v>
      </c>
      <c r="G1245" s="3">
        <v>112</v>
      </c>
      <c r="H1245" t="str">
        <f>"ACCT#188757/MIKE FISHER BLDG"</f>
        <v>ACCT#188757/MIKE FISHER BLDG</v>
      </c>
    </row>
    <row r="1246" spans="1:8" x14ac:dyDescent="0.25">
      <c r="E1246" t="str">
        <f>"285317"</f>
        <v>285317</v>
      </c>
      <c r="F1246" t="str">
        <f>"ACCT#188757 CEDAR CREEK PARK"</f>
        <v>ACCT#188757 CEDAR CREEK PARK</v>
      </c>
      <c r="G1246" s="3">
        <v>125</v>
      </c>
      <c r="H1246" t="str">
        <f>"ACCT#188757 CEDAR CREEK PARK"</f>
        <v>ACCT#188757 CEDAR CREEK PARK</v>
      </c>
    </row>
    <row r="1247" spans="1:8" x14ac:dyDescent="0.25">
      <c r="E1247" t="str">
        <f>"285545"</f>
        <v>285545</v>
      </c>
      <c r="F1247" t="str">
        <f>"ACCT#188757/TAX OFFICE"</f>
        <v>ACCT#188757/TAX OFFICE</v>
      </c>
      <c r="G1247" s="3">
        <v>102</v>
      </c>
      <c r="H1247" t="str">
        <f>"ACCT#188757/TAX OFFICE"</f>
        <v>ACCT#188757/TAX OFFICE</v>
      </c>
    </row>
    <row r="1248" spans="1:8" x14ac:dyDescent="0.25">
      <c r="E1248" t="str">
        <f>"285633"</f>
        <v>285633</v>
      </c>
      <c r="F1248" t="str">
        <f>"ACCT#188757/JP4/TAX OFFICE"</f>
        <v>ACCT#188757/JP4/TAX OFFICE</v>
      </c>
      <c r="G1248" s="3">
        <v>95</v>
      </c>
      <c r="H1248" t="str">
        <f>"ACCT#188757/JP4/TAX OFFICE"</f>
        <v>ACCT#188757/JP4/TAX OFFICE</v>
      </c>
    </row>
    <row r="1249" spans="1:8" x14ac:dyDescent="0.25">
      <c r="A1249" t="s">
        <v>565</v>
      </c>
      <c r="B1249">
        <v>5337</v>
      </c>
      <c r="C1249" s="3">
        <v>804.6</v>
      </c>
      <c r="D1249" s="6">
        <v>44509</v>
      </c>
      <c r="E1249" t="str">
        <f>"216123"</f>
        <v>216123</v>
      </c>
      <c r="F1249" t="str">
        <f>"INV 216123"</f>
        <v>INV 216123</v>
      </c>
      <c r="G1249" s="3">
        <v>804.6</v>
      </c>
      <c r="H1249" t="str">
        <f>"INV 216123"</f>
        <v>INV 216123</v>
      </c>
    </row>
    <row r="1250" spans="1:8" x14ac:dyDescent="0.25">
      <c r="A1250" t="s">
        <v>566</v>
      </c>
      <c r="B1250">
        <v>5336</v>
      </c>
      <c r="C1250" s="3">
        <v>5175</v>
      </c>
      <c r="D1250" s="6">
        <v>44509</v>
      </c>
      <c r="E1250" t="str">
        <f>"202111026935"</f>
        <v>202111026935</v>
      </c>
      <c r="F1250" t="str">
        <f>"17 238"</f>
        <v>17 238</v>
      </c>
      <c r="G1250" s="3">
        <v>150</v>
      </c>
      <c r="H1250" t="str">
        <f>"17 238"</f>
        <v>17 238</v>
      </c>
    </row>
    <row r="1251" spans="1:8" x14ac:dyDescent="0.25">
      <c r="E1251" t="str">
        <f>"202111026936"</f>
        <v>202111026936</v>
      </c>
      <c r="F1251" t="str">
        <f>"20-20394"</f>
        <v>20-20394</v>
      </c>
      <c r="G1251" s="3">
        <v>100</v>
      </c>
      <c r="H1251" t="str">
        <f>"20-20394"</f>
        <v>20-20394</v>
      </c>
    </row>
    <row r="1252" spans="1:8" x14ac:dyDescent="0.25">
      <c r="E1252" t="str">
        <f>"202111026937"</f>
        <v>202111026937</v>
      </c>
      <c r="F1252" t="str">
        <f>"20-20262"</f>
        <v>20-20262</v>
      </c>
      <c r="G1252" s="3">
        <v>250</v>
      </c>
      <c r="H1252" t="str">
        <f>"20-20262"</f>
        <v>20-20262</v>
      </c>
    </row>
    <row r="1253" spans="1:8" x14ac:dyDescent="0.25">
      <c r="E1253" t="str">
        <f>"202111026938"</f>
        <v>202111026938</v>
      </c>
      <c r="F1253" t="str">
        <f>"57 724"</f>
        <v>57 724</v>
      </c>
      <c r="G1253" s="3">
        <v>250</v>
      </c>
      <c r="H1253" t="str">
        <f>"57 724"</f>
        <v>57 724</v>
      </c>
    </row>
    <row r="1254" spans="1:8" x14ac:dyDescent="0.25">
      <c r="E1254" t="str">
        <f>"202111026939"</f>
        <v>202111026939</v>
      </c>
      <c r="F1254" t="str">
        <f>"20-20030"</f>
        <v>20-20030</v>
      </c>
      <c r="G1254" s="3">
        <v>375</v>
      </c>
      <c r="H1254" t="str">
        <f>"20-20030"</f>
        <v>20-20030</v>
      </c>
    </row>
    <row r="1255" spans="1:8" x14ac:dyDescent="0.25">
      <c r="E1255" t="str">
        <f>"202111026940"</f>
        <v>202111026940</v>
      </c>
      <c r="F1255" t="str">
        <f>"20-20300"</f>
        <v>20-20300</v>
      </c>
      <c r="G1255" s="3">
        <v>450</v>
      </c>
      <c r="H1255" t="str">
        <f>"20-20300"</f>
        <v>20-20300</v>
      </c>
    </row>
    <row r="1256" spans="1:8" x14ac:dyDescent="0.25">
      <c r="E1256" t="str">
        <f>"202111026941"</f>
        <v>202111026941</v>
      </c>
      <c r="F1256" t="str">
        <f>"58 147"</f>
        <v>58 147</v>
      </c>
      <c r="G1256" s="3">
        <v>250</v>
      </c>
      <c r="H1256" t="str">
        <f>"58 147"</f>
        <v>58 147</v>
      </c>
    </row>
    <row r="1257" spans="1:8" x14ac:dyDescent="0.25">
      <c r="E1257" t="str">
        <f>"202111026942"</f>
        <v>202111026942</v>
      </c>
      <c r="F1257" t="str">
        <f>"58 070"</f>
        <v>58 070</v>
      </c>
      <c r="G1257" s="3">
        <v>250</v>
      </c>
      <c r="H1257" t="str">
        <f>"58 070"</f>
        <v>58 070</v>
      </c>
    </row>
    <row r="1258" spans="1:8" x14ac:dyDescent="0.25">
      <c r="E1258" t="str">
        <f>"202111026943"</f>
        <v>202111026943</v>
      </c>
      <c r="F1258" t="str">
        <f>"21-20839"</f>
        <v>21-20839</v>
      </c>
      <c r="G1258" s="3">
        <v>400</v>
      </c>
      <c r="H1258" t="str">
        <f>"21-20839"</f>
        <v>21-20839</v>
      </c>
    </row>
    <row r="1259" spans="1:8" x14ac:dyDescent="0.25">
      <c r="E1259" t="str">
        <f>"202111026944"</f>
        <v>202111026944</v>
      </c>
      <c r="F1259" t="str">
        <f>"21-20868"</f>
        <v>21-20868</v>
      </c>
      <c r="G1259" s="3">
        <v>400</v>
      </c>
      <c r="H1259" t="str">
        <f>"21-20868"</f>
        <v>21-20868</v>
      </c>
    </row>
    <row r="1260" spans="1:8" x14ac:dyDescent="0.25">
      <c r="E1260" t="str">
        <f>"202111026945"</f>
        <v>202111026945</v>
      </c>
      <c r="F1260" t="str">
        <f>"02-0531-7"</f>
        <v>02-0531-7</v>
      </c>
      <c r="G1260" s="3">
        <v>250</v>
      </c>
      <c r="H1260" t="str">
        <f>"02-0531-7"</f>
        <v>02-0531-7</v>
      </c>
    </row>
    <row r="1261" spans="1:8" x14ac:dyDescent="0.25">
      <c r="E1261" t="str">
        <f>"202111026946"</f>
        <v>202111026946</v>
      </c>
      <c r="F1261" t="str">
        <f>"JP108282019E"</f>
        <v>JP108282019E</v>
      </c>
      <c r="G1261" s="3">
        <v>250</v>
      </c>
      <c r="H1261" t="str">
        <f>"JP108282019E"</f>
        <v>JP108282019E</v>
      </c>
    </row>
    <row r="1262" spans="1:8" x14ac:dyDescent="0.25">
      <c r="E1262" t="str">
        <f>"202111026949"</f>
        <v>202111026949</v>
      </c>
      <c r="F1262" t="str">
        <f>"10 175"</f>
        <v>10 175</v>
      </c>
      <c r="G1262" s="3">
        <v>1000</v>
      </c>
      <c r="H1262" t="str">
        <f>"10 175"</f>
        <v>10 175</v>
      </c>
    </row>
    <row r="1263" spans="1:8" x14ac:dyDescent="0.25">
      <c r="E1263" t="str">
        <f>"202111026950"</f>
        <v>202111026950</v>
      </c>
      <c r="F1263" t="str">
        <f>"4082094"</f>
        <v>4082094</v>
      </c>
      <c r="G1263" s="3">
        <v>400</v>
      </c>
      <c r="H1263" t="str">
        <f>"4082094"</f>
        <v>4082094</v>
      </c>
    </row>
    <row r="1264" spans="1:8" x14ac:dyDescent="0.25">
      <c r="E1264" t="str">
        <f>"202111026952"</f>
        <v>202111026952</v>
      </c>
      <c r="F1264" t="str">
        <f>"17 356"</f>
        <v>17 356</v>
      </c>
      <c r="G1264" s="3">
        <v>400</v>
      </c>
      <c r="H1264" t="str">
        <f>"17 356"</f>
        <v>17 356</v>
      </c>
    </row>
    <row r="1265" spans="1:8" x14ac:dyDescent="0.25">
      <c r="A1265" t="s">
        <v>566</v>
      </c>
      <c r="B1265">
        <v>138101</v>
      </c>
      <c r="C1265" s="3">
        <v>1900</v>
      </c>
      <c r="D1265" s="6">
        <v>44522</v>
      </c>
      <c r="E1265" t="str">
        <f>"202111177222"</f>
        <v>202111177222</v>
      </c>
      <c r="F1265" t="str">
        <f>"JP108012019A"</f>
        <v>JP108012019A</v>
      </c>
      <c r="G1265" s="3">
        <v>-400</v>
      </c>
      <c r="H1265" t="str">
        <f>"JP108012019A"</f>
        <v>JP108012019A</v>
      </c>
    </row>
    <row r="1266" spans="1:8" x14ac:dyDescent="0.25">
      <c r="E1266" t="str">
        <f>"202111026948"</f>
        <v>202111026948</v>
      </c>
      <c r="F1266" t="str">
        <f>"JP108012019A"</f>
        <v>JP108012019A</v>
      </c>
      <c r="G1266" s="3">
        <v>400</v>
      </c>
      <c r="H1266" t="str">
        <f>"JP108012019A"</f>
        <v>JP108012019A</v>
      </c>
    </row>
    <row r="1267" spans="1:8" x14ac:dyDescent="0.25">
      <c r="E1267" t="str">
        <f>"202111157157"</f>
        <v>202111157157</v>
      </c>
      <c r="F1267" t="str">
        <f>"16 998"</f>
        <v>16 998</v>
      </c>
      <c r="G1267" s="3">
        <v>1500</v>
      </c>
      <c r="H1267" t="str">
        <f>"16 998"</f>
        <v>16 998</v>
      </c>
    </row>
    <row r="1268" spans="1:8" x14ac:dyDescent="0.25">
      <c r="E1268" t="str">
        <f>"202111157158"</f>
        <v>202111157158</v>
      </c>
      <c r="F1268" t="str">
        <f>"17 491"</f>
        <v>17 491</v>
      </c>
      <c r="G1268" s="3">
        <v>400</v>
      </c>
      <c r="H1268" t="str">
        <f>"17 491"</f>
        <v>17 491</v>
      </c>
    </row>
    <row r="1269" spans="1:8" x14ac:dyDescent="0.25">
      <c r="A1269" t="s">
        <v>567</v>
      </c>
      <c r="B1269">
        <v>5385</v>
      </c>
      <c r="C1269" s="3">
        <v>1193067.45</v>
      </c>
      <c r="D1269" s="6">
        <v>44509</v>
      </c>
      <c r="E1269" t="str">
        <f>"202111036986"</f>
        <v>202111036986</v>
      </c>
      <c r="F1269" t="str">
        <f>"Insurance Invoice 21-22"</f>
        <v>Insurance Invoice 21-22</v>
      </c>
      <c r="G1269" s="3">
        <v>185387</v>
      </c>
      <c r="H1269" t="str">
        <f>"PROPERTY"</f>
        <v>PROPERTY</v>
      </c>
    </row>
    <row r="1270" spans="1:8" x14ac:dyDescent="0.25">
      <c r="E1270" t="str">
        <f>""</f>
        <v/>
      </c>
      <c r="F1270" t="str">
        <f>""</f>
        <v/>
      </c>
      <c r="G1270" s="3">
        <v>58829</v>
      </c>
      <c r="H1270" t="str">
        <f>"GENERAL LIABILITY"</f>
        <v>GENERAL LIABILITY</v>
      </c>
    </row>
    <row r="1271" spans="1:8" x14ac:dyDescent="0.25">
      <c r="E1271" t="str">
        <f>""</f>
        <v/>
      </c>
      <c r="F1271" t="str">
        <f>""</f>
        <v/>
      </c>
      <c r="G1271" s="3">
        <v>266434</v>
      </c>
      <c r="H1271" t="str">
        <f>"BUSINESS AUTO"</f>
        <v>BUSINESS AUTO</v>
      </c>
    </row>
    <row r="1272" spans="1:8" x14ac:dyDescent="0.25">
      <c r="E1272" t="str">
        <f>""</f>
        <v/>
      </c>
      <c r="F1272" t="str">
        <f>""</f>
        <v/>
      </c>
      <c r="G1272" s="3">
        <v>46021</v>
      </c>
      <c r="H1272" t="str">
        <f>"INLAND MARINE"</f>
        <v>INLAND MARINE</v>
      </c>
    </row>
    <row r="1273" spans="1:8" x14ac:dyDescent="0.25">
      <c r="E1273" t="str">
        <f>""</f>
        <v/>
      </c>
      <c r="F1273" t="str">
        <f>""</f>
        <v/>
      </c>
      <c r="G1273" s="3">
        <v>97506</v>
      </c>
      <c r="H1273" t="str">
        <f>"UMBRELLA"</f>
        <v>UMBRELLA</v>
      </c>
    </row>
    <row r="1274" spans="1:8" x14ac:dyDescent="0.25">
      <c r="E1274" t="str">
        <f>""</f>
        <v/>
      </c>
      <c r="F1274" t="str">
        <f>""</f>
        <v/>
      </c>
      <c r="G1274" s="3">
        <v>4926</v>
      </c>
      <c r="H1274" t="str">
        <f>"CRIME"</f>
        <v>CRIME</v>
      </c>
    </row>
    <row r="1275" spans="1:8" x14ac:dyDescent="0.25">
      <c r="E1275" t="str">
        <f>""</f>
        <v/>
      </c>
      <c r="F1275" t="str">
        <f>""</f>
        <v/>
      </c>
      <c r="G1275" s="3">
        <v>381</v>
      </c>
      <c r="H1275" t="str">
        <f>"EMPLOYEE BEN LIAB"</f>
        <v>EMPLOYEE BEN LIAB</v>
      </c>
    </row>
    <row r="1276" spans="1:8" x14ac:dyDescent="0.25">
      <c r="E1276" t="str">
        <f>""</f>
        <v/>
      </c>
      <c r="F1276" t="str">
        <f>""</f>
        <v/>
      </c>
      <c r="G1276" s="3">
        <v>311903</v>
      </c>
      <c r="H1276" t="str">
        <f>"LAW ENFORC LIABILITY"</f>
        <v>LAW ENFORC LIABILITY</v>
      </c>
    </row>
    <row r="1277" spans="1:8" x14ac:dyDescent="0.25">
      <c r="E1277" t="str">
        <f>""</f>
        <v/>
      </c>
      <c r="F1277" t="str">
        <f>""</f>
        <v/>
      </c>
      <c r="G1277" s="3">
        <v>26887</v>
      </c>
      <c r="H1277" t="str">
        <f>"PUBLIC ENTITY LIAB"</f>
        <v>PUBLIC ENTITY LIAB</v>
      </c>
    </row>
    <row r="1278" spans="1:8" x14ac:dyDescent="0.25">
      <c r="E1278" t="str">
        <f>""</f>
        <v/>
      </c>
      <c r="F1278" t="str">
        <f>""</f>
        <v/>
      </c>
      <c r="G1278" s="3">
        <v>121451</v>
      </c>
      <c r="H1278" t="str">
        <f>"EMPLOYEE PRACTICES"</f>
        <v>EMPLOYEE PRACTICES</v>
      </c>
    </row>
    <row r="1279" spans="1:8" x14ac:dyDescent="0.25">
      <c r="E1279" t="str">
        <f>""</f>
        <v/>
      </c>
      <c r="F1279" t="str">
        <f>""</f>
        <v/>
      </c>
      <c r="G1279" s="3">
        <v>19368</v>
      </c>
      <c r="H1279" t="str">
        <f>"CYBER"</f>
        <v>CYBER</v>
      </c>
    </row>
    <row r="1280" spans="1:8" x14ac:dyDescent="0.25">
      <c r="E1280" t="str">
        <f>""</f>
        <v/>
      </c>
      <c r="F1280" t="str">
        <f>""</f>
        <v/>
      </c>
      <c r="G1280" s="3">
        <v>57856.7</v>
      </c>
      <c r="H1280" t="str">
        <f>"MEDICAL LIAB DR. LIN"</f>
        <v>MEDICAL LIAB DR. LIN</v>
      </c>
    </row>
    <row r="1281" spans="1:8" x14ac:dyDescent="0.25">
      <c r="E1281" t="str">
        <f>""</f>
        <v/>
      </c>
      <c r="F1281" t="str">
        <f>""</f>
        <v/>
      </c>
      <c r="G1281" s="3">
        <v>-3882.25</v>
      </c>
      <c r="H1281" t="str">
        <f>"2021-2022 END CREDIT"</f>
        <v>2021-2022 END CREDIT</v>
      </c>
    </row>
    <row r="1282" spans="1:8" x14ac:dyDescent="0.25">
      <c r="A1282" t="s">
        <v>568</v>
      </c>
      <c r="B1282">
        <v>138102</v>
      </c>
      <c r="C1282" s="3">
        <v>1456.59</v>
      </c>
      <c r="D1282" s="6">
        <v>44522</v>
      </c>
      <c r="E1282" t="str">
        <f>"845258449"</f>
        <v>845258449</v>
      </c>
      <c r="F1282" t="str">
        <f>"ACCT#1000310962/ONLINESOFTWARE"</f>
        <v>ACCT#1000310962/ONLINESOFTWARE</v>
      </c>
      <c r="G1282" s="3">
        <v>856.59</v>
      </c>
      <c r="H1282" t="str">
        <f>"ACCT#1000310962/ONLINESOFTWARE"</f>
        <v>ACCT#1000310962/ONLINESOFTWARE</v>
      </c>
    </row>
    <row r="1283" spans="1:8" x14ac:dyDescent="0.25">
      <c r="E1283" t="str">
        <f>"845317826"</f>
        <v>845317826</v>
      </c>
      <c r="F1283" t="str">
        <f>"ACCT#1000648597/ONLINE SOFTWAR"</f>
        <v>ACCT#1000648597/ONLINE SOFTWAR</v>
      </c>
      <c r="G1283" s="3">
        <v>600</v>
      </c>
      <c r="H1283" t="str">
        <f>"ACCT#1000648597/ONLINE SOFTWAR"</f>
        <v>ACCT#1000648597/ONLINE SOFTWAR</v>
      </c>
    </row>
    <row r="1284" spans="1:8" x14ac:dyDescent="0.25">
      <c r="A1284" t="s">
        <v>569</v>
      </c>
      <c r="B1284">
        <v>137847</v>
      </c>
      <c r="C1284" s="3">
        <v>644.02</v>
      </c>
      <c r="D1284" s="6">
        <v>44508</v>
      </c>
      <c r="E1284" t="str">
        <f>"0167100101621"</f>
        <v>0167100101621</v>
      </c>
      <c r="F1284" t="str">
        <f>"ACCT#8260 16 017 0167100"</f>
        <v>ACCT#8260 16 017 0167100</v>
      </c>
      <c r="G1284" s="3">
        <v>644.02</v>
      </c>
      <c r="H1284" t="str">
        <f>"ACCT#8260 16 017 0167100"</f>
        <v>ACCT#8260 16 017 0167100</v>
      </c>
    </row>
    <row r="1285" spans="1:8" x14ac:dyDescent="0.25">
      <c r="A1285" t="s">
        <v>569</v>
      </c>
      <c r="B1285">
        <v>138103</v>
      </c>
      <c r="C1285" s="3">
        <v>4036.9</v>
      </c>
      <c r="D1285" s="6">
        <v>44522</v>
      </c>
      <c r="E1285" t="str">
        <f>"0003669110821"</f>
        <v>0003669110821</v>
      </c>
      <c r="F1285" t="str">
        <f>"ACCT#8260163000003669"</f>
        <v>ACCT#8260163000003669</v>
      </c>
      <c r="G1285" s="3">
        <v>3135.94</v>
      </c>
      <c r="H1285" t="str">
        <f>"ACCT#8260163000003669"</f>
        <v>ACCT#8260163000003669</v>
      </c>
    </row>
    <row r="1286" spans="1:8" x14ac:dyDescent="0.25">
      <c r="E1286" t="str">
        <f>""</f>
        <v/>
      </c>
      <c r="F1286" t="str">
        <f>""</f>
        <v/>
      </c>
      <c r="G1286" s="3">
        <v>153.72</v>
      </c>
      <c r="H1286" t="str">
        <f>"ACCT#8260163000003669"</f>
        <v>ACCT#8260163000003669</v>
      </c>
    </row>
    <row r="1287" spans="1:8" x14ac:dyDescent="0.25">
      <c r="E1287" t="str">
        <f>"0164314110921"</f>
        <v>0164314110921</v>
      </c>
      <c r="F1287" t="str">
        <f>"ACCT#8260 16 111 0164314"</f>
        <v>ACCT#8260 16 111 0164314</v>
      </c>
      <c r="G1287" s="3">
        <v>672.28</v>
      </c>
      <c r="H1287" t="str">
        <f>"ACCT#8260 16 111 0164314"</f>
        <v>ACCT#8260 16 111 0164314</v>
      </c>
    </row>
    <row r="1288" spans="1:8" x14ac:dyDescent="0.25">
      <c r="E1288" t="str">
        <f>"0194162110621"</f>
        <v>0194162110621</v>
      </c>
      <c r="F1288" t="str">
        <f>"ACCT#8260 16 111 019462"</f>
        <v>ACCT#8260 16 111 019462</v>
      </c>
      <c r="G1288" s="3">
        <v>74.959999999999994</v>
      </c>
      <c r="H1288" t="str">
        <f>"ACCT#8260 16 111 019462"</f>
        <v>ACCT#8260 16 111 019462</v>
      </c>
    </row>
    <row r="1289" spans="1:8" x14ac:dyDescent="0.25">
      <c r="A1289" t="s">
        <v>570</v>
      </c>
      <c r="B1289">
        <v>138104</v>
      </c>
      <c r="C1289" s="3">
        <v>128.93</v>
      </c>
      <c r="D1289" s="6">
        <v>44522</v>
      </c>
      <c r="E1289" t="str">
        <f>"100319609"</f>
        <v>100319609</v>
      </c>
      <c r="F1289" t="str">
        <f>"Statement"</f>
        <v>Statement</v>
      </c>
      <c r="G1289" s="3">
        <v>128.93</v>
      </c>
      <c r="H1289" t="str">
        <f>"100319609"</f>
        <v>100319609</v>
      </c>
    </row>
    <row r="1290" spans="1:8" x14ac:dyDescent="0.25">
      <c r="A1290" t="s">
        <v>571</v>
      </c>
      <c r="B1290">
        <v>137848</v>
      </c>
      <c r="C1290" s="3">
        <v>340</v>
      </c>
      <c r="D1290" s="6">
        <v>44508</v>
      </c>
      <c r="E1290" t="s">
        <v>572</v>
      </c>
      <c r="F1290" s="3" t="str">
        <f>"SERVICE"</f>
        <v>SERVICE</v>
      </c>
      <c r="G1290" s="3">
        <v>25</v>
      </c>
      <c r="H1290" t="str">
        <f>"SERVICE"</f>
        <v>SERVICE</v>
      </c>
    </row>
    <row r="1291" spans="1:8" x14ac:dyDescent="0.25">
      <c r="E1291" t="str">
        <f>"12237"</f>
        <v>12237</v>
      </c>
      <c r="F1291" t="str">
        <f>"SERVICE"</f>
        <v>SERVICE</v>
      </c>
      <c r="G1291" s="3">
        <v>75</v>
      </c>
      <c r="H1291" t="str">
        <f>"SERVICE"</f>
        <v>SERVICE</v>
      </c>
    </row>
    <row r="1292" spans="1:8" x14ac:dyDescent="0.25">
      <c r="E1292" t="str">
        <f>"13449"</f>
        <v>13449</v>
      </c>
      <c r="F1292" t="str">
        <f>"SERVICE"</f>
        <v>SERVICE</v>
      </c>
      <c r="G1292" s="3">
        <v>80</v>
      </c>
      <c r="H1292" t="str">
        <f>"SERVICE"</f>
        <v>SERVICE</v>
      </c>
    </row>
    <row r="1293" spans="1:8" x14ac:dyDescent="0.25">
      <c r="E1293" t="str">
        <f>"13513"</f>
        <v>13513</v>
      </c>
      <c r="F1293" t="str">
        <f>"SERVICE"</f>
        <v>SERVICE</v>
      </c>
      <c r="G1293" s="3">
        <v>160</v>
      </c>
      <c r="H1293" t="str">
        <f>"SERVICE"</f>
        <v>SERVICE</v>
      </c>
    </row>
    <row r="1294" spans="1:8" x14ac:dyDescent="0.25">
      <c r="A1294" t="s">
        <v>573</v>
      </c>
      <c r="B1294">
        <v>138105</v>
      </c>
      <c r="C1294" s="3">
        <v>463</v>
      </c>
      <c r="D1294" s="6">
        <v>44522</v>
      </c>
      <c r="E1294" t="str">
        <f>"202111167181"</f>
        <v>202111167181</v>
      </c>
      <c r="F1294" t="str">
        <f>"C-1-MH-21-002309"</f>
        <v>C-1-MH-21-002309</v>
      </c>
      <c r="G1294" s="3">
        <v>463</v>
      </c>
      <c r="H1294" t="str">
        <f>"C-1-MH-21-002309"</f>
        <v>C-1-MH-21-002309</v>
      </c>
    </row>
    <row r="1295" spans="1:8" x14ac:dyDescent="0.25">
      <c r="A1295" t="s">
        <v>574</v>
      </c>
      <c r="B1295">
        <v>137849</v>
      </c>
      <c r="C1295" s="3">
        <v>191.44</v>
      </c>
      <c r="D1295" s="6">
        <v>44508</v>
      </c>
      <c r="E1295" t="str">
        <f>"4845*98082*1"</f>
        <v>4845*98082*1</v>
      </c>
      <c r="F1295" t="str">
        <f>"JAIL MEDICAL"</f>
        <v>JAIL MEDICAL</v>
      </c>
      <c r="G1295" s="3">
        <v>79.62</v>
      </c>
      <c r="H1295" t="str">
        <f>"JAIL MEDICAL"</f>
        <v>JAIL MEDICAL</v>
      </c>
    </row>
    <row r="1296" spans="1:8" x14ac:dyDescent="0.25">
      <c r="E1296" t="str">
        <f>"4858*98082*1"</f>
        <v>4858*98082*1</v>
      </c>
      <c r="F1296" t="str">
        <f>"JAIL MEDICAL"</f>
        <v>JAIL MEDICAL</v>
      </c>
      <c r="G1296" s="3">
        <v>111.82</v>
      </c>
      <c r="H1296" t="str">
        <f>"JAIL MEDICAL"</f>
        <v>JAIL MEDICAL</v>
      </c>
    </row>
    <row r="1297" spans="1:8" x14ac:dyDescent="0.25">
      <c r="A1297" t="s">
        <v>574</v>
      </c>
      <c r="B1297">
        <v>138106</v>
      </c>
      <c r="C1297" s="3">
        <v>102.89</v>
      </c>
      <c r="D1297" s="6">
        <v>44522</v>
      </c>
      <c r="E1297" t="str">
        <f>"4857*98082*1"</f>
        <v>4857*98082*1</v>
      </c>
      <c r="F1297" t="str">
        <f>"JAIL MEDICAL"</f>
        <v>JAIL MEDICAL</v>
      </c>
      <c r="G1297" s="3">
        <v>102.89</v>
      </c>
      <c r="H1297" t="str">
        <f>"JAIL MEDICAL"</f>
        <v>JAIL MEDICAL</v>
      </c>
    </row>
    <row r="1298" spans="1:8" x14ac:dyDescent="0.25">
      <c r="A1298" t="s">
        <v>575</v>
      </c>
      <c r="B1298">
        <v>137850</v>
      </c>
      <c r="C1298" s="3">
        <v>6670</v>
      </c>
      <c r="D1298" s="6">
        <v>44508</v>
      </c>
      <c r="E1298" t="str">
        <f>"3300005091"</f>
        <v>3300005091</v>
      </c>
      <c r="F1298" t="str">
        <f>"CUST100010/INV##3300005091"</f>
        <v>CUST100010/INV##3300005091</v>
      </c>
      <c r="G1298" s="3">
        <v>3335</v>
      </c>
      <c r="H1298" t="str">
        <f>"CUST100010/INV##3300005091"</f>
        <v>CUST100010/INV##3300005091</v>
      </c>
    </row>
    <row r="1299" spans="1:8" x14ac:dyDescent="0.25">
      <c r="E1299" t="str">
        <f>"3300005148"</f>
        <v>3300005148</v>
      </c>
      <c r="F1299" t="str">
        <f>"CUST#100011/INV#3300005148"</f>
        <v>CUST#100011/INV#3300005148</v>
      </c>
      <c r="G1299" s="3">
        <v>3335</v>
      </c>
      <c r="H1299" t="str">
        <f>"CUST#100011/INV#3300005148"</f>
        <v>CUST#100011/INV#3300005148</v>
      </c>
    </row>
    <row r="1300" spans="1:8" x14ac:dyDescent="0.25">
      <c r="A1300" t="s">
        <v>575</v>
      </c>
      <c r="B1300">
        <v>138107</v>
      </c>
      <c r="C1300" s="3">
        <v>3335</v>
      </c>
      <c r="D1300" s="6">
        <v>44522</v>
      </c>
      <c r="E1300" t="str">
        <f>"3300005200"</f>
        <v>3300005200</v>
      </c>
      <c r="F1300" t="str">
        <f>"CUST #100733"</f>
        <v>CUST #100733</v>
      </c>
      <c r="G1300" s="3">
        <v>3335</v>
      </c>
      <c r="H1300" t="str">
        <f>"CUST #100733"</f>
        <v>CUST #100733</v>
      </c>
    </row>
    <row r="1301" spans="1:8" x14ac:dyDescent="0.25">
      <c r="A1301" t="s">
        <v>576</v>
      </c>
      <c r="B1301">
        <v>138108</v>
      </c>
      <c r="C1301" s="3">
        <v>1946.56</v>
      </c>
      <c r="D1301" s="6">
        <v>44522</v>
      </c>
      <c r="E1301" t="str">
        <f>"T84849"</f>
        <v>T84849</v>
      </c>
      <c r="F1301" t="str">
        <f>"BULL ROCK PCT1"</f>
        <v>BULL ROCK PCT1</v>
      </c>
      <c r="G1301" s="3">
        <v>540.26</v>
      </c>
      <c r="H1301" t="str">
        <f>"BULL ROCK PCT1"</f>
        <v>BULL ROCK PCT1</v>
      </c>
    </row>
    <row r="1302" spans="1:8" x14ac:dyDescent="0.25">
      <c r="E1302" t="str">
        <f>"T848919"</f>
        <v>T848919</v>
      </c>
      <c r="F1302" t="str">
        <f>"BULL ROCK PCT1"</f>
        <v>BULL ROCK PCT1</v>
      </c>
      <c r="G1302" s="3">
        <v>1406.3</v>
      </c>
      <c r="H1302" t="str">
        <f>"BULL ROCK PCT1"</f>
        <v>BULL ROCK PCT1</v>
      </c>
    </row>
    <row r="1303" spans="1:8" x14ac:dyDescent="0.25">
      <c r="A1303" t="s">
        <v>577</v>
      </c>
      <c r="B1303">
        <v>137851</v>
      </c>
      <c r="C1303" s="3">
        <v>370</v>
      </c>
      <c r="D1303" s="6">
        <v>44508</v>
      </c>
      <c r="E1303" t="str">
        <f>"202111016907"</f>
        <v>202111016907</v>
      </c>
      <c r="F1303" t="str">
        <f>"FERAL HOGS"</f>
        <v>FERAL HOGS</v>
      </c>
      <c r="G1303" s="3">
        <v>370</v>
      </c>
      <c r="H1303" t="str">
        <f>"FERAL HOGS"</f>
        <v>FERAL HOGS</v>
      </c>
    </row>
    <row r="1304" spans="1:8" x14ac:dyDescent="0.25">
      <c r="A1304" t="s">
        <v>578</v>
      </c>
      <c r="B1304">
        <v>138109</v>
      </c>
      <c r="C1304" s="3">
        <v>9166.74</v>
      </c>
      <c r="D1304" s="6">
        <v>44522</v>
      </c>
      <c r="E1304" t="str">
        <f>"6879"</f>
        <v>6879</v>
      </c>
      <c r="F1304" t="str">
        <f>"2003 FRTL/PCT#3"</f>
        <v>2003 FRTL/PCT#3</v>
      </c>
      <c r="G1304" s="3">
        <v>9166.74</v>
      </c>
      <c r="H1304" t="str">
        <f>"2003 FRTL/PCT#3"</f>
        <v>2003 FRTL/PCT#3</v>
      </c>
    </row>
    <row r="1305" spans="1:8" x14ac:dyDescent="0.25">
      <c r="A1305" t="s">
        <v>579</v>
      </c>
      <c r="B1305">
        <v>5390</v>
      </c>
      <c r="C1305" s="3">
        <v>400</v>
      </c>
      <c r="D1305" s="6">
        <v>44509</v>
      </c>
      <c r="E1305" t="str">
        <f>"202110276683"</f>
        <v>202110276683</v>
      </c>
      <c r="F1305" t="str">
        <f>"17 436"</f>
        <v>17 436</v>
      </c>
      <c r="G1305" s="3">
        <v>400</v>
      </c>
      <c r="H1305" t="str">
        <f>"17 436"</f>
        <v>17 436</v>
      </c>
    </row>
    <row r="1306" spans="1:8" x14ac:dyDescent="0.25">
      <c r="A1306" t="s">
        <v>579</v>
      </c>
      <c r="B1306">
        <v>5465</v>
      </c>
      <c r="C1306" s="3">
        <v>100</v>
      </c>
      <c r="D1306" s="6">
        <v>44523</v>
      </c>
      <c r="E1306" t="str">
        <f>"202111107094"</f>
        <v>202111107094</v>
      </c>
      <c r="F1306" t="str">
        <f>"2021-03619"</f>
        <v>2021-03619</v>
      </c>
      <c r="G1306" s="3">
        <v>100</v>
      </c>
      <c r="H1306" t="str">
        <f>"2021-03619"</f>
        <v>2021-03619</v>
      </c>
    </row>
    <row r="1307" spans="1:8" x14ac:dyDescent="0.25">
      <c r="A1307" t="s">
        <v>580</v>
      </c>
      <c r="B1307">
        <v>5330</v>
      </c>
      <c r="C1307" s="3">
        <v>192</v>
      </c>
      <c r="D1307" s="6">
        <v>44509</v>
      </c>
      <c r="E1307" t="str">
        <f>"IV:21292:0537"</f>
        <v>IV:21292:0537</v>
      </c>
      <c r="F1307" t="str">
        <f>"ACCT#33036/ANIMAL SERVICES"</f>
        <v>ACCT#33036/ANIMAL SERVICES</v>
      </c>
      <c r="G1307" s="3">
        <v>192</v>
      </c>
      <c r="H1307" t="str">
        <f>"ACCT#33036/ANIMAL SERVICES"</f>
        <v>ACCT#33036/ANIMAL SERVICES</v>
      </c>
    </row>
    <row r="1308" spans="1:8" x14ac:dyDescent="0.25">
      <c r="A1308" t="s">
        <v>580</v>
      </c>
      <c r="B1308">
        <v>5404</v>
      </c>
      <c r="C1308" s="3">
        <v>37</v>
      </c>
      <c r="D1308" s="6">
        <v>44523</v>
      </c>
      <c r="E1308" t="str">
        <f>"IV:21306:0667"</f>
        <v>IV:21306:0667</v>
      </c>
      <c r="F1308" t="str">
        <f>"ACCT#33036/ANIMAL SVCS"</f>
        <v>ACCT#33036/ANIMAL SVCS</v>
      </c>
      <c r="G1308" s="3">
        <v>37</v>
      </c>
      <c r="H1308" t="str">
        <f>"ACCT#33036/ANIMAL SVCS"</f>
        <v>ACCT#33036/ANIMAL SVCS</v>
      </c>
    </row>
    <row r="1309" spans="1:8" x14ac:dyDescent="0.25">
      <c r="A1309" t="s">
        <v>581</v>
      </c>
      <c r="B1309">
        <v>137852</v>
      </c>
      <c r="C1309" s="3">
        <v>8160.04</v>
      </c>
      <c r="D1309" s="6">
        <v>44508</v>
      </c>
      <c r="E1309" t="str">
        <f>"020-131244"</f>
        <v>020-131244</v>
      </c>
      <c r="F1309" t="str">
        <f>"CUST#42161-11814/PAYMENT PROC"</f>
        <v>CUST#42161-11814/PAYMENT PROC</v>
      </c>
      <c r="G1309" s="3">
        <v>80.91</v>
      </c>
      <c r="H1309" t="str">
        <f>"CUST#42161-11814/PAYMENT PROC"</f>
        <v>CUST#42161-11814/PAYMENT PROC</v>
      </c>
    </row>
    <row r="1310" spans="1:8" x14ac:dyDescent="0.25">
      <c r="E1310" t="str">
        <f>"130-124023"</f>
        <v>130-124023</v>
      </c>
      <c r="F1310" t="str">
        <f>"CUST#42161/ORD#16843"</f>
        <v>CUST#42161/ORD#16843</v>
      </c>
      <c r="G1310" s="3">
        <v>3675</v>
      </c>
      <c r="H1310" t="str">
        <f>"CUST#42161/ORD#16843"</f>
        <v>CUST#42161/ORD#16843</v>
      </c>
    </row>
    <row r="1311" spans="1:8" x14ac:dyDescent="0.25">
      <c r="E1311" t="str">
        <f>"130-124110"</f>
        <v>130-124110</v>
      </c>
      <c r="F1311" t="str">
        <f>"CUST#42161-14173"</f>
        <v>CUST#42161-14173</v>
      </c>
      <c r="G1311" s="3">
        <v>4404.13</v>
      </c>
      <c r="H1311" t="str">
        <f>"CUST#42161-14173"</f>
        <v>CUST#42161-14173</v>
      </c>
    </row>
    <row r="1312" spans="1:8" x14ac:dyDescent="0.25">
      <c r="A1312" t="s">
        <v>581</v>
      </c>
      <c r="B1312">
        <v>138110</v>
      </c>
      <c r="C1312" s="3">
        <v>22.55</v>
      </c>
      <c r="D1312" s="6">
        <v>44522</v>
      </c>
      <c r="E1312" t="str">
        <f>"020-131583"</f>
        <v>020-131583</v>
      </c>
      <c r="F1312" t="str">
        <f>"CUST#42161-11814-11814/OCT FEE"</f>
        <v>CUST#42161-11814-11814/OCT FEE</v>
      </c>
      <c r="G1312" s="3">
        <v>22.55</v>
      </c>
      <c r="H1312" t="str">
        <f>"CUST#42161-11814-11814/OCT FEE"</f>
        <v>CUST#42161-11814-11814/OCT FEE</v>
      </c>
    </row>
    <row r="1313" spans="1:8" x14ac:dyDescent="0.25">
      <c r="A1313" t="s">
        <v>582</v>
      </c>
      <c r="B1313">
        <v>5402</v>
      </c>
      <c r="C1313" s="3">
        <v>544.65</v>
      </c>
      <c r="D1313" s="6">
        <v>44523</v>
      </c>
      <c r="E1313" t="str">
        <f>"10402592"</f>
        <v>10402592</v>
      </c>
      <c r="F1313" t="str">
        <f>"Uline Order"</f>
        <v>Uline Order</v>
      </c>
      <c r="G1313" s="3">
        <v>306</v>
      </c>
      <c r="H1313" t="str">
        <f>"S-9942  NAT PAIL"</f>
        <v>S-9942  NAT PAIL</v>
      </c>
    </row>
    <row r="1314" spans="1:8" x14ac:dyDescent="0.25">
      <c r="E1314" t="str">
        <f>""</f>
        <v/>
      </c>
      <c r="F1314" t="str">
        <f>""</f>
        <v/>
      </c>
      <c r="G1314" s="3">
        <v>105</v>
      </c>
      <c r="H1314" t="str">
        <f>"S-9948 NAT LIDS"</f>
        <v>S-9948 NAT LIDS</v>
      </c>
    </row>
    <row r="1315" spans="1:8" x14ac:dyDescent="0.25">
      <c r="E1315" t="str">
        <f>""</f>
        <v/>
      </c>
      <c r="F1315" t="str">
        <f>""</f>
        <v/>
      </c>
      <c r="G1315" s="3">
        <v>133.65</v>
      </c>
      <c r="H1315" t="str">
        <f>"SHIPPING COST"</f>
        <v>SHIPPING COST</v>
      </c>
    </row>
    <row r="1316" spans="1:8" x14ac:dyDescent="0.25">
      <c r="A1316" t="s">
        <v>583</v>
      </c>
      <c r="B1316">
        <v>137853</v>
      </c>
      <c r="C1316" s="3">
        <v>3869.2</v>
      </c>
      <c r="D1316" s="6">
        <v>44508</v>
      </c>
      <c r="E1316" t="str">
        <f>"MET7021-042"</f>
        <v>MET7021-042</v>
      </c>
      <c r="F1316" t="str">
        <f>"VEOLIA NORTH AMERICA  INC."</f>
        <v>VEOLIA NORTH AMERICA  INC.</v>
      </c>
      <c r="G1316" s="3">
        <v>3869.2</v>
      </c>
      <c r="H1316" t="str">
        <f>"HAZMAT Pick Up"</f>
        <v>HAZMAT Pick Up</v>
      </c>
    </row>
    <row r="1317" spans="1:8" x14ac:dyDescent="0.25">
      <c r="A1317" t="s">
        <v>584</v>
      </c>
      <c r="B1317">
        <v>137854</v>
      </c>
      <c r="C1317" s="3">
        <v>412</v>
      </c>
      <c r="D1317" s="6">
        <v>44508</v>
      </c>
      <c r="E1317" t="str">
        <f>"6582"</f>
        <v>6582</v>
      </c>
      <c r="F1317" t="str">
        <f>"OCTOBER SERVICE/ANIMAL CONTROL"</f>
        <v>OCTOBER SERVICE/ANIMAL CONTROL</v>
      </c>
      <c r="G1317" s="3">
        <v>412</v>
      </c>
      <c r="H1317" t="str">
        <f>"OCTOBER SERVICE/ANIMAL CONTROL"</f>
        <v>OCTOBER SERVICE/ANIMAL CONTROL</v>
      </c>
    </row>
    <row r="1318" spans="1:8" x14ac:dyDescent="0.25">
      <c r="A1318" t="s">
        <v>585</v>
      </c>
      <c r="B1318">
        <v>137855</v>
      </c>
      <c r="C1318" s="3">
        <v>55</v>
      </c>
      <c r="D1318" s="6">
        <v>44508</v>
      </c>
      <c r="E1318" t="str">
        <f>"202111016908"</f>
        <v>202111016908</v>
      </c>
      <c r="F1318" t="str">
        <f>"FERAL HOGS"</f>
        <v>FERAL HOGS</v>
      </c>
      <c r="G1318" s="3">
        <v>55</v>
      </c>
      <c r="H1318" t="str">
        <f>"FERAL HOGS"</f>
        <v>FERAL HOGS</v>
      </c>
    </row>
    <row r="1319" spans="1:8" x14ac:dyDescent="0.25">
      <c r="A1319" t="s">
        <v>586</v>
      </c>
      <c r="B1319">
        <v>138111</v>
      </c>
      <c r="C1319" s="3">
        <v>206.79</v>
      </c>
      <c r="D1319" s="6">
        <v>44522</v>
      </c>
      <c r="E1319" t="str">
        <f>"2014716"</f>
        <v>2014716</v>
      </c>
      <c r="F1319" t="str">
        <f>"ACCT#17460002268 003/CNTY CLER"</f>
        <v>ACCT#17460002268 003/CNTY CLER</v>
      </c>
      <c r="G1319" s="3">
        <v>206.79</v>
      </c>
      <c r="H1319" t="str">
        <f>"ACCT#17460002268 003/CNTY CLER"</f>
        <v>ACCT#17460002268 003/CNTY CLER</v>
      </c>
    </row>
    <row r="1320" spans="1:8" x14ac:dyDescent="0.25">
      <c r="A1320" t="s">
        <v>587</v>
      </c>
      <c r="B1320">
        <v>137856</v>
      </c>
      <c r="C1320" s="3">
        <v>1748.7</v>
      </c>
      <c r="D1320" s="6">
        <v>44508</v>
      </c>
      <c r="E1320" t="str">
        <f>"120685"</f>
        <v>120685</v>
      </c>
      <c r="F1320" t="str">
        <f>"ACCT#20065/ANIMAL CONTROL"</f>
        <v>ACCT#20065/ANIMAL CONTROL</v>
      </c>
      <c r="G1320" s="3">
        <v>1748.7</v>
      </c>
      <c r="H1320" t="str">
        <f>"ACCT#20065/ANIMAL CONTROL"</f>
        <v>ACCT#20065/ANIMAL CONTROL</v>
      </c>
    </row>
    <row r="1321" spans="1:8" x14ac:dyDescent="0.25">
      <c r="A1321" t="s">
        <v>588</v>
      </c>
      <c r="B1321">
        <v>5360</v>
      </c>
      <c r="C1321" s="3">
        <v>52984.04</v>
      </c>
      <c r="D1321" s="6">
        <v>44509</v>
      </c>
      <c r="E1321" t="str">
        <f>"8693959212144"</f>
        <v>8693959212144</v>
      </c>
      <c r="F1321" t="str">
        <f>"Statement"</f>
        <v>Statement</v>
      </c>
      <c r="G1321" s="3">
        <v>126.53</v>
      </c>
      <c r="H1321" t="str">
        <f>"fuel"</f>
        <v>fuel</v>
      </c>
    </row>
    <row r="1322" spans="1:8" x14ac:dyDescent="0.25">
      <c r="E1322" t="str">
        <f>""</f>
        <v/>
      </c>
      <c r="F1322" t="str">
        <f>""</f>
        <v/>
      </c>
      <c r="G1322" s="3">
        <v>-8.18</v>
      </c>
      <c r="H1322" t="str">
        <f>"tax"</f>
        <v>tax</v>
      </c>
    </row>
    <row r="1323" spans="1:8" x14ac:dyDescent="0.25">
      <c r="E1323" t="str">
        <f>""</f>
        <v/>
      </c>
      <c r="F1323" t="str">
        <f>""</f>
        <v/>
      </c>
      <c r="G1323" s="3">
        <v>2484.84</v>
      </c>
      <c r="H1323" t="str">
        <f>"fuel"</f>
        <v>fuel</v>
      </c>
    </row>
    <row r="1324" spans="1:8" x14ac:dyDescent="0.25">
      <c r="E1324" t="str">
        <f>""</f>
        <v/>
      </c>
      <c r="F1324" t="str">
        <f>""</f>
        <v/>
      </c>
      <c r="G1324" s="3">
        <v>-169.9</v>
      </c>
      <c r="H1324" t="str">
        <f>"tax"</f>
        <v>tax</v>
      </c>
    </row>
    <row r="1325" spans="1:8" x14ac:dyDescent="0.25">
      <c r="E1325" t="str">
        <f>""</f>
        <v/>
      </c>
      <c r="F1325" t="str">
        <f>""</f>
        <v/>
      </c>
      <c r="G1325" s="3">
        <v>351.76</v>
      </c>
      <c r="H1325" t="str">
        <f>"maintenance"</f>
        <v>maintenance</v>
      </c>
    </row>
    <row r="1326" spans="1:8" x14ac:dyDescent="0.25">
      <c r="E1326" t="str">
        <f>""</f>
        <v/>
      </c>
      <c r="F1326" t="str">
        <f>""</f>
        <v/>
      </c>
      <c r="G1326" s="3">
        <v>2279.56</v>
      </c>
      <c r="H1326" t="str">
        <f>"fuel"</f>
        <v>fuel</v>
      </c>
    </row>
    <row r="1327" spans="1:8" x14ac:dyDescent="0.25">
      <c r="E1327" t="str">
        <f>""</f>
        <v/>
      </c>
      <c r="F1327" t="str">
        <f>""</f>
        <v/>
      </c>
      <c r="G1327" s="3">
        <v>-150.94999999999999</v>
      </c>
      <c r="H1327" t="str">
        <f>"tax"</f>
        <v>tax</v>
      </c>
    </row>
    <row r="1328" spans="1:8" x14ac:dyDescent="0.25">
      <c r="E1328" t="str">
        <f>""</f>
        <v/>
      </c>
      <c r="F1328" t="str">
        <f>""</f>
        <v/>
      </c>
      <c r="G1328" s="3">
        <v>213.64</v>
      </c>
      <c r="H1328" t="str">
        <f>"maintenance"</f>
        <v>maintenance</v>
      </c>
    </row>
    <row r="1329" spans="1:8" x14ac:dyDescent="0.25">
      <c r="E1329" t="str">
        <f>""</f>
        <v/>
      </c>
      <c r="F1329" t="str">
        <f>""</f>
        <v/>
      </c>
      <c r="G1329" s="3">
        <v>34065.56</v>
      </c>
      <c r="H1329" t="str">
        <f>"fuel"</f>
        <v>fuel</v>
      </c>
    </row>
    <row r="1330" spans="1:8" x14ac:dyDescent="0.25">
      <c r="E1330" t="str">
        <f>""</f>
        <v/>
      </c>
      <c r="F1330" t="str">
        <f>""</f>
        <v/>
      </c>
      <c r="G1330" s="3">
        <v>-2332</v>
      </c>
      <c r="H1330" t="str">
        <f>"tax"</f>
        <v>tax</v>
      </c>
    </row>
    <row r="1331" spans="1:8" x14ac:dyDescent="0.25">
      <c r="E1331" t="str">
        <f>""</f>
        <v/>
      </c>
      <c r="F1331" t="str">
        <f>""</f>
        <v/>
      </c>
      <c r="G1331" s="3">
        <v>1703.78</v>
      </c>
      <c r="H1331" t="str">
        <f>"maintenance"</f>
        <v>maintenance</v>
      </c>
    </row>
    <row r="1332" spans="1:8" x14ac:dyDescent="0.25">
      <c r="E1332" t="str">
        <f>""</f>
        <v/>
      </c>
      <c r="F1332" t="str">
        <f>""</f>
        <v/>
      </c>
      <c r="G1332" s="3">
        <v>10553.61</v>
      </c>
      <c r="H1332" t="str">
        <f>"fuel"</f>
        <v>fuel</v>
      </c>
    </row>
    <row r="1333" spans="1:8" x14ac:dyDescent="0.25">
      <c r="E1333" t="str">
        <f>""</f>
        <v/>
      </c>
      <c r="F1333" t="str">
        <f>""</f>
        <v/>
      </c>
      <c r="G1333" s="3">
        <v>1741.89</v>
      </c>
      <c r="H1333" t="str">
        <f>"fuel"</f>
        <v>fuel</v>
      </c>
    </row>
    <row r="1334" spans="1:8" x14ac:dyDescent="0.25">
      <c r="E1334" t="str">
        <f>""</f>
        <v/>
      </c>
      <c r="F1334" t="str">
        <f>""</f>
        <v/>
      </c>
      <c r="G1334" s="3">
        <v>-112.15</v>
      </c>
      <c r="H1334" t="str">
        <f>"tax"</f>
        <v>tax</v>
      </c>
    </row>
    <row r="1335" spans="1:8" x14ac:dyDescent="0.25">
      <c r="E1335" t="str">
        <f>""</f>
        <v/>
      </c>
      <c r="F1335" t="str">
        <f>""</f>
        <v/>
      </c>
      <c r="G1335" s="3">
        <v>1975.45</v>
      </c>
      <c r="H1335" t="str">
        <f>"fuel"</f>
        <v>fuel</v>
      </c>
    </row>
    <row r="1336" spans="1:8" x14ac:dyDescent="0.25">
      <c r="E1336" t="str">
        <f>""</f>
        <v/>
      </c>
      <c r="F1336" t="str">
        <f>""</f>
        <v/>
      </c>
      <c r="G1336" s="3">
        <v>-151.91999999999999</v>
      </c>
      <c r="H1336" t="str">
        <f>"tax"</f>
        <v>tax</v>
      </c>
    </row>
    <row r="1337" spans="1:8" x14ac:dyDescent="0.25">
      <c r="E1337" t="str">
        <f>""</f>
        <v/>
      </c>
      <c r="F1337" t="str">
        <f>""</f>
        <v/>
      </c>
      <c r="G1337" s="3">
        <v>16</v>
      </c>
      <c r="H1337" t="str">
        <f>"maintenance"</f>
        <v>maintenance</v>
      </c>
    </row>
    <row r="1338" spans="1:8" x14ac:dyDescent="0.25">
      <c r="E1338" t="str">
        <f>""</f>
        <v/>
      </c>
      <c r="F1338" t="str">
        <f>""</f>
        <v/>
      </c>
      <c r="G1338" s="3">
        <v>236.45</v>
      </c>
      <c r="H1338" t="str">
        <f>"fuel"</f>
        <v>fuel</v>
      </c>
    </row>
    <row r="1339" spans="1:8" x14ac:dyDescent="0.25">
      <c r="E1339" t="str">
        <f>""</f>
        <v/>
      </c>
      <c r="F1339" t="str">
        <f>""</f>
        <v/>
      </c>
      <c r="G1339" s="3">
        <v>-16.09</v>
      </c>
      <c r="H1339" t="str">
        <f>"tax"</f>
        <v>tax</v>
      </c>
    </row>
    <row r="1340" spans="1:8" x14ac:dyDescent="0.25">
      <c r="E1340" t="str">
        <f>""</f>
        <v/>
      </c>
      <c r="F1340" t="str">
        <f>""</f>
        <v/>
      </c>
      <c r="G1340" s="3">
        <v>176.16</v>
      </c>
      <c r="H1340" t="str">
        <f>"maintenance"</f>
        <v>maintenance</v>
      </c>
    </row>
    <row r="1341" spans="1:8" x14ac:dyDescent="0.25">
      <c r="A1341" t="s">
        <v>589</v>
      </c>
      <c r="B1341">
        <v>137857</v>
      </c>
      <c r="C1341" s="3">
        <v>90.99</v>
      </c>
      <c r="D1341" s="6">
        <v>44508</v>
      </c>
      <c r="E1341" t="str">
        <f>"10470234"</f>
        <v>10470234</v>
      </c>
      <c r="F1341" t="str">
        <f>"ACCT#00010699-4/PCT#3"</f>
        <v>ACCT#00010699-4/PCT#3</v>
      </c>
      <c r="G1341" s="3">
        <v>90.99</v>
      </c>
      <c r="H1341" t="str">
        <f>"ACCT#00010699-4/PCT#3"</f>
        <v>ACCT#00010699-4/PCT#3</v>
      </c>
    </row>
    <row r="1342" spans="1:8" x14ac:dyDescent="0.25">
      <c r="A1342" t="s">
        <v>590</v>
      </c>
      <c r="B1342">
        <v>5467</v>
      </c>
      <c r="C1342" s="3">
        <v>1100</v>
      </c>
      <c r="D1342" s="6">
        <v>44523</v>
      </c>
      <c r="E1342" t="str">
        <f>"R12300"</f>
        <v>R12300</v>
      </c>
      <c r="F1342" t="str">
        <f>"VULCAN  INC."</f>
        <v>VULCAN  INC.</v>
      </c>
      <c r="G1342" s="3">
        <v>1100</v>
      </c>
      <c r="H1342" t="str">
        <f>"Delinators"</f>
        <v>Delinators</v>
      </c>
    </row>
    <row r="1343" spans="1:8" x14ac:dyDescent="0.25">
      <c r="A1343" t="s">
        <v>591</v>
      </c>
      <c r="B1343">
        <v>5415</v>
      </c>
      <c r="C1343" s="3">
        <v>5548.08</v>
      </c>
      <c r="D1343" s="6">
        <v>44523</v>
      </c>
      <c r="E1343" t="str">
        <f>"22036"</f>
        <v>22036</v>
      </c>
      <c r="F1343" t="str">
        <f>"COLD MIX PCT4"</f>
        <v>COLD MIX PCT4</v>
      </c>
      <c r="G1343" s="3">
        <v>2754.46</v>
      </c>
      <c r="H1343" t="str">
        <f>"COLD MIX PCT4"</f>
        <v>COLD MIX PCT4</v>
      </c>
    </row>
    <row r="1344" spans="1:8" x14ac:dyDescent="0.25">
      <c r="E1344" t="str">
        <f>"22069"</f>
        <v>22069</v>
      </c>
      <c r="F1344" t="str">
        <f>"COLD MIX/FREIGHT/PCT#3"</f>
        <v>COLD MIX/FREIGHT/PCT#3</v>
      </c>
      <c r="G1344" s="3">
        <v>2793.62</v>
      </c>
      <c r="H1344" t="str">
        <f>"COLD MIX/FREIGHT/PCT#3"</f>
        <v>COLD MIX/FREIGHT/PCT#3</v>
      </c>
    </row>
    <row r="1345" spans="1:8" x14ac:dyDescent="0.25">
      <c r="A1345" t="s">
        <v>592</v>
      </c>
      <c r="B1345">
        <v>137705</v>
      </c>
      <c r="C1345" s="3">
        <v>11267.68</v>
      </c>
      <c r="D1345" s="6">
        <v>44504</v>
      </c>
      <c r="E1345" t="str">
        <f>"11482891"</f>
        <v>11482891</v>
      </c>
      <c r="F1345" t="str">
        <f>"ACCT#5150-005117630 / 10312021"</f>
        <v>ACCT#5150-005117630 / 10312021</v>
      </c>
      <c r="G1345" s="3">
        <v>275.95</v>
      </c>
      <c r="H1345" t="str">
        <f>"ACCT#5150-005117630 / 10312021"</f>
        <v>ACCT#5150-005117630 / 10312021</v>
      </c>
    </row>
    <row r="1346" spans="1:8" x14ac:dyDescent="0.25">
      <c r="E1346" t="str">
        <f>"11482898"</f>
        <v>11482898</v>
      </c>
      <c r="F1346" t="str">
        <f>"ACCT#5150-005117766 / 103121"</f>
        <v>ACCT#5150-005117766 / 103121</v>
      </c>
      <c r="G1346" s="3">
        <v>121.13</v>
      </c>
      <c r="H1346" t="str">
        <f t="shared" ref="H1346:H1351" si="12">"WASTE CONNECTIONS LONE STAR. I"</f>
        <v>WASTE CONNECTIONS LONE STAR. I</v>
      </c>
    </row>
    <row r="1347" spans="1:8" x14ac:dyDescent="0.25">
      <c r="E1347" t="str">
        <f>"11482902"</f>
        <v>11482902</v>
      </c>
      <c r="F1347" t="str">
        <f>"ACCT#5150-005117838 / 103121"</f>
        <v>ACCT#5150-005117838 / 103121</v>
      </c>
      <c r="G1347" s="3">
        <v>112.1</v>
      </c>
      <c r="H1347" t="str">
        <f t="shared" si="12"/>
        <v>WASTE CONNECTIONS LONE STAR. I</v>
      </c>
    </row>
    <row r="1348" spans="1:8" x14ac:dyDescent="0.25">
      <c r="E1348" t="str">
        <f>"11482904"</f>
        <v>11482904</v>
      </c>
      <c r="F1348" t="str">
        <f>"ACCT#5150-005117882 / 103121"</f>
        <v>ACCT#5150-005117882 / 103121</v>
      </c>
      <c r="G1348" s="3">
        <v>151.4</v>
      </c>
      <c r="H1348" t="str">
        <f t="shared" si="12"/>
        <v>WASTE CONNECTIONS LONE STAR. I</v>
      </c>
    </row>
    <row r="1349" spans="1:8" x14ac:dyDescent="0.25">
      <c r="E1349" t="str">
        <f>"11482913"</f>
        <v>11482913</v>
      </c>
      <c r="F1349" t="str">
        <f>"ACCT#5150-005118183 / 103121"</f>
        <v>ACCT#5150-005118183 / 103121</v>
      </c>
      <c r="G1349" s="3">
        <v>649.91</v>
      </c>
      <c r="H1349" t="str">
        <f t="shared" si="12"/>
        <v>WASTE CONNECTIONS LONE STAR. I</v>
      </c>
    </row>
    <row r="1350" spans="1:8" x14ac:dyDescent="0.25">
      <c r="E1350" t="str">
        <f>"11482942"</f>
        <v>11482942</v>
      </c>
      <c r="F1350" t="str">
        <f>"ACCT#5150-005129483 / 103121"</f>
        <v>ACCT#5150-005129483 / 103121</v>
      </c>
      <c r="G1350" s="3">
        <v>9839.2000000000007</v>
      </c>
      <c r="H1350" t="str">
        <f t="shared" si="12"/>
        <v>WASTE CONNECTIONS LONE STAR. I</v>
      </c>
    </row>
    <row r="1351" spans="1:8" x14ac:dyDescent="0.25">
      <c r="E1351" t="str">
        <f>"11486929"</f>
        <v>11486929</v>
      </c>
      <c r="F1351" t="str">
        <f>"ACCT#5150-16203415 / 103121"</f>
        <v>ACCT#5150-16203415 / 103121</v>
      </c>
      <c r="G1351" s="3">
        <v>87.66</v>
      </c>
      <c r="H1351" t="str">
        <f t="shared" si="12"/>
        <v>WASTE CONNECTIONS LONE STAR. I</v>
      </c>
    </row>
    <row r="1352" spans="1:8" x14ac:dyDescent="0.25">
      <c r="E1352" t="str">
        <f>"11486930"</f>
        <v>11486930</v>
      </c>
      <c r="F1352" t="str">
        <f>"ACCT#5150-16203417 / 103121"</f>
        <v>ACCT#5150-16203417 / 103121</v>
      </c>
      <c r="G1352" s="3">
        <v>30.33</v>
      </c>
      <c r="H1352" t="str">
        <f>"ACCT#5150-16203417"</f>
        <v>ACCT#5150-16203417</v>
      </c>
    </row>
    <row r="1353" spans="1:8" x14ac:dyDescent="0.25">
      <c r="A1353" t="s">
        <v>593</v>
      </c>
      <c r="B1353">
        <v>137858</v>
      </c>
      <c r="C1353" s="3">
        <v>546.64</v>
      </c>
      <c r="D1353" s="6">
        <v>44508</v>
      </c>
      <c r="E1353" t="str">
        <f>"0131816-2161-9"</f>
        <v>0131816-2161-9</v>
      </c>
      <c r="F1353" t="str">
        <f>"CUST#2-56581-95066/ANIMAL CONT"</f>
        <v>CUST#2-56581-95066/ANIMAL CONT</v>
      </c>
      <c r="G1353" s="3">
        <v>546.64</v>
      </c>
      <c r="H1353" t="str">
        <f>"CUST#2-56581-95066/ANIMAL CONT"</f>
        <v>CUST#2-56581-95066/ANIMAL CONT</v>
      </c>
    </row>
    <row r="1354" spans="1:8" x14ac:dyDescent="0.25">
      <c r="A1354" t="s">
        <v>593</v>
      </c>
      <c r="B1354">
        <v>138112</v>
      </c>
      <c r="C1354" s="3">
        <v>7950.35</v>
      </c>
      <c r="D1354" s="6">
        <v>44522</v>
      </c>
      <c r="E1354" t="str">
        <f>"0033744-2161-2"</f>
        <v>0033744-2161-2</v>
      </c>
      <c r="F1354" t="str">
        <f>"CUST ID#2-57060-55062 PCT#4"</f>
        <v>CUST ID#2-57060-55062 PCT#4</v>
      </c>
      <c r="G1354" s="3">
        <v>6903</v>
      </c>
      <c r="H1354" t="str">
        <f>"CUST ID#2-57060-55062 PCT#4"</f>
        <v>CUST ID#2-57060-55062 PCT#4</v>
      </c>
    </row>
    <row r="1355" spans="1:8" x14ac:dyDescent="0.25">
      <c r="E1355" t="str">
        <f>"6721920-2161-2"</f>
        <v>6721920-2161-2</v>
      </c>
      <c r="F1355" t="str">
        <f>"CUST ID#23-90244-23005 PCT#4"</f>
        <v>CUST ID#23-90244-23005 PCT#4</v>
      </c>
      <c r="G1355" s="3">
        <v>1047.3499999999999</v>
      </c>
      <c r="H1355" t="str">
        <f>"CUST ID#23-90244-23005 PCT#4"</f>
        <v>CUST ID#23-90244-23005 PCT#4</v>
      </c>
    </row>
    <row r="1356" spans="1:8" x14ac:dyDescent="0.25">
      <c r="A1356" t="s">
        <v>594</v>
      </c>
      <c r="B1356">
        <v>138113</v>
      </c>
      <c r="C1356" s="3">
        <v>36809</v>
      </c>
      <c r="D1356" s="6">
        <v>44522</v>
      </c>
      <c r="E1356" t="str">
        <f>"5"</f>
        <v>5</v>
      </c>
      <c r="F1356" t="str">
        <f>"WATCH GUARD VIDEO"</f>
        <v>WATCH GUARD VIDEO</v>
      </c>
      <c r="G1356" s="3">
        <v>22207</v>
      </c>
      <c r="H1356" t="str">
        <f>"WAR-4RE-CAR-5TH"</f>
        <v>WAR-4RE-CAR-5TH</v>
      </c>
    </row>
    <row r="1357" spans="1:8" x14ac:dyDescent="0.25">
      <c r="E1357" t="str">
        <f>""</f>
        <v/>
      </c>
      <c r="F1357" t="str">
        <f>""</f>
        <v/>
      </c>
      <c r="G1357" s="3">
        <v>2114</v>
      </c>
      <c r="H1357" t="str">
        <f>"WAR-4RE-IN-CAR 4TH"</f>
        <v>WAR-4RE-IN-CAR 4TH</v>
      </c>
    </row>
    <row r="1358" spans="1:8" x14ac:dyDescent="0.25">
      <c r="E1358" t="str">
        <f>""</f>
        <v/>
      </c>
      <c r="F1358" t="str">
        <f>""</f>
        <v/>
      </c>
      <c r="G1358" s="3">
        <v>9690</v>
      </c>
      <c r="H1358" t="str">
        <f>"WAR-VIS-CAM-5TH"</f>
        <v>WAR-VIS-CAM-5TH</v>
      </c>
    </row>
    <row r="1359" spans="1:8" x14ac:dyDescent="0.25">
      <c r="E1359" t="str">
        <f>""</f>
        <v/>
      </c>
      <c r="F1359" t="str">
        <f>""</f>
        <v/>
      </c>
      <c r="G1359" s="3">
        <v>1330</v>
      </c>
      <c r="H1359" t="str">
        <f>"WAR VIS-CAM 4TH"</f>
        <v>WAR VIS-CAM 4TH</v>
      </c>
    </row>
    <row r="1360" spans="1:8" x14ac:dyDescent="0.25">
      <c r="E1360" t="str">
        <f>""</f>
        <v/>
      </c>
      <c r="F1360" t="str">
        <f>""</f>
        <v/>
      </c>
      <c r="G1360" s="3">
        <v>760</v>
      </c>
      <c r="H1360" t="str">
        <f>"WAR-VIS-CAM-3RD"</f>
        <v>WAR-VIS-CAM-3RD</v>
      </c>
    </row>
    <row r="1361" spans="1:8" x14ac:dyDescent="0.25">
      <c r="E1361" t="str">
        <f>""</f>
        <v/>
      </c>
      <c r="F1361" t="str">
        <f>""</f>
        <v/>
      </c>
      <c r="G1361" s="3">
        <v>708</v>
      </c>
      <c r="H1361" t="str">
        <f>"WAR-4RE-CAR-3RD"</f>
        <v>WAR-4RE-CAR-3RD</v>
      </c>
    </row>
    <row r="1362" spans="1:8" x14ac:dyDescent="0.25">
      <c r="A1362" t="s">
        <v>595</v>
      </c>
      <c r="B1362">
        <v>5349</v>
      </c>
      <c r="C1362" s="3">
        <v>361.9</v>
      </c>
      <c r="D1362" s="6">
        <v>44509</v>
      </c>
      <c r="E1362" t="str">
        <f>"6933"</f>
        <v>6933</v>
      </c>
      <c r="F1362" t="str">
        <f>"INV 6933"</f>
        <v>INV 6933</v>
      </c>
      <c r="G1362" s="3">
        <v>134.9</v>
      </c>
      <c r="H1362" t="str">
        <f>"INV 6933"</f>
        <v>INV 6933</v>
      </c>
    </row>
    <row r="1363" spans="1:8" x14ac:dyDescent="0.25">
      <c r="E1363" t="str">
        <f>"6966"</f>
        <v>6966</v>
      </c>
      <c r="F1363" t="str">
        <f>"EMBROIDERY/SHIRTS"</f>
        <v>EMBROIDERY/SHIRTS</v>
      </c>
      <c r="G1363" s="3">
        <v>227</v>
      </c>
      <c r="H1363" t="str">
        <f>"EMBROIDERY/SHIRTS"</f>
        <v>EMBROIDERY/SHIRTS</v>
      </c>
    </row>
    <row r="1364" spans="1:8" x14ac:dyDescent="0.25">
      <c r="A1364" t="s">
        <v>596</v>
      </c>
      <c r="B1364">
        <v>5419</v>
      </c>
      <c r="C1364" s="3">
        <v>4752.59</v>
      </c>
      <c r="D1364" s="6">
        <v>44523</v>
      </c>
      <c r="E1364" t="str">
        <f>"29465"</f>
        <v>29465</v>
      </c>
      <c r="F1364" t="str">
        <f>"INV 29465"</f>
        <v>INV 29465</v>
      </c>
      <c r="G1364" s="3">
        <v>4752.59</v>
      </c>
      <c r="H1364" t="str">
        <f>"INV 29465"</f>
        <v>INV 29465</v>
      </c>
    </row>
    <row r="1365" spans="1:8" x14ac:dyDescent="0.25">
      <c r="A1365" t="s">
        <v>597</v>
      </c>
      <c r="B1365">
        <v>137859</v>
      </c>
      <c r="C1365" s="3">
        <v>460</v>
      </c>
      <c r="D1365" s="6">
        <v>44508</v>
      </c>
      <c r="E1365" t="str">
        <f>"202111016909"</f>
        <v>202111016909</v>
      </c>
      <c r="F1365" t="str">
        <f>"FERAL HOGS"</f>
        <v>FERAL HOGS</v>
      </c>
      <c r="G1365" s="3">
        <v>170</v>
      </c>
      <c r="H1365" t="str">
        <f>"FERAL HOGS"</f>
        <v>FERAL HOGS</v>
      </c>
    </row>
    <row r="1366" spans="1:8" x14ac:dyDescent="0.25">
      <c r="E1366" t="str">
        <f>"202111016910"</f>
        <v>202111016910</v>
      </c>
      <c r="F1366" t="str">
        <f>"FERAL HOGS"</f>
        <v>FERAL HOGS</v>
      </c>
      <c r="G1366" s="3">
        <v>135</v>
      </c>
      <c r="H1366" t="str">
        <f>"FERAL HOGS"</f>
        <v>FERAL HOGS</v>
      </c>
    </row>
    <row r="1367" spans="1:8" x14ac:dyDescent="0.25">
      <c r="E1367" t="str">
        <f>"202111016911"</f>
        <v>202111016911</v>
      </c>
      <c r="F1367" t="str">
        <f>"FERAL HOGS"</f>
        <v>FERAL HOGS</v>
      </c>
      <c r="G1367" s="3">
        <v>155</v>
      </c>
      <c r="H1367" t="str">
        <f>"FERAL HOGS"</f>
        <v>FERAL HOGS</v>
      </c>
    </row>
    <row r="1368" spans="1:8" x14ac:dyDescent="0.25">
      <c r="A1368" t="s">
        <v>598</v>
      </c>
      <c r="B1368">
        <v>137860</v>
      </c>
      <c r="C1368" s="3">
        <v>2500</v>
      </c>
      <c r="D1368" s="6">
        <v>44508</v>
      </c>
      <c r="E1368" t="str">
        <f>"2822"</f>
        <v>2822</v>
      </c>
      <c r="F1368" t="str">
        <f>"CUT DOWN &amp; HAUL OFF TREE/PCT#3"</f>
        <v>CUT DOWN &amp; HAUL OFF TREE/PCT#3</v>
      </c>
      <c r="G1368" s="3">
        <v>2500</v>
      </c>
      <c r="H1368" t="str">
        <f>"CUT DOWN &amp; HAUL OFF TREE/PCT#3"</f>
        <v>CUT DOWN &amp; HAUL OFF TREE/PCT#3</v>
      </c>
    </row>
    <row r="1369" spans="1:8" x14ac:dyDescent="0.25">
      <c r="A1369" t="s">
        <v>599</v>
      </c>
      <c r="B1369">
        <v>137861</v>
      </c>
      <c r="C1369" s="3">
        <v>549.14</v>
      </c>
      <c r="D1369" s="6">
        <v>44508</v>
      </c>
      <c r="E1369" t="str">
        <f>"7012668"</f>
        <v>7012668</v>
      </c>
      <c r="F1369" t="str">
        <f>"CUST#339435/PCT#3"</f>
        <v>CUST#339435/PCT#3</v>
      </c>
      <c r="G1369" s="3">
        <v>549.14</v>
      </c>
      <c r="H1369" t="str">
        <f>"CUST#339435/PCT#3"</f>
        <v>CUST#339435/PCT#3</v>
      </c>
    </row>
    <row r="1370" spans="1:8" x14ac:dyDescent="0.25">
      <c r="A1370" t="s">
        <v>600</v>
      </c>
      <c r="B1370">
        <v>137862</v>
      </c>
      <c r="C1370" s="3">
        <v>60000</v>
      </c>
      <c r="D1370" s="6">
        <v>44508</v>
      </c>
      <c r="E1370" t="str">
        <f>"1590"</f>
        <v>1590</v>
      </c>
      <c r="F1370" t="str">
        <f>"GOTIER TRACE CULVERT/PCT#2"</f>
        <v>GOTIER TRACE CULVERT/PCT#2</v>
      </c>
      <c r="G1370" s="3">
        <v>60000</v>
      </c>
      <c r="H1370" t="str">
        <f>"GOTIER TRACE CULVERT/PCT#2"</f>
        <v>GOTIER TRACE CULVERT/PCT#2</v>
      </c>
    </row>
    <row r="1371" spans="1:8" x14ac:dyDescent="0.25">
      <c r="A1371" t="s">
        <v>600</v>
      </c>
      <c r="B1371">
        <v>138114</v>
      </c>
      <c r="C1371" s="3">
        <v>40000</v>
      </c>
      <c r="D1371" s="6">
        <v>44522</v>
      </c>
      <c r="E1371" t="str">
        <f>"1591"</f>
        <v>1591</v>
      </c>
      <c r="F1371" t="str">
        <f>"GOTIER TRACE PCT2"</f>
        <v>GOTIER TRACE PCT2</v>
      </c>
      <c r="G1371" s="3">
        <v>40000</v>
      </c>
      <c r="H1371" t="str">
        <f>"GOTIER TRACE PCT2"</f>
        <v>GOTIER TRACE PCT2</v>
      </c>
    </row>
    <row r="1372" spans="1:8" x14ac:dyDescent="0.25">
      <c r="A1372" t="s">
        <v>601</v>
      </c>
      <c r="B1372">
        <v>137863</v>
      </c>
      <c r="C1372" s="3">
        <v>400</v>
      </c>
      <c r="D1372" s="6">
        <v>44508</v>
      </c>
      <c r="E1372" t="str">
        <f>"0013829"</f>
        <v>0013829</v>
      </c>
      <c r="F1372" t="str">
        <f>"CANCELLATION-HALF DAY 423-7230"</f>
        <v>CANCELLATION-HALF DAY 423-7230</v>
      </c>
      <c r="G1372" s="3">
        <v>400</v>
      </c>
      <c r="H1372" t="str">
        <f>"CANCELLATION-HALF DAY 423-7230"</f>
        <v>CANCELLATION-HALF DAY 423-7230</v>
      </c>
    </row>
    <row r="1373" spans="1:8" x14ac:dyDescent="0.25">
      <c r="A1373" t="s">
        <v>602</v>
      </c>
      <c r="B1373">
        <v>138115</v>
      </c>
      <c r="C1373" s="3">
        <v>296.74</v>
      </c>
      <c r="D1373" s="6">
        <v>44522</v>
      </c>
      <c r="E1373" t="str">
        <f>"202111167201"</f>
        <v>202111167201</v>
      </c>
      <c r="F1373" t="str">
        <f>"INDIGENT HEALTH"</f>
        <v>INDIGENT HEALTH</v>
      </c>
      <c r="G1373" s="3">
        <v>296.74</v>
      </c>
      <c r="H1373" t="str">
        <f>"INDIGENT HEALTH"</f>
        <v>INDIGENT HEALTH</v>
      </c>
    </row>
    <row r="1374" spans="1:8" x14ac:dyDescent="0.25">
      <c r="A1374" t="s">
        <v>603</v>
      </c>
      <c r="B1374">
        <v>138116</v>
      </c>
      <c r="C1374" s="3">
        <v>135.27000000000001</v>
      </c>
      <c r="D1374" s="6">
        <v>44522</v>
      </c>
      <c r="E1374" t="str">
        <f>"517755"</f>
        <v>517755</v>
      </c>
      <c r="F1374" t="str">
        <f>"INV 517755"</f>
        <v>INV 517755</v>
      </c>
      <c r="G1374" s="3">
        <v>135.27000000000001</v>
      </c>
      <c r="H1374" t="str">
        <f>"INV 517755"</f>
        <v>INV 517755</v>
      </c>
    </row>
    <row r="1375" spans="1:8" x14ac:dyDescent="0.25">
      <c r="A1375" t="s">
        <v>604</v>
      </c>
      <c r="B1375">
        <v>137864</v>
      </c>
      <c r="C1375" s="3">
        <v>2771.97</v>
      </c>
      <c r="D1375" s="6">
        <v>44508</v>
      </c>
      <c r="E1375" t="str">
        <f>"9014687161"</f>
        <v>9014687161</v>
      </c>
      <c r="F1375" t="str">
        <f>"CUST#1000113183/ANIMAL SERVICE"</f>
        <v>CUST#1000113183/ANIMAL SERVICE</v>
      </c>
      <c r="G1375" s="3">
        <v>1307.5999999999999</v>
      </c>
      <c r="H1375" t="str">
        <f>"CUST#1000113183/ANIMAL SERVICE"</f>
        <v>CUST#1000113183/ANIMAL SERVICE</v>
      </c>
    </row>
    <row r="1376" spans="1:8" x14ac:dyDescent="0.25">
      <c r="E1376" t="str">
        <f>"9014702076"</f>
        <v>9014702076</v>
      </c>
      <c r="F1376" t="str">
        <f>"CUST#1000113183/ANIMAL SHELTER"</f>
        <v>CUST#1000113183/ANIMAL SHELTER</v>
      </c>
      <c r="G1376" s="3">
        <v>815.6</v>
      </c>
      <c r="H1376" t="str">
        <f>"CUST#1000113183/ANIMAL SHELTER"</f>
        <v>CUST#1000113183/ANIMAL SHELTER</v>
      </c>
    </row>
    <row r="1377" spans="1:8" x14ac:dyDescent="0.25">
      <c r="E1377" t="str">
        <f>"9014719914"</f>
        <v>9014719914</v>
      </c>
      <c r="F1377" t="str">
        <f>"CUST#1000113183/ANIMAL SHELTER"</f>
        <v>CUST#1000113183/ANIMAL SHELTER</v>
      </c>
      <c r="G1377" s="3">
        <v>389</v>
      </c>
      <c r="H1377" t="str">
        <f>"CUST#1000113183/ANIMAL SHELTER"</f>
        <v>CUST#1000113183/ANIMAL SHELTER</v>
      </c>
    </row>
    <row r="1378" spans="1:8" x14ac:dyDescent="0.25">
      <c r="E1378" t="str">
        <f>"9014735606"</f>
        <v>9014735606</v>
      </c>
      <c r="F1378" t="str">
        <f>"CUST#1000113183/ANIMAL SERVICE"</f>
        <v>CUST#1000113183/ANIMAL SERVICE</v>
      </c>
      <c r="G1378" s="3">
        <v>123.46</v>
      </c>
      <c r="H1378" t="str">
        <f>"CUST#1000113183/ANIMAL SERVICE"</f>
        <v>CUST#1000113183/ANIMAL SERVICE</v>
      </c>
    </row>
    <row r="1379" spans="1:8" x14ac:dyDescent="0.25">
      <c r="E1379" t="str">
        <f>"9014735617"</f>
        <v>9014735617</v>
      </c>
      <c r="F1379" t="str">
        <f>"CUST#1000113183/ANIMAL SERVICE"</f>
        <v>CUST#1000113183/ANIMAL SERVICE</v>
      </c>
      <c r="G1379" s="3">
        <v>136.31</v>
      </c>
      <c r="H1379" t="str">
        <f>"CUST#1000113183/ANIMAL SERVICE"</f>
        <v>CUST#1000113183/ANIMAL SERVICE</v>
      </c>
    </row>
    <row r="1380" spans="1:8" x14ac:dyDescent="0.25">
      <c r="A1380" t="s">
        <v>604</v>
      </c>
      <c r="B1380">
        <v>138117</v>
      </c>
      <c r="C1380" s="3">
        <v>1590.4</v>
      </c>
      <c r="D1380" s="6">
        <v>44522</v>
      </c>
      <c r="E1380" t="str">
        <f>"9014797059"</f>
        <v>9014797059</v>
      </c>
      <c r="F1380" t="str">
        <f>"CUST#1000113183/ANIMAL SVCS"</f>
        <v>CUST#1000113183/ANIMAL SVCS</v>
      </c>
      <c r="G1380" s="3">
        <v>1055.2</v>
      </c>
      <c r="H1380" t="str">
        <f>"CUST#1000113183/ANIMAL SVCS"</f>
        <v>CUST#1000113183/ANIMAL SVCS</v>
      </c>
    </row>
    <row r="1381" spans="1:8" x14ac:dyDescent="0.25">
      <c r="E1381" t="str">
        <f>"9014845456"</f>
        <v>9014845456</v>
      </c>
      <c r="F1381" t="str">
        <f>"CUST#1000113183/ANIMAL SERVICE"</f>
        <v>CUST#1000113183/ANIMAL SERVICE</v>
      </c>
      <c r="G1381" s="3">
        <v>535.20000000000005</v>
      </c>
      <c r="H1381" t="str">
        <f>"CUST#1000113183/ANIMAL SERVICE"</f>
        <v>CUST#1000113183/ANIMAL SERVICE</v>
      </c>
    </row>
    <row r="1382" spans="1:8" x14ac:dyDescent="0.25">
      <c r="A1382" t="s">
        <v>605</v>
      </c>
      <c r="B1382">
        <v>138118</v>
      </c>
      <c r="C1382" s="3">
        <v>1315</v>
      </c>
      <c r="D1382" s="6">
        <v>44522</v>
      </c>
      <c r="E1382" t="str">
        <f>"2316021"</f>
        <v>2316021</v>
      </c>
      <c r="F1382" t="str">
        <f>"ZOHO AdSelfService Plus"</f>
        <v>ZOHO AdSelfService Plus</v>
      </c>
      <c r="G1382" s="3">
        <v>1315</v>
      </c>
      <c r="H1382" t="str">
        <f>"ZOHO AdSelfService Plus"</f>
        <v>ZOHO AdSelfService Plus</v>
      </c>
    </row>
    <row r="1383" spans="1:8" x14ac:dyDescent="0.25">
      <c r="A1383" t="s">
        <v>606</v>
      </c>
      <c r="B1383">
        <v>137865</v>
      </c>
      <c r="C1383" s="3">
        <v>3190</v>
      </c>
      <c r="D1383" s="6">
        <v>44508</v>
      </c>
      <c r="E1383" t="str">
        <f>"2184837"</f>
        <v>2184837</v>
      </c>
      <c r="F1383" t="str">
        <f>"ABRAXSYS CORPORATION"</f>
        <v>ABRAXSYS CORPORATION</v>
      </c>
      <c r="G1383" s="3">
        <v>3085</v>
      </c>
      <c r="H1383" t="str">
        <f>"Touchscreen"</f>
        <v>Touchscreen</v>
      </c>
    </row>
    <row r="1384" spans="1:8" x14ac:dyDescent="0.25">
      <c r="E1384" t="str">
        <f>""</f>
        <v/>
      </c>
      <c r="F1384" t="str">
        <f>""</f>
        <v/>
      </c>
      <c r="G1384" s="3">
        <v>105</v>
      </c>
      <c r="H1384" t="str">
        <f>"Shipping"</f>
        <v>Shipping</v>
      </c>
    </row>
    <row r="1385" spans="1:8" x14ac:dyDescent="0.25">
      <c r="A1385" t="s">
        <v>21</v>
      </c>
      <c r="B1385">
        <v>137866</v>
      </c>
      <c r="C1385" s="3">
        <v>63.49</v>
      </c>
      <c r="D1385" s="6">
        <v>44508</v>
      </c>
      <c r="E1385" t="str">
        <f>"202111026930"</f>
        <v>202111026930</v>
      </c>
      <c r="F1385" t="str">
        <f>"ACCT#015397/JUVENILE BOOT CAMP"</f>
        <v>ACCT#015397/JUVENILE BOOT CAMP</v>
      </c>
      <c r="G1385" s="3">
        <v>63.49</v>
      </c>
      <c r="H1385" t="str">
        <f>"ACCT#015397/JUVENILE BOOT CAMP"</f>
        <v>ACCT#015397/JUVENILE BOOT CAMP</v>
      </c>
    </row>
    <row r="1386" spans="1:8" x14ac:dyDescent="0.25">
      <c r="A1386" t="s">
        <v>43</v>
      </c>
      <c r="B1386">
        <v>138119</v>
      </c>
      <c r="C1386" s="3">
        <v>2.71</v>
      </c>
      <c r="D1386" s="6">
        <v>44522</v>
      </c>
      <c r="E1386" t="str">
        <f>"R495772-2021"</f>
        <v>R495772-2021</v>
      </c>
      <c r="F1386" t="str">
        <f>"R495772 - 2021 TAXES"</f>
        <v>R495772 - 2021 TAXES</v>
      </c>
      <c r="G1386" s="3">
        <v>2.71</v>
      </c>
      <c r="H1386" t="str">
        <f>"R495772 - 2021 TAXES"</f>
        <v>R495772 - 2021 TAXES</v>
      </c>
    </row>
    <row r="1387" spans="1:8" x14ac:dyDescent="0.25">
      <c r="A1387" t="s">
        <v>55</v>
      </c>
      <c r="B1387">
        <v>137874</v>
      </c>
      <c r="C1387" s="3">
        <v>260.7</v>
      </c>
      <c r="D1387" s="6">
        <v>44510</v>
      </c>
      <c r="E1387" t="str">
        <f>"202111107118"</f>
        <v>202111107118</v>
      </c>
      <c r="F1387" t="str">
        <f>"ACCT#5000057374 / 11032021"</f>
        <v>ACCT#5000057374 / 11032021</v>
      </c>
      <c r="G1387" s="3">
        <v>260.7</v>
      </c>
      <c r="H1387" t="str">
        <f>"ACCT#5000057374 / 11032021"</f>
        <v>ACCT#5000057374 / 11032021</v>
      </c>
    </row>
    <row r="1388" spans="1:8" x14ac:dyDescent="0.25">
      <c r="A1388" t="s">
        <v>607</v>
      </c>
      <c r="B1388">
        <v>5392</v>
      </c>
      <c r="C1388" s="3">
        <v>4800</v>
      </c>
      <c r="D1388" s="6">
        <v>44509</v>
      </c>
      <c r="E1388" t="str">
        <f>"142"</f>
        <v>142</v>
      </c>
      <c r="F1388" t="str">
        <f>"Lonestar Rd"</f>
        <v>Lonestar Rd</v>
      </c>
      <c r="G1388" s="3">
        <v>4800</v>
      </c>
      <c r="H1388" t="str">
        <f>"INV. 142"</f>
        <v>INV. 142</v>
      </c>
    </row>
    <row r="1389" spans="1:8" x14ac:dyDescent="0.25">
      <c r="A1389" t="s">
        <v>77</v>
      </c>
      <c r="B1389">
        <v>1466</v>
      </c>
      <c r="C1389" s="3">
        <v>130.9</v>
      </c>
      <c r="D1389" s="6">
        <v>44522</v>
      </c>
      <c r="E1389" t="str">
        <f>"202111227403"</f>
        <v>202111227403</v>
      </c>
      <c r="F1389" t="str">
        <f>"ACCT #72-6513 / 11032021"</f>
        <v>ACCT #72-6513 / 11032021</v>
      </c>
      <c r="G1389" s="3">
        <v>130.9</v>
      </c>
      <c r="H1389" t="str">
        <f>"ACCT #72-6513 / 11032021"</f>
        <v>ACCT #72-6513 / 11032021</v>
      </c>
    </row>
    <row r="1390" spans="1:8" x14ac:dyDescent="0.25">
      <c r="A1390" t="s">
        <v>608</v>
      </c>
      <c r="B1390">
        <v>1427</v>
      </c>
      <c r="C1390" s="3">
        <v>73500</v>
      </c>
      <c r="D1390" s="6">
        <v>44522</v>
      </c>
      <c r="E1390" t="str">
        <f>"202111167185"</f>
        <v>202111167185</v>
      </c>
      <c r="F1390" t="str">
        <f>"DEBT SERVICE PMT - SERIES 2012"</f>
        <v>DEBT SERVICE PMT - SERIES 2012</v>
      </c>
      <c r="G1390" s="3">
        <v>20175</v>
      </c>
      <c r="H1390" t="str">
        <f>"DEBT SERVICE PMT - SERIES 2012"</f>
        <v>DEBT SERVICE PMT - SERIES 2012</v>
      </c>
    </row>
    <row r="1391" spans="1:8" x14ac:dyDescent="0.25">
      <c r="E1391" t="str">
        <f>"202111167187"</f>
        <v>202111167187</v>
      </c>
      <c r="F1391" t="str">
        <f>"DEBT SERVICE PMT - SERIES 2013"</f>
        <v>DEBT SERVICE PMT - SERIES 2013</v>
      </c>
      <c r="G1391" s="3">
        <v>53325</v>
      </c>
      <c r="H1391" t="str">
        <f>"DEBT SERVICE PMT - SERIES 2013"</f>
        <v>DEBT SERVICE PMT - SERIES 2013</v>
      </c>
    </row>
    <row r="1392" spans="1:8" x14ac:dyDescent="0.25">
      <c r="A1392" t="s">
        <v>143</v>
      </c>
      <c r="B1392">
        <v>5391</v>
      </c>
      <c r="C1392" s="3">
        <v>204646</v>
      </c>
      <c r="D1392" s="6">
        <v>44509</v>
      </c>
      <c r="E1392" t="str">
        <f>"42785236220"</f>
        <v>42785236220</v>
      </c>
      <c r="F1392" t="str">
        <f>"Tri-lam Roofing"</f>
        <v>Tri-lam Roofing</v>
      </c>
      <c r="G1392" s="3">
        <v>44822</v>
      </c>
      <c r="H1392" t="str">
        <f>"Tri-lam Roofing"</f>
        <v>Tri-lam Roofing</v>
      </c>
    </row>
    <row r="1393" spans="1:8" x14ac:dyDescent="0.25">
      <c r="E1393" t="str">
        <f>"42785236406/5322"</f>
        <v>42785236406/5322</v>
      </c>
      <c r="F1393" t="str">
        <f>"Brazos Urethane"</f>
        <v>Brazos Urethane</v>
      </c>
      <c r="G1393" s="3">
        <v>159824</v>
      </c>
      <c r="H1393" t="str">
        <f>"Brazos Urethane"</f>
        <v>Brazos Urethane</v>
      </c>
    </row>
    <row r="1394" spans="1:8" x14ac:dyDescent="0.25">
      <c r="A1394" t="s">
        <v>157</v>
      </c>
      <c r="B1394">
        <v>5468</v>
      </c>
      <c r="C1394" s="3">
        <v>116401</v>
      </c>
      <c r="D1394" s="6">
        <v>44523</v>
      </c>
      <c r="E1394" t="str">
        <f>"202111177215"</f>
        <v>202111177215</v>
      </c>
      <c r="F1394" t="str">
        <f>"BD HOLT CO"</f>
        <v>BD HOLT CO</v>
      </c>
      <c r="G1394" s="3">
        <v>146401</v>
      </c>
      <c r="H1394" t="str">
        <f>"Caterpillar Roller"</f>
        <v>Caterpillar Roller</v>
      </c>
    </row>
    <row r="1395" spans="1:8" x14ac:dyDescent="0.25">
      <c r="E1395" t="str">
        <f>""</f>
        <v/>
      </c>
      <c r="F1395" t="str">
        <f>""</f>
        <v/>
      </c>
      <c r="G1395" s="3">
        <v>-30000</v>
      </c>
      <c r="H1395" t="str">
        <f>"Trade In"</f>
        <v>Trade In</v>
      </c>
    </row>
    <row r="1396" spans="1:8" x14ac:dyDescent="0.25">
      <c r="A1396" t="s">
        <v>609</v>
      </c>
      <c r="B1396">
        <v>137867</v>
      </c>
      <c r="C1396" s="3">
        <v>14339.06</v>
      </c>
      <c r="D1396" s="6">
        <v>44508</v>
      </c>
      <c r="E1396" t="str">
        <f>"BB177-21"</f>
        <v>BB177-21</v>
      </c>
      <c r="F1396" t="str">
        <f>"KUBOTA TRACTOR CORPORATION"</f>
        <v>KUBOTA TRACTOR CORPORATION</v>
      </c>
      <c r="G1396" s="3">
        <v>14339.06</v>
      </c>
      <c r="H1396" t="str">
        <f>"Kubota Zero Turn"</f>
        <v>Kubota Zero Turn</v>
      </c>
    </row>
    <row r="1397" spans="1:8" x14ac:dyDescent="0.25">
      <c r="A1397" t="s">
        <v>199</v>
      </c>
      <c r="B1397">
        <v>5393</v>
      </c>
      <c r="C1397" s="3">
        <v>26240</v>
      </c>
      <c r="D1397" s="6">
        <v>44509</v>
      </c>
      <c r="E1397" t="str">
        <f>"4410"</f>
        <v>4410</v>
      </c>
      <c r="F1397" t="str">
        <f>"DR-4272-029/HMGP ADMIN"</f>
        <v>DR-4272-029/HMGP ADMIN</v>
      </c>
      <c r="G1397" s="3">
        <v>10165</v>
      </c>
      <c r="H1397" t="str">
        <f>"DR-4272-029/HMGP ADMIN"</f>
        <v>DR-4272-029/HMGP ADMIN</v>
      </c>
    </row>
    <row r="1398" spans="1:8" x14ac:dyDescent="0.25">
      <c r="E1398" t="str">
        <f>"4414"</f>
        <v>4414</v>
      </c>
      <c r="F1398" t="str">
        <f>"HMAP"</f>
        <v>HMAP</v>
      </c>
      <c r="G1398" s="3">
        <v>475</v>
      </c>
      <c r="H1398" t="str">
        <f>"HMAP"</f>
        <v>HMAP</v>
      </c>
    </row>
    <row r="1399" spans="1:8" x14ac:dyDescent="0.25">
      <c r="E1399" t="str">
        <f>"4416"</f>
        <v>4416</v>
      </c>
      <c r="F1399" t="str">
        <f>"FMAG ADMIN"</f>
        <v>FMAG ADMIN</v>
      </c>
      <c r="G1399" s="3">
        <v>15600</v>
      </c>
      <c r="H1399" t="str">
        <f>"FMAG ADMIN"</f>
        <v>FMAG ADMIN</v>
      </c>
    </row>
    <row r="1400" spans="1:8" x14ac:dyDescent="0.25">
      <c r="A1400" t="s">
        <v>199</v>
      </c>
      <c r="B1400">
        <v>5469</v>
      </c>
      <c r="C1400" s="3">
        <v>8700</v>
      </c>
      <c r="D1400" s="6">
        <v>44523</v>
      </c>
      <c r="E1400" t="str">
        <f>"4471"</f>
        <v>4471</v>
      </c>
      <c r="F1400" t="str">
        <f>"HMGP ADMIN"</f>
        <v>HMGP ADMIN</v>
      </c>
      <c r="G1400" s="3">
        <v>8225</v>
      </c>
      <c r="H1400" t="str">
        <f>"HMGP ADMIN"</f>
        <v>HMGP ADMIN</v>
      </c>
    </row>
    <row r="1401" spans="1:8" x14ac:dyDescent="0.25">
      <c r="E1401" t="str">
        <f>"4476"</f>
        <v>4476</v>
      </c>
      <c r="F1401" t="str">
        <f>"PLANNING GRANT HMAP"</f>
        <v>PLANNING GRANT HMAP</v>
      </c>
      <c r="G1401" s="3">
        <v>475</v>
      </c>
      <c r="H1401" t="str">
        <f>"PLANNING GRANT HMAP"</f>
        <v>PLANNING GRANT HMAP</v>
      </c>
    </row>
    <row r="1402" spans="1:8" x14ac:dyDescent="0.25">
      <c r="A1402" t="s">
        <v>610</v>
      </c>
      <c r="B1402">
        <v>137868</v>
      </c>
      <c r="C1402" s="3">
        <v>40923.81</v>
      </c>
      <c r="D1402" s="6">
        <v>44508</v>
      </c>
      <c r="E1402" t="str">
        <f>"21-2049-1"</f>
        <v>21-2049-1</v>
      </c>
      <c r="F1402" t="str">
        <f>"LEE CONSTRUCTION &amp; MAINTENANCE"</f>
        <v>LEE CONSTRUCTION &amp; MAINTENANCE</v>
      </c>
      <c r="G1402" s="3">
        <v>40923.81</v>
      </c>
      <c r="H1402" t="str">
        <f>"Anex Proj Pay App 1"</f>
        <v>Anex Proj Pay App 1</v>
      </c>
    </row>
    <row r="1403" spans="1:8" x14ac:dyDescent="0.25">
      <c r="A1403" t="s">
        <v>214</v>
      </c>
      <c r="B1403">
        <v>137869</v>
      </c>
      <c r="C1403" s="3">
        <v>56.8</v>
      </c>
      <c r="D1403" s="6">
        <v>44508</v>
      </c>
      <c r="E1403" t="str">
        <f>"919900"</f>
        <v>919900</v>
      </c>
      <c r="F1403" t="str">
        <f>"Statement"</f>
        <v>Statement</v>
      </c>
      <c r="G1403" s="3">
        <v>56.8</v>
      </c>
      <c r="H1403" t="str">
        <f>"919900"</f>
        <v>919900</v>
      </c>
    </row>
    <row r="1404" spans="1:8" x14ac:dyDescent="0.25">
      <c r="A1404" t="s">
        <v>459</v>
      </c>
      <c r="B1404">
        <v>138120</v>
      </c>
      <c r="C1404" s="3">
        <v>159800</v>
      </c>
      <c r="D1404" s="6">
        <v>44522</v>
      </c>
      <c r="E1404" t="str">
        <f>"1187065232"</f>
        <v>1187065232</v>
      </c>
      <c r="F1404" t="str">
        <f>"Lifecycle"</f>
        <v>Lifecycle</v>
      </c>
      <c r="G1404" s="3">
        <v>159800</v>
      </c>
      <c r="H1404" t="str">
        <f>"Final Payment"</f>
        <v>Final Payment</v>
      </c>
    </row>
    <row r="1405" spans="1:8" x14ac:dyDescent="0.25">
      <c r="A1405" t="s">
        <v>611</v>
      </c>
      <c r="B1405">
        <v>137870</v>
      </c>
      <c r="C1405" s="3">
        <v>4000</v>
      </c>
      <c r="D1405" s="6">
        <v>44508</v>
      </c>
      <c r="E1405" t="str">
        <f>"74047-MG"</f>
        <v>74047-MG</v>
      </c>
      <c r="F1405" t="str">
        <f>"GRANT REIMBURSEMENT REQUEST"</f>
        <v>GRANT REIMBURSEMENT REQUEST</v>
      </c>
      <c r="G1405" s="3">
        <v>4000</v>
      </c>
      <c r="H1405" t="str">
        <f>"GRANT REIMBURSEMENT REQUEST"</f>
        <v>GRANT REIMBURSEMENT REQUEST</v>
      </c>
    </row>
    <row r="1406" spans="1:8" x14ac:dyDescent="0.25">
      <c r="A1406" t="s">
        <v>612</v>
      </c>
      <c r="B1406">
        <v>137871</v>
      </c>
      <c r="C1406" s="3">
        <v>32511.42</v>
      </c>
      <c r="D1406" s="6">
        <v>44508</v>
      </c>
      <c r="E1406" t="str">
        <f>"PJTIV110031"</f>
        <v>PJTIV110031</v>
      </c>
      <c r="F1406" t="str">
        <f>"AXIS Camera Kits"</f>
        <v>AXIS Camera Kits</v>
      </c>
      <c r="G1406" s="3">
        <v>32511.42</v>
      </c>
      <c r="H1406" t="str">
        <f>"AXIS Camera Kits"</f>
        <v>AXIS Camera Kits</v>
      </c>
    </row>
    <row r="1407" spans="1:8" x14ac:dyDescent="0.25">
      <c r="A1407" t="s">
        <v>570</v>
      </c>
      <c r="B1407">
        <v>138121</v>
      </c>
      <c r="C1407" s="3">
        <v>252.97</v>
      </c>
      <c r="D1407" s="6">
        <v>44522</v>
      </c>
      <c r="E1407" t="str">
        <f>"100317674"</f>
        <v>100317674</v>
      </c>
      <c r="F1407" t="str">
        <f>"Statement"</f>
        <v>Statement</v>
      </c>
      <c r="G1407" s="3">
        <v>252.97</v>
      </c>
      <c r="H1407" t="str">
        <f>"100317674"</f>
        <v>100317674</v>
      </c>
    </row>
    <row r="1408" spans="1:8" x14ac:dyDescent="0.25">
      <c r="A1408" t="s">
        <v>613</v>
      </c>
      <c r="B1408">
        <v>138122</v>
      </c>
      <c r="C1408" s="3">
        <v>24030</v>
      </c>
      <c r="D1408" s="6">
        <v>44522</v>
      </c>
      <c r="E1408" t="str">
        <f>"85137"</f>
        <v>85137</v>
      </c>
      <c r="F1408" t="str">
        <f>"BCP491921/PCT#4"</f>
        <v>BCP491921/PCT#4</v>
      </c>
      <c r="G1408" s="3">
        <v>8010</v>
      </c>
      <c r="H1408" t="str">
        <f>"BCP491921/PCT#4"</f>
        <v>BCP491921/PCT#4</v>
      </c>
    </row>
    <row r="1409" spans="1:8" x14ac:dyDescent="0.25">
      <c r="E1409" t="str">
        <f>"85146"</f>
        <v>85146</v>
      </c>
      <c r="F1409" t="str">
        <f>"BCP49921/PCT#4"</f>
        <v>BCP49921/PCT#4</v>
      </c>
      <c r="G1409" s="3">
        <v>8010</v>
      </c>
      <c r="H1409" t="str">
        <f>"BCP49921/PCT#4"</f>
        <v>BCP49921/PCT#4</v>
      </c>
    </row>
    <row r="1410" spans="1:8" x14ac:dyDescent="0.25">
      <c r="E1410" t="str">
        <f>"85183"</f>
        <v>85183</v>
      </c>
      <c r="F1410" t="str">
        <f>"BCP49921/PCT#4"</f>
        <v>BCP49921/PCT#4</v>
      </c>
      <c r="G1410" s="3">
        <v>8010</v>
      </c>
      <c r="H1410" t="str">
        <f>"BCP49921/PCT#4"</f>
        <v>BCP49921/PCT#4</v>
      </c>
    </row>
    <row r="1411" spans="1:8" x14ac:dyDescent="0.25">
      <c r="A1411" t="s">
        <v>614</v>
      </c>
      <c r="B1411">
        <v>1473</v>
      </c>
      <c r="C1411" s="3">
        <v>3799.14</v>
      </c>
      <c r="D1411" s="6">
        <v>44529</v>
      </c>
      <c r="E1411" t="str">
        <f>"AS 202111097073"</f>
        <v>AS 202111097073</v>
      </c>
      <c r="F1411" t="str">
        <f t="shared" ref="F1411:F1424" si="13">"ALLSTATE"</f>
        <v>ALLSTATE</v>
      </c>
      <c r="G1411" s="3">
        <v>333.96</v>
      </c>
      <c r="H1411" t="str">
        <f t="shared" ref="H1411:H1424" si="14">"ALLSTATE"</f>
        <v>ALLSTATE</v>
      </c>
    </row>
    <row r="1412" spans="1:8" x14ac:dyDescent="0.25">
      <c r="E1412" t="str">
        <f>"AS 202111097074"</f>
        <v>AS 202111097074</v>
      </c>
      <c r="F1412" t="str">
        <f t="shared" si="13"/>
        <v>ALLSTATE</v>
      </c>
      <c r="G1412" s="3">
        <v>27.14</v>
      </c>
      <c r="H1412" t="str">
        <f t="shared" si="14"/>
        <v>ALLSTATE</v>
      </c>
    </row>
    <row r="1413" spans="1:8" x14ac:dyDescent="0.25">
      <c r="E1413" t="str">
        <f>"AS 202111227341"</f>
        <v>AS 202111227341</v>
      </c>
      <c r="F1413" t="str">
        <f t="shared" si="13"/>
        <v>ALLSTATE</v>
      </c>
      <c r="G1413" s="3">
        <v>333.96</v>
      </c>
      <c r="H1413" t="str">
        <f t="shared" si="14"/>
        <v>ALLSTATE</v>
      </c>
    </row>
    <row r="1414" spans="1:8" x14ac:dyDescent="0.25">
      <c r="E1414" t="str">
        <f>"AS 202111227342"</f>
        <v>AS 202111227342</v>
      </c>
      <c r="F1414" t="str">
        <f t="shared" si="13"/>
        <v>ALLSTATE</v>
      </c>
      <c r="G1414" s="3">
        <v>27.14</v>
      </c>
      <c r="H1414" t="str">
        <f t="shared" si="14"/>
        <v>ALLSTATE</v>
      </c>
    </row>
    <row r="1415" spans="1:8" x14ac:dyDescent="0.25">
      <c r="E1415" t="str">
        <f>"ASD202111097073"</f>
        <v>ASD202111097073</v>
      </c>
      <c r="F1415" t="str">
        <f t="shared" si="13"/>
        <v>ALLSTATE</v>
      </c>
      <c r="G1415" s="3">
        <v>156.19999999999999</v>
      </c>
      <c r="H1415" t="str">
        <f t="shared" si="14"/>
        <v>ALLSTATE</v>
      </c>
    </row>
    <row r="1416" spans="1:8" x14ac:dyDescent="0.25">
      <c r="E1416" t="str">
        <f>"ASD202111227341"</f>
        <v>ASD202111227341</v>
      </c>
      <c r="F1416" t="str">
        <f t="shared" si="13"/>
        <v>ALLSTATE</v>
      </c>
      <c r="G1416" s="3">
        <v>156.19999999999999</v>
      </c>
      <c r="H1416" t="str">
        <f t="shared" si="14"/>
        <v>ALLSTATE</v>
      </c>
    </row>
    <row r="1417" spans="1:8" x14ac:dyDescent="0.25">
      <c r="E1417" t="str">
        <f>"ASI202111097073"</f>
        <v>ASI202111097073</v>
      </c>
      <c r="F1417" t="str">
        <f t="shared" si="13"/>
        <v>ALLSTATE</v>
      </c>
      <c r="G1417" s="3">
        <v>430.62</v>
      </c>
      <c r="H1417" t="str">
        <f t="shared" si="14"/>
        <v>ALLSTATE</v>
      </c>
    </row>
    <row r="1418" spans="1:8" x14ac:dyDescent="0.25">
      <c r="E1418" t="str">
        <f>"ASI202111097074"</f>
        <v>ASI202111097074</v>
      </c>
      <c r="F1418" t="str">
        <f t="shared" si="13"/>
        <v>ALLSTATE</v>
      </c>
      <c r="G1418" s="3">
        <v>67.150000000000006</v>
      </c>
      <c r="H1418" t="str">
        <f t="shared" si="14"/>
        <v>ALLSTATE</v>
      </c>
    </row>
    <row r="1419" spans="1:8" x14ac:dyDescent="0.25">
      <c r="E1419" t="str">
        <f>"ASI202111227341"</f>
        <v>ASI202111227341</v>
      </c>
      <c r="F1419" t="str">
        <f t="shared" si="13"/>
        <v>ALLSTATE</v>
      </c>
      <c r="G1419" s="3">
        <v>430.62</v>
      </c>
      <c r="H1419" t="str">
        <f t="shared" si="14"/>
        <v>ALLSTATE</v>
      </c>
    </row>
    <row r="1420" spans="1:8" x14ac:dyDescent="0.25">
      <c r="E1420" t="str">
        <f>"ASI202111227342"</f>
        <v>ASI202111227342</v>
      </c>
      <c r="F1420" t="str">
        <f t="shared" si="13"/>
        <v>ALLSTATE</v>
      </c>
      <c r="G1420" s="3">
        <v>67.150000000000006</v>
      </c>
      <c r="H1420" t="str">
        <f t="shared" si="14"/>
        <v>ALLSTATE</v>
      </c>
    </row>
    <row r="1421" spans="1:8" x14ac:dyDescent="0.25">
      <c r="E1421" t="str">
        <f>"AST202111097073"</f>
        <v>AST202111097073</v>
      </c>
      <c r="F1421" t="str">
        <f t="shared" si="13"/>
        <v>ALLSTATE</v>
      </c>
      <c r="G1421" s="3">
        <v>853.09</v>
      </c>
      <c r="H1421" t="str">
        <f t="shared" si="14"/>
        <v>ALLSTATE</v>
      </c>
    </row>
    <row r="1422" spans="1:8" x14ac:dyDescent="0.25">
      <c r="E1422" t="str">
        <f>"AST202111097074"</f>
        <v>AST202111097074</v>
      </c>
      <c r="F1422" t="str">
        <f t="shared" si="13"/>
        <v>ALLSTATE</v>
      </c>
      <c r="G1422" s="3">
        <v>31.41</v>
      </c>
      <c r="H1422" t="str">
        <f t="shared" si="14"/>
        <v>ALLSTATE</v>
      </c>
    </row>
    <row r="1423" spans="1:8" x14ac:dyDescent="0.25">
      <c r="E1423" t="str">
        <f>"AST202111227341"</f>
        <v>AST202111227341</v>
      </c>
      <c r="F1423" t="str">
        <f t="shared" si="13"/>
        <v>ALLSTATE</v>
      </c>
      <c r="G1423" s="3">
        <v>853.09</v>
      </c>
      <c r="H1423" t="str">
        <f t="shared" si="14"/>
        <v>ALLSTATE</v>
      </c>
    </row>
    <row r="1424" spans="1:8" x14ac:dyDescent="0.25">
      <c r="E1424" t="str">
        <f>"AST202111227342"</f>
        <v>AST202111227342</v>
      </c>
      <c r="F1424" t="str">
        <f t="shared" si="13"/>
        <v>ALLSTATE</v>
      </c>
      <c r="G1424" s="3">
        <v>31.41</v>
      </c>
      <c r="H1424" t="str">
        <f t="shared" si="14"/>
        <v>ALLSTATE</v>
      </c>
    </row>
    <row r="1425" spans="1:8" x14ac:dyDescent="0.25">
      <c r="A1425" t="s">
        <v>615</v>
      </c>
      <c r="B1425">
        <v>1468</v>
      </c>
      <c r="C1425" s="3">
        <v>28159.51</v>
      </c>
      <c r="D1425" s="6">
        <v>44529</v>
      </c>
      <c r="E1425" t="str">
        <f>"202111297416"</f>
        <v>202111297416</v>
      </c>
      <c r="F1425" t="str">
        <f>"RETIREE INS - NOVEMBER 2021"</f>
        <v>RETIREE INS - NOVEMBER 2021</v>
      </c>
      <c r="G1425" s="3">
        <v>28159.51</v>
      </c>
      <c r="H1425" t="str">
        <f>"RETIREE INS - NOVEMBER 2021"</f>
        <v>RETIREE INS - NOVEMBER 2021</v>
      </c>
    </row>
    <row r="1426" spans="1:8" x14ac:dyDescent="0.25">
      <c r="A1426" t="s">
        <v>616</v>
      </c>
      <c r="B1426">
        <v>1414</v>
      </c>
      <c r="C1426" s="3">
        <v>1992.42</v>
      </c>
      <c r="D1426" s="6">
        <v>44512</v>
      </c>
      <c r="E1426" t="str">
        <f>"DHM202111097075"</f>
        <v>DHM202111097075</v>
      </c>
      <c r="F1426" t="str">
        <f>"AP - DENTAL HMO"</f>
        <v>AP - DENTAL HMO</v>
      </c>
      <c r="G1426" s="3">
        <v>23.98</v>
      </c>
      <c r="H1426" t="str">
        <f>"AP - DENTAL HMO"</f>
        <v>AP - DENTAL HMO</v>
      </c>
    </row>
    <row r="1427" spans="1:8" x14ac:dyDescent="0.25">
      <c r="E1427" t="str">
        <f>"DTX202111097075"</f>
        <v>DTX202111097075</v>
      </c>
      <c r="F1427" t="str">
        <f>"AP - TEXAS DENTAL"</f>
        <v>AP - TEXAS DENTAL</v>
      </c>
      <c r="G1427" s="3">
        <v>474.59</v>
      </c>
      <c r="H1427" t="str">
        <f>"AP - TEXAS DENTAL"</f>
        <v>AP - TEXAS DENTAL</v>
      </c>
    </row>
    <row r="1428" spans="1:8" x14ac:dyDescent="0.25">
      <c r="E1428" t="str">
        <f>"FD 202111097075"</f>
        <v>FD 202111097075</v>
      </c>
      <c r="F1428" t="str">
        <f>"AP - FT DEARBORN PRE-TAX"</f>
        <v>AP - FT DEARBORN PRE-TAX</v>
      </c>
      <c r="G1428" s="3">
        <v>71.900000000000006</v>
      </c>
      <c r="H1428" t="str">
        <f>"AP - FT DEARBORN PRE-TAX"</f>
        <v>AP - FT DEARBORN PRE-TAX</v>
      </c>
    </row>
    <row r="1429" spans="1:8" x14ac:dyDescent="0.25">
      <c r="E1429" t="str">
        <f>"FDT202111097075"</f>
        <v>FDT202111097075</v>
      </c>
      <c r="F1429" t="str">
        <f>"AP - FT DEARBORN AFTER TAX"</f>
        <v>AP - FT DEARBORN AFTER TAX</v>
      </c>
      <c r="G1429" s="3">
        <v>84.09</v>
      </c>
      <c r="H1429" t="str">
        <f>"AP - FT DEARBORN AFTER TAX"</f>
        <v>AP - FT DEARBORN AFTER TAX</v>
      </c>
    </row>
    <row r="1430" spans="1:8" x14ac:dyDescent="0.25">
      <c r="E1430" t="str">
        <f>"FLX202111097075"</f>
        <v>FLX202111097075</v>
      </c>
      <c r="F1430" t="str">
        <f>"AP - TEX FLEX"</f>
        <v>AP - TEX FLEX</v>
      </c>
      <c r="G1430" s="3">
        <v>50</v>
      </c>
      <c r="H1430" t="str">
        <f>"AP - TEX FLEX"</f>
        <v>AP - TEX FLEX</v>
      </c>
    </row>
    <row r="1431" spans="1:8" x14ac:dyDescent="0.25">
      <c r="E1431" t="str">
        <f>"HSA202111097075"</f>
        <v>HSA202111097075</v>
      </c>
      <c r="F1431" t="str">
        <f>"AP- HSA"</f>
        <v>AP- HSA</v>
      </c>
      <c r="G1431" s="3">
        <v>20</v>
      </c>
      <c r="H1431" t="str">
        <f>"AP- HSA"</f>
        <v>AP- HSA</v>
      </c>
    </row>
    <row r="1432" spans="1:8" x14ac:dyDescent="0.25">
      <c r="E1432" t="str">
        <f>"MHS202111097075"</f>
        <v>MHS202111097075</v>
      </c>
      <c r="F1432" t="str">
        <f>"AP - HEALTH SELECT MEDICAL"</f>
        <v>AP - HEALTH SELECT MEDICAL</v>
      </c>
      <c r="G1432" s="3">
        <v>1090.68</v>
      </c>
      <c r="H1432" t="str">
        <f>"AP - HEALTH SELECT MEDICAL"</f>
        <v>AP - HEALTH SELECT MEDICAL</v>
      </c>
    </row>
    <row r="1433" spans="1:8" x14ac:dyDescent="0.25">
      <c r="E1433" t="str">
        <f>"MSW202111097075"</f>
        <v>MSW202111097075</v>
      </c>
      <c r="F1433" t="str">
        <f>"AP - SCOTT &amp; WHITE MEDICAL"</f>
        <v>AP - SCOTT &amp; WHITE MEDICAL</v>
      </c>
      <c r="G1433" s="3">
        <v>119.69</v>
      </c>
      <c r="H1433" t="str">
        <f>"AP - SCOTT &amp; WHITE MEDICAL"</f>
        <v>AP - SCOTT &amp; WHITE MEDICAL</v>
      </c>
    </row>
    <row r="1434" spans="1:8" x14ac:dyDescent="0.25">
      <c r="E1434" t="str">
        <f>"SPE202111097075"</f>
        <v>SPE202111097075</v>
      </c>
      <c r="F1434" t="str">
        <f>"AP - STATE VISION"</f>
        <v>AP - STATE VISION</v>
      </c>
      <c r="G1434" s="3">
        <v>57.49</v>
      </c>
      <c r="H1434" t="str">
        <f>"AP - STATE VISION"</f>
        <v>AP - STATE VISION</v>
      </c>
    </row>
    <row r="1435" spans="1:8" x14ac:dyDescent="0.25">
      <c r="A1435" t="s">
        <v>616</v>
      </c>
      <c r="B1435">
        <v>1422</v>
      </c>
      <c r="C1435" s="3">
        <v>1971.4</v>
      </c>
      <c r="D1435" s="6">
        <v>44524</v>
      </c>
      <c r="E1435" t="str">
        <f>"DHM202111227343"</f>
        <v>DHM202111227343</v>
      </c>
      <c r="F1435" t="str">
        <f>"AP - DENTAL HMO"</f>
        <v>AP - DENTAL HMO</v>
      </c>
      <c r="G1435" s="3">
        <v>14.4</v>
      </c>
      <c r="H1435" t="str">
        <f>"AP - DENTAL HMO"</f>
        <v>AP - DENTAL HMO</v>
      </c>
    </row>
    <row r="1436" spans="1:8" x14ac:dyDescent="0.25">
      <c r="E1436" t="str">
        <f>"DTX202111227343"</f>
        <v>DTX202111227343</v>
      </c>
      <c r="F1436" t="str">
        <f>"AP - TEXAS DENTAL"</f>
        <v>AP - TEXAS DENTAL</v>
      </c>
      <c r="G1436" s="3">
        <v>474.59</v>
      </c>
      <c r="H1436" t="str">
        <f>"AP - TEXAS DENTAL"</f>
        <v>AP - TEXAS DENTAL</v>
      </c>
    </row>
    <row r="1437" spans="1:8" x14ac:dyDescent="0.25">
      <c r="E1437" t="str">
        <f>"FD 202111227343"</f>
        <v>FD 202111227343</v>
      </c>
      <c r="F1437" t="str">
        <f>"AP - FT DEARBORN PRE-TAX"</f>
        <v>AP - FT DEARBORN PRE-TAX</v>
      </c>
      <c r="G1437" s="3">
        <v>68.48</v>
      </c>
      <c r="H1437" t="str">
        <f>"AP - FT DEARBORN PRE-TAX"</f>
        <v>AP - FT DEARBORN PRE-TAX</v>
      </c>
    </row>
    <row r="1438" spans="1:8" x14ac:dyDescent="0.25">
      <c r="E1438" t="str">
        <f>"FDT202111227343"</f>
        <v>FDT202111227343</v>
      </c>
      <c r="F1438" t="str">
        <f>"AP - FT DEARBORN AFTER TAX"</f>
        <v>AP - FT DEARBORN AFTER TAX</v>
      </c>
      <c r="G1438" s="3">
        <v>81.180000000000007</v>
      </c>
      <c r="H1438" t="str">
        <f>"AP - FT DEARBORN AFTER TAX"</f>
        <v>AP - FT DEARBORN AFTER TAX</v>
      </c>
    </row>
    <row r="1439" spans="1:8" x14ac:dyDescent="0.25">
      <c r="E1439" t="str">
        <f>"FLX202111227343"</f>
        <v>FLX202111227343</v>
      </c>
      <c r="F1439" t="str">
        <f>"AP - TEX FLEX"</f>
        <v>AP - TEX FLEX</v>
      </c>
      <c r="G1439" s="3">
        <v>50</v>
      </c>
      <c r="H1439" t="str">
        <f>"AP - TEX FLEX"</f>
        <v>AP - TEX FLEX</v>
      </c>
    </row>
    <row r="1440" spans="1:8" x14ac:dyDescent="0.25">
      <c r="E1440" t="str">
        <f>"HSA202111227343"</f>
        <v>HSA202111227343</v>
      </c>
      <c r="F1440" t="str">
        <f>"AP- HSA"</f>
        <v>AP- HSA</v>
      </c>
      <c r="G1440" s="3">
        <v>20</v>
      </c>
      <c r="H1440" t="str">
        <f>"AP- HSA"</f>
        <v>AP- HSA</v>
      </c>
    </row>
    <row r="1441" spans="1:8" x14ac:dyDescent="0.25">
      <c r="E1441" t="str">
        <f>"MHS202111227343"</f>
        <v>MHS202111227343</v>
      </c>
      <c r="F1441" t="str">
        <f>"AP - HEALTH SELECT MEDICAL"</f>
        <v>AP - HEALTH SELECT MEDICAL</v>
      </c>
      <c r="G1441" s="3">
        <v>1090.68</v>
      </c>
      <c r="H1441" t="str">
        <f>"AP - HEALTH SELECT MEDICAL"</f>
        <v>AP - HEALTH SELECT MEDICAL</v>
      </c>
    </row>
    <row r="1442" spans="1:8" x14ac:dyDescent="0.25">
      <c r="E1442" t="str">
        <f>"MSW202111227343"</f>
        <v>MSW202111227343</v>
      </c>
      <c r="F1442" t="str">
        <f>"AP - SCOTT &amp; WHITE MEDICAL"</f>
        <v>AP - SCOTT &amp; WHITE MEDICAL</v>
      </c>
      <c r="G1442" s="3">
        <v>119.69</v>
      </c>
      <c r="H1442" t="str">
        <f>"AP - SCOTT &amp; WHITE MEDICAL"</f>
        <v>AP - SCOTT &amp; WHITE MEDICAL</v>
      </c>
    </row>
    <row r="1443" spans="1:8" x14ac:dyDescent="0.25">
      <c r="E1443" t="str">
        <f>"SPE202111227343"</f>
        <v>SPE202111227343</v>
      </c>
      <c r="F1443" t="str">
        <f>"AP - STATE VISION"</f>
        <v>AP - STATE VISION</v>
      </c>
      <c r="G1443" s="3">
        <v>52.38</v>
      </c>
      <c r="H1443" t="str">
        <f>"AP - STATE VISION"</f>
        <v>AP - STATE VISION</v>
      </c>
    </row>
    <row r="1444" spans="1:8" x14ac:dyDescent="0.25">
      <c r="A1444" t="s">
        <v>617</v>
      </c>
      <c r="B1444">
        <v>1474</v>
      </c>
      <c r="C1444" s="3">
        <v>4578.5200000000004</v>
      </c>
      <c r="D1444" s="6">
        <v>44529</v>
      </c>
      <c r="E1444" t="str">
        <f>"202111297421"</f>
        <v>202111297421</v>
      </c>
      <c r="F1444" t="str">
        <f>"ADJ - NOVEMBER 2021"</f>
        <v>ADJ - NOVEMBER 2021</v>
      </c>
      <c r="G1444" s="3">
        <v>56.8</v>
      </c>
      <c r="H1444" t="str">
        <f>"ADJ - NOVEMBER 2021"</f>
        <v>ADJ - NOVEMBER 2021</v>
      </c>
    </row>
    <row r="1445" spans="1:8" x14ac:dyDescent="0.25">
      <c r="E1445" t="str">
        <f>"202111297422"</f>
        <v>202111297422</v>
      </c>
      <c r="F1445" t="str">
        <f>"ROUNDING - NOVEMBER 2021"</f>
        <v>ROUNDING - NOVEMBER 2021</v>
      </c>
      <c r="G1445" s="3">
        <v>3.68</v>
      </c>
      <c r="H1445" t="str">
        <f>"ROUNDING - NOVEMBER 2021"</f>
        <v>ROUNDING - NOVEMBER 2021</v>
      </c>
    </row>
    <row r="1446" spans="1:8" x14ac:dyDescent="0.25">
      <c r="E1446" t="str">
        <f>"CL 202111097073"</f>
        <v>CL 202111097073</v>
      </c>
      <c r="F1446" t="str">
        <f t="shared" ref="F1446:F1463" si="15">"COLONIAL"</f>
        <v>COLONIAL</v>
      </c>
      <c r="G1446" s="3">
        <v>564.51</v>
      </c>
      <c r="H1446" t="str">
        <f t="shared" ref="H1446:H1463" si="16">"COLONIAL"</f>
        <v>COLONIAL</v>
      </c>
    </row>
    <row r="1447" spans="1:8" x14ac:dyDescent="0.25">
      <c r="E1447" t="str">
        <f>"CL 202111097074"</f>
        <v>CL 202111097074</v>
      </c>
      <c r="F1447" t="str">
        <f t="shared" si="15"/>
        <v>COLONIAL</v>
      </c>
      <c r="G1447" s="3">
        <v>14.49</v>
      </c>
      <c r="H1447" t="str">
        <f t="shared" si="16"/>
        <v>COLONIAL</v>
      </c>
    </row>
    <row r="1448" spans="1:8" x14ac:dyDescent="0.25">
      <c r="E1448" t="str">
        <f>"CL 202111227341"</f>
        <v>CL 202111227341</v>
      </c>
      <c r="F1448" t="str">
        <f t="shared" si="15"/>
        <v>COLONIAL</v>
      </c>
      <c r="G1448" s="3">
        <v>531.83000000000004</v>
      </c>
      <c r="H1448" t="str">
        <f t="shared" si="16"/>
        <v>COLONIAL</v>
      </c>
    </row>
    <row r="1449" spans="1:8" x14ac:dyDescent="0.25">
      <c r="E1449" t="str">
        <f>"CL 202111227342"</f>
        <v>CL 202111227342</v>
      </c>
      <c r="F1449" t="str">
        <f t="shared" si="15"/>
        <v>COLONIAL</v>
      </c>
      <c r="G1449" s="3">
        <v>14.49</v>
      </c>
      <c r="H1449" t="str">
        <f t="shared" si="16"/>
        <v>COLONIAL</v>
      </c>
    </row>
    <row r="1450" spans="1:8" x14ac:dyDescent="0.25">
      <c r="E1450" t="str">
        <f>"CLC202111097073"</f>
        <v>CLC202111097073</v>
      </c>
      <c r="F1450" t="str">
        <f t="shared" si="15"/>
        <v>COLONIAL</v>
      </c>
      <c r="G1450" s="3">
        <v>33.99</v>
      </c>
      <c r="H1450" t="str">
        <f t="shared" si="16"/>
        <v>COLONIAL</v>
      </c>
    </row>
    <row r="1451" spans="1:8" x14ac:dyDescent="0.25">
      <c r="E1451" t="str">
        <f>"CLC202111227341"</f>
        <v>CLC202111227341</v>
      </c>
      <c r="F1451" t="str">
        <f t="shared" si="15"/>
        <v>COLONIAL</v>
      </c>
      <c r="G1451" s="3">
        <v>33.99</v>
      </c>
      <c r="H1451" t="str">
        <f t="shared" si="16"/>
        <v>COLONIAL</v>
      </c>
    </row>
    <row r="1452" spans="1:8" x14ac:dyDescent="0.25">
      <c r="E1452" t="str">
        <f>"CLI202111097073"</f>
        <v>CLI202111097073</v>
      </c>
      <c r="F1452" t="str">
        <f t="shared" si="15"/>
        <v>COLONIAL</v>
      </c>
      <c r="G1452" s="3">
        <v>535.84</v>
      </c>
      <c r="H1452" t="str">
        <f t="shared" si="16"/>
        <v>COLONIAL</v>
      </c>
    </row>
    <row r="1453" spans="1:8" x14ac:dyDescent="0.25">
      <c r="E1453" t="str">
        <f>"CLI202111227341"</f>
        <v>CLI202111227341</v>
      </c>
      <c r="F1453" t="str">
        <f t="shared" si="15"/>
        <v>COLONIAL</v>
      </c>
      <c r="G1453" s="3">
        <v>546.14</v>
      </c>
      <c r="H1453" t="str">
        <f t="shared" si="16"/>
        <v>COLONIAL</v>
      </c>
    </row>
    <row r="1454" spans="1:8" x14ac:dyDescent="0.25">
      <c r="E1454" t="str">
        <f>"CLK202111097073"</f>
        <v>CLK202111097073</v>
      </c>
      <c r="F1454" t="str">
        <f t="shared" si="15"/>
        <v>COLONIAL</v>
      </c>
      <c r="G1454" s="3">
        <v>6.2</v>
      </c>
      <c r="H1454" t="str">
        <f t="shared" si="16"/>
        <v>COLONIAL</v>
      </c>
    </row>
    <row r="1455" spans="1:8" x14ac:dyDescent="0.25">
      <c r="E1455" t="str">
        <f>"CLK202111227341"</f>
        <v>CLK202111227341</v>
      </c>
      <c r="F1455" t="str">
        <f t="shared" si="15"/>
        <v>COLONIAL</v>
      </c>
      <c r="G1455" s="3">
        <v>6.2</v>
      </c>
      <c r="H1455" t="str">
        <f t="shared" si="16"/>
        <v>COLONIAL</v>
      </c>
    </row>
    <row r="1456" spans="1:8" x14ac:dyDescent="0.25">
      <c r="E1456" t="str">
        <f>"CLS202111097073"</f>
        <v>CLS202111097073</v>
      </c>
      <c r="F1456" t="str">
        <f t="shared" si="15"/>
        <v>COLONIAL</v>
      </c>
      <c r="G1456" s="3">
        <v>322.91000000000003</v>
      </c>
      <c r="H1456" t="str">
        <f t="shared" si="16"/>
        <v>COLONIAL</v>
      </c>
    </row>
    <row r="1457" spans="1:8" x14ac:dyDescent="0.25">
      <c r="E1457" t="str">
        <f>"CLS202111227341"</f>
        <v>CLS202111227341</v>
      </c>
      <c r="F1457" t="str">
        <f t="shared" si="15"/>
        <v>COLONIAL</v>
      </c>
      <c r="G1457" s="3">
        <v>303.64999999999998</v>
      </c>
      <c r="H1457" t="str">
        <f t="shared" si="16"/>
        <v>COLONIAL</v>
      </c>
    </row>
    <row r="1458" spans="1:8" x14ac:dyDescent="0.25">
      <c r="E1458" t="str">
        <f>"CLT202111097073"</f>
        <v>CLT202111097073</v>
      </c>
      <c r="F1458" t="str">
        <f t="shared" si="15"/>
        <v>COLONIAL</v>
      </c>
      <c r="G1458" s="3">
        <v>349.2</v>
      </c>
      <c r="H1458" t="str">
        <f t="shared" si="16"/>
        <v>COLONIAL</v>
      </c>
    </row>
    <row r="1459" spans="1:8" x14ac:dyDescent="0.25">
      <c r="E1459" t="str">
        <f>"CLT202111227341"</f>
        <v>CLT202111227341</v>
      </c>
      <c r="F1459" t="str">
        <f t="shared" si="15"/>
        <v>COLONIAL</v>
      </c>
      <c r="G1459" s="3">
        <v>349.2</v>
      </c>
      <c r="H1459" t="str">
        <f t="shared" si="16"/>
        <v>COLONIAL</v>
      </c>
    </row>
    <row r="1460" spans="1:8" x14ac:dyDescent="0.25">
      <c r="E1460" t="str">
        <f>"CLU202111097073"</f>
        <v>CLU202111097073</v>
      </c>
      <c r="F1460" t="str">
        <f t="shared" si="15"/>
        <v>COLONIAL</v>
      </c>
      <c r="G1460" s="3">
        <v>61.22</v>
      </c>
      <c r="H1460" t="str">
        <f t="shared" si="16"/>
        <v>COLONIAL</v>
      </c>
    </row>
    <row r="1461" spans="1:8" x14ac:dyDescent="0.25">
      <c r="E1461" t="str">
        <f>"CLU202111227341"</f>
        <v>CLU202111227341</v>
      </c>
      <c r="F1461" t="str">
        <f t="shared" si="15"/>
        <v>COLONIAL</v>
      </c>
      <c r="G1461" s="3">
        <v>61.22</v>
      </c>
      <c r="H1461" t="str">
        <f t="shared" si="16"/>
        <v>COLONIAL</v>
      </c>
    </row>
    <row r="1462" spans="1:8" x14ac:dyDescent="0.25">
      <c r="E1462" t="str">
        <f>"CLW202111097073"</f>
        <v>CLW202111097073</v>
      </c>
      <c r="F1462" t="str">
        <f t="shared" si="15"/>
        <v>COLONIAL</v>
      </c>
      <c r="G1462" s="3">
        <v>391.48</v>
      </c>
      <c r="H1462" t="str">
        <f t="shared" si="16"/>
        <v>COLONIAL</v>
      </c>
    </row>
    <row r="1463" spans="1:8" x14ac:dyDescent="0.25">
      <c r="E1463" t="str">
        <f>"CLW202111227341"</f>
        <v>CLW202111227341</v>
      </c>
      <c r="F1463" t="str">
        <f t="shared" si="15"/>
        <v>COLONIAL</v>
      </c>
      <c r="G1463" s="3">
        <v>391.48</v>
      </c>
      <c r="H1463" t="str">
        <f t="shared" si="16"/>
        <v>COLONIAL</v>
      </c>
    </row>
    <row r="1464" spans="1:8" x14ac:dyDescent="0.25">
      <c r="A1464" t="s">
        <v>618</v>
      </c>
      <c r="B1464">
        <v>1469</v>
      </c>
      <c r="C1464" s="3">
        <v>42303.91</v>
      </c>
      <c r="D1464" s="6">
        <v>44529</v>
      </c>
      <c r="E1464" t="str">
        <f>"202111297417"</f>
        <v>202111297417</v>
      </c>
      <c r="F1464" t="str">
        <f>"RETIREE INS - NOVEMBER 2021"</f>
        <v>RETIREE INS - NOVEMBER 2021</v>
      </c>
      <c r="G1464" s="3">
        <v>3332.69</v>
      </c>
      <c r="H1464" t="str">
        <f>"RETIREE INS - NOVEMBER 2021"</f>
        <v>RETIREE INS - NOVEMBER 2021</v>
      </c>
    </row>
    <row r="1465" spans="1:8" x14ac:dyDescent="0.25">
      <c r="E1465" t="str">
        <f>"202111297418"</f>
        <v>202111297418</v>
      </c>
      <c r="F1465" t="str">
        <f>"COBRA - NOVEMBER 2021"</f>
        <v>COBRA - NOVEMBER 2021</v>
      </c>
      <c r="G1465" s="3">
        <v>81.61</v>
      </c>
      <c r="H1465" t="str">
        <f>"COBRA - NOVEMBER 2021"</f>
        <v>COBRA - NOVEMBER 2021</v>
      </c>
    </row>
    <row r="1466" spans="1:8" x14ac:dyDescent="0.25">
      <c r="E1466" t="str">
        <f>"202111297419"</f>
        <v>202111297419</v>
      </c>
      <c r="F1466" t="str">
        <f>"ADJ - NOVEMBER 2021"</f>
        <v>ADJ - NOVEMBER 2021</v>
      </c>
      <c r="G1466" s="3">
        <v>112.66</v>
      </c>
      <c r="H1466" t="str">
        <f>"ADJ - NOVEMBER 2021"</f>
        <v>ADJ - NOVEMBER 2021</v>
      </c>
    </row>
    <row r="1467" spans="1:8" x14ac:dyDescent="0.25">
      <c r="E1467" t="str">
        <f>"ADC202111097073"</f>
        <v>ADC202111097073</v>
      </c>
      <c r="F1467" t="str">
        <f t="shared" ref="F1467:F1479" si="17">"GUARDIAN"</f>
        <v>GUARDIAN</v>
      </c>
      <c r="G1467" s="3">
        <v>4.75</v>
      </c>
      <c r="H1467" t="str">
        <f t="shared" ref="H1467:H1530" si="18">"GUARDIAN"</f>
        <v>GUARDIAN</v>
      </c>
    </row>
    <row r="1468" spans="1:8" x14ac:dyDescent="0.25">
      <c r="E1468" t="str">
        <f>"ADC202111097074"</f>
        <v>ADC202111097074</v>
      </c>
      <c r="F1468" t="str">
        <f t="shared" si="17"/>
        <v>GUARDIAN</v>
      </c>
      <c r="G1468" s="3">
        <v>0.16</v>
      </c>
      <c r="H1468" t="str">
        <f t="shared" si="18"/>
        <v>GUARDIAN</v>
      </c>
    </row>
    <row r="1469" spans="1:8" x14ac:dyDescent="0.25">
      <c r="E1469" t="str">
        <f>"ADC202111227341"</f>
        <v>ADC202111227341</v>
      </c>
      <c r="F1469" t="str">
        <f t="shared" si="17"/>
        <v>GUARDIAN</v>
      </c>
      <c r="G1469" s="3">
        <v>4.45</v>
      </c>
      <c r="H1469" t="str">
        <f t="shared" si="18"/>
        <v>GUARDIAN</v>
      </c>
    </row>
    <row r="1470" spans="1:8" x14ac:dyDescent="0.25">
      <c r="E1470" t="str">
        <f>"ADC202111227342"</f>
        <v>ADC202111227342</v>
      </c>
      <c r="F1470" t="str">
        <f t="shared" si="17"/>
        <v>GUARDIAN</v>
      </c>
      <c r="G1470" s="3">
        <v>0.16</v>
      </c>
      <c r="H1470" t="str">
        <f t="shared" si="18"/>
        <v>GUARDIAN</v>
      </c>
    </row>
    <row r="1471" spans="1:8" x14ac:dyDescent="0.25">
      <c r="E1471" t="str">
        <f>"ADE202111097073"</f>
        <v>ADE202111097073</v>
      </c>
      <c r="F1471" t="str">
        <f t="shared" si="17"/>
        <v>GUARDIAN</v>
      </c>
      <c r="G1471" s="3">
        <v>220.23</v>
      </c>
      <c r="H1471" t="str">
        <f t="shared" si="18"/>
        <v>GUARDIAN</v>
      </c>
    </row>
    <row r="1472" spans="1:8" x14ac:dyDescent="0.25">
      <c r="E1472" t="str">
        <f>"ADE202111097074"</f>
        <v>ADE202111097074</v>
      </c>
      <c r="F1472" t="str">
        <f t="shared" si="17"/>
        <v>GUARDIAN</v>
      </c>
      <c r="G1472" s="3">
        <v>5.55</v>
      </c>
      <c r="H1472" t="str">
        <f t="shared" si="18"/>
        <v>GUARDIAN</v>
      </c>
    </row>
    <row r="1473" spans="5:8" x14ac:dyDescent="0.25">
      <c r="E1473" t="str">
        <f>"ADE202111227341"</f>
        <v>ADE202111227341</v>
      </c>
      <c r="F1473" t="str">
        <f t="shared" si="17"/>
        <v>GUARDIAN</v>
      </c>
      <c r="G1473" s="3">
        <v>217.23</v>
      </c>
      <c r="H1473" t="str">
        <f t="shared" si="18"/>
        <v>GUARDIAN</v>
      </c>
    </row>
    <row r="1474" spans="5:8" x14ac:dyDescent="0.25">
      <c r="E1474" t="str">
        <f>"ADE202111227342"</f>
        <v>ADE202111227342</v>
      </c>
      <c r="F1474" t="str">
        <f t="shared" si="17"/>
        <v>GUARDIAN</v>
      </c>
      <c r="G1474" s="3">
        <v>5.55</v>
      </c>
      <c r="H1474" t="str">
        <f t="shared" si="18"/>
        <v>GUARDIAN</v>
      </c>
    </row>
    <row r="1475" spans="5:8" x14ac:dyDescent="0.25">
      <c r="E1475" t="str">
        <f>"ADS202111097073"</f>
        <v>ADS202111097073</v>
      </c>
      <c r="F1475" t="str">
        <f t="shared" si="17"/>
        <v>GUARDIAN</v>
      </c>
      <c r="G1475" s="3">
        <v>37.29</v>
      </c>
      <c r="H1475" t="str">
        <f t="shared" si="18"/>
        <v>GUARDIAN</v>
      </c>
    </row>
    <row r="1476" spans="5:8" x14ac:dyDescent="0.25">
      <c r="E1476" t="str">
        <f>"ADS202111097074"</f>
        <v>ADS202111097074</v>
      </c>
      <c r="F1476" t="str">
        <f t="shared" si="17"/>
        <v>GUARDIAN</v>
      </c>
      <c r="G1476" s="3">
        <v>0.53</v>
      </c>
      <c r="H1476" t="str">
        <f t="shared" si="18"/>
        <v>GUARDIAN</v>
      </c>
    </row>
    <row r="1477" spans="5:8" x14ac:dyDescent="0.25">
      <c r="E1477" t="str">
        <f>"ADS202111227341"</f>
        <v>ADS202111227341</v>
      </c>
      <c r="F1477" t="str">
        <f t="shared" si="17"/>
        <v>GUARDIAN</v>
      </c>
      <c r="G1477" s="3">
        <v>37.29</v>
      </c>
      <c r="H1477" t="str">
        <f t="shared" si="18"/>
        <v>GUARDIAN</v>
      </c>
    </row>
    <row r="1478" spans="5:8" x14ac:dyDescent="0.25">
      <c r="E1478" t="str">
        <f>"ADS202111227342"</f>
        <v>ADS202111227342</v>
      </c>
      <c r="F1478" t="str">
        <f t="shared" si="17"/>
        <v>GUARDIAN</v>
      </c>
      <c r="G1478" s="3">
        <v>0.53</v>
      </c>
      <c r="H1478" t="str">
        <f t="shared" si="18"/>
        <v>GUARDIAN</v>
      </c>
    </row>
    <row r="1479" spans="5:8" x14ac:dyDescent="0.25">
      <c r="E1479" t="str">
        <f>"GDC202111097073"</f>
        <v>GDC202111097073</v>
      </c>
      <c r="F1479" t="str">
        <f t="shared" si="17"/>
        <v>GUARDIAN</v>
      </c>
      <c r="G1479" s="3">
        <v>15.39</v>
      </c>
      <c r="H1479" t="str">
        <f t="shared" si="18"/>
        <v>GUARDIAN</v>
      </c>
    </row>
    <row r="1480" spans="5:8" x14ac:dyDescent="0.25">
      <c r="E1480" t="str">
        <f>""</f>
        <v/>
      </c>
      <c r="F1480" t="str">
        <f>""</f>
        <v/>
      </c>
      <c r="G1480" s="3">
        <v>14.66</v>
      </c>
      <c r="H1480" t="str">
        <f t="shared" si="18"/>
        <v>GUARDIAN</v>
      </c>
    </row>
    <row r="1481" spans="5:8" x14ac:dyDescent="0.25">
      <c r="E1481" t="str">
        <f>""</f>
        <v/>
      </c>
      <c r="F1481" t="str">
        <f>""</f>
        <v/>
      </c>
      <c r="G1481" s="3">
        <v>30.78</v>
      </c>
      <c r="H1481" t="str">
        <f t="shared" si="18"/>
        <v>GUARDIAN</v>
      </c>
    </row>
    <row r="1482" spans="5:8" x14ac:dyDescent="0.25">
      <c r="E1482" t="str">
        <f>""</f>
        <v/>
      </c>
      <c r="F1482" t="str">
        <f>""</f>
        <v/>
      </c>
      <c r="G1482" s="3">
        <v>46.17</v>
      </c>
      <c r="H1482" t="str">
        <f t="shared" si="18"/>
        <v>GUARDIAN</v>
      </c>
    </row>
    <row r="1483" spans="5:8" x14ac:dyDescent="0.25">
      <c r="E1483" t="str">
        <f>""</f>
        <v/>
      </c>
      <c r="F1483" t="str">
        <f>""</f>
        <v/>
      </c>
      <c r="G1483" s="3">
        <v>13.2</v>
      </c>
      <c r="H1483" t="str">
        <f t="shared" si="18"/>
        <v>GUARDIAN</v>
      </c>
    </row>
    <row r="1484" spans="5:8" x14ac:dyDescent="0.25">
      <c r="E1484" t="str">
        <f>""</f>
        <v/>
      </c>
      <c r="F1484" t="str">
        <f>""</f>
        <v/>
      </c>
      <c r="G1484" s="3">
        <v>15.39</v>
      </c>
      <c r="H1484" t="str">
        <f t="shared" si="18"/>
        <v>GUARDIAN</v>
      </c>
    </row>
    <row r="1485" spans="5:8" x14ac:dyDescent="0.25">
      <c r="E1485" t="str">
        <f>""</f>
        <v/>
      </c>
      <c r="F1485" t="str">
        <f>""</f>
        <v/>
      </c>
      <c r="G1485" s="3">
        <v>30.78</v>
      </c>
      <c r="H1485" t="str">
        <f t="shared" si="18"/>
        <v>GUARDIAN</v>
      </c>
    </row>
    <row r="1486" spans="5:8" x14ac:dyDescent="0.25">
      <c r="E1486" t="str">
        <f>""</f>
        <v/>
      </c>
      <c r="F1486" t="str">
        <f>""</f>
        <v/>
      </c>
      <c r="G1486" s="3">
        <v>15.39</v>
      </c>
      <c r="H1486" t="str">
        <f t="shared" si="18"/>
        <v>GUARDIAN</v>
      </c>
    </row>
    <row r="1487" spans="5:8" x14ac:dyDescent="0.25">
      <c r="E1487" t="str">
        <f>""</f>
        <v/>
      </c>
      <c r="F1487" t="str">
        <f>""</f>
        <v/>
      </c>
      <c r="G1487" s="3">
        <v>30.78</v>
      </c>
      <c r="H1487" t="str">
        <f t="shared" si="18"/>
        <v>GUARDIAN</v>
      </c>
    </row>
    <row r="1488" spans="5:8" x14ac:dyDescent="0.25">
      <c r="E1488" t="str">
        <f>""</f>
        <v/>
      </c>
      <c r="F1488" t="str">
        <f>""</f>
        <v/>
      </c>
      <c r="G1488" s="3">
        <v>45.43</v>
      </c>
      <c r="H1488" t="str">
        <f t="shared" si="18"/>
        <v>GUARDIAN</v>
      </c>
    </row>
    <row r="1489" spans="5:8" x14ac:dyDescent="0.25">
      <c r="E1489" t="str">
        <f>""</f>
        <v/>
      </c>
      <c r="F1489" t="str">
        <f>""</f>
        <v/>
      </c>
      <c r="G1489" s="3">
        <v>61.56</v>
      </c>
      <c r="H1489" t="str">
        <f t="shared" si="18"/>
        <v>GUARDIAN</v>
      </c>
    </row>
    <row r="1490" spans="5:8" x14ac:dyDescent="0.25">
      <c r="E1490" t="str">
        <f>""</f>
        <v/>
      </c>
      <c r="F1490" t="str">
        <f>""</f>
        <v/>
      </c>
      <c r="G1490" s="3">
        <v>15.39</v>
      </c>
      <c r="H1490" t="str">
        <f t="shared" si="18"/>
        <v>GUARDIAN</v>
      </c>
    </row>
    <row r="1491" spans="5:8" x14ac:dyDescent="0.25">
      <c r="E1491" t="str">
        <f>""</f>
        <v/>
      </c>
      <c r="F1491" t="str">
        <f>""</f>
        <v/>
      </c>
      <c r="G1491" s="3">
        <v>61.56</v>
      </c>
      <c r="H1491" t="str">
        <f t="shared" si="18"/>
        <v>GUARDIAN</v>
      </c>
    </row>
    <row r="1492" spans="5:8" x14ac:dyDescent="0.25">
      <c r="E1492" t="str">
        <f>""</f>
        <v/>
      </c>
      <c r="F1492" t="str">
        <f>""</f>
        <v/>
      </c>
      <c r="G1492" s="3">
        <v>15.39</v>
      </c>
      <c r="H1492" t="str">
        <f t="shared" si="18"/>
        <v>GUARDIAN</v>
      </c>
    </row>
    <row r="1493" spans="5:8" x14ac:dyDescent="0.25">
      <c r="E1493" t="str">
        <f>""</f>
        <v/>
      </c>
      <c r="F1493" t="str">
        <f>""</f>
        <v/>
      </c>
      <c r="G1493" s="3">
        <v>30.78</v>
      </c>
      <c r="H1493" t="str">
        <f t="shared" si="18"/>
        <v>GUARDIAN</v>
      </c>
    </row>
    <row r="1494" spans="5:8" x14ac:dyDescent="0.25">
      <c r="E1494" t="str">
        <f>""</f>
        <v/>
      </c>
      <c r="F1494" t="str">
        <f>""</f>
        <v/>
      </c>
      <c r="G1494" s="3">
        <v>15.39</v>
      </c>
      <c r="H1494" t="str">
        <f t="shared" si="18"/>
        <v>GUARDIAN</v>
      </c>
    </row>
    <row r="1495" spans="5:8" x14ac:dyDescent="0.25">
      <c r="E1495" t="str">
        <f>""</f>
        <v/>
      </c>
      <c r="F1495" t="str">
        <f>""</f>
        <v/>
      </c>
      <c r="G1495" s="3">
        <v>61.56</v>
      </c>
      <c r="H1495" t="str">
        <f t="shared" si="18"/>
        <v>GUARDIAN</v>
      </c>
    </row>
    <row r="1496" spans="5:8" x14ac:dyDescent="0.25">
      <c r="E1496" t="str">
        <f>""</f>
        <v/>
      </c>
      <c r="F1496" t="str">
        <f>""</f>
        <v/>
      </c>
      <c r="G1496" s="3">
        <v>15.39</v>
      </c>
      <c r="H1496" t="str">
        <f t="shared" si="18"/>
        <v>GUARDIAN</v>
      </c>
    </row>
    <row r="1497" spans="5:8" x14ac:dyDescent="0.25">
      <c r="E1497" t="str">
        <f>""</f>
        <v/>
      </c>
      <c r="F1497" t="str">
        <f>""</f>
        <v/>
      </c>
      <c r="G1497" s="3">
        <v>235.11</v>
      </c>
      <c r="H1497" t="str">
        <f t="shared" si="18"/>
        <v>GUARDIAN</v>
      </c>
    </row>
    <row r="1498" spans="5:8" x14ac:dyDescent="0.25">
      <c r="E1498" t="str">
        <f>""</f>
        <v/>
      </c>
      <c r="F1498" t="str">
        <f>""</f>
        <v/>
      </c>
      <c r="G1498" s="3">
        <v>14.93</v>
      </c>
      <c r="H1498" t="str">
        <f t="shared" si="18"/>
        <v>GUARDIAN</v>
      </c>
    </row>
    <row r="1499" spans="5:8" x14ac:dyDescent="0.25">
      <c r="E1499" t="str">
        <f>""</f>
        <v/>
      </c>
      <c r="F1499" t="str">
        <f>""</f>
        <v/>
      </c>
      <c r="G1499" s="3">
        <v>242.44</v>
      </c>
      <c r="H1499" t="str">
        <f t="shared" si="18"/>
        <v>GUARDIAN</v>
      </c>
    </row>
    <row r="1500" spans="5:8" x14ac:dyDescent="0.25">
      <c r="E1500" t="str">
        <f>""</f>
        <v/>
      </c>
      <c r="F1500" t="str">
        <f>""</f>
        <v/>
      </c>
      <c r="G1500" s="3">
        <v>15.39</v>
      </c>
      <c r="H1500" t="str">
        <f t="shared" si="18"/>
        <v>GUARDIAN</v>
      </c>
    </row>
    <row r="1501" spans="5:8" x14ac:dyDescent="0.25">
      <c r="E1501" t="str">
        <f>""</f>
        <v/>
      </c>
      <c r="F1501" t="str">
        <f>""</f>
        <v/>
      </c>
      <c r="G1501" s="3">
        <v>15.39</v>
      </c>
      <c r="H1501" t="str">
        <f t="shared" si="18"/>
        <v>GUARDIAN</v>
      </c>
    </row>
    <row r="1502" spans="5:8" x14ac:dyDescent="0.25">
      <c r="E1502" t="str">
        <f>""</f>
        <v/>
      </c>
      <c r="F1502" t="str">
        <f>""</f>
        <v/>
      </c>
      <c r="G1502" s="3">
        <v>15.39</v>
      </c>
      <c r="H1502" t="str">
        <f t="shared" si="18"/>
        <v>GUARDIAN</v>
      </c>
    </row>
    <row r="1503" spans="5:8" x14ac:dyDescent="0.25">
      <c r="E1503" t="str">
        <f>""</f>
        <v/>
      </c>
      <c r="F1503" t="str">
        <f>""</f>
        <v/>
      </c>
      <c r="G1503" s="3">
        <v>15.39</v>
      </c>
      <c r="H1503" t="str">
        <f t="shared" si="18"/>
        <v>GUARDIAN</v>
      </c>
    </row>
    <row r="1504" spans="5:8" x14ac:dyDescent="0.25">
      <c r="E1504" t="str">
        <f>""</f>
        <v/>
      </c>
      <c r="F1504" t="str">
        <f>""</f>
        <v/>
      </c>
      <c r="G1504" s="3">
        <v>0.73</v>
      </c>
      <c r="H1504" t="str">
        <f t="shared" si="18"/>
        <v>GUARDIAN</v>
      </c>
    </row>
    <row r="1505" spans="5:8" x14ac:dyDescent="0.25">
      <c r="E1505" t="str">
        <f>""</f>
        <v/>
      </c>
      <c r="F1505" t="str">
        <f>""</f>
        <v/>
      </c>
      <c r="G1505" s="3">
        <v>15.39</v>
      </c>
      <c r="H1505" t="str">
        <f t="shared" si="18"/>
        <v>GUARDIAN</v>
      </c>
    </row>
    <row r="1506" spans="5:8" x14ac:dyDescent="0.25">
      <c r="E1506" t="str">
        <f>""</f>
        <v/>
      </c>
      <c r="F1506" t="str">
        <f>""</f>
        <v/>
      </c>
      <c r="G1506" s="3">
        <v>46.17</v>
      </c>
      <c r="H1506" t="str">
        <f t="shared" si="18"/>
        <v>GUARDIAN</v>
      </c>
    </row>
    <row r="1507" spans="5:8" x14ac:dyDescent="0.25">
      <c r="E1507" t="str">
        <f>""</f>
        <v/>
      </c>
      <c r="F1507" t="str">
        <f>""</f>
        <v/>
      </c>
      <c r="G1507" s="3">
        <v>15.39</v>
      </c>
      <c r="H1507" t="str">
        <f t="shared" si="18"/>
        <v>GUARDIAN</v>
      </c>
    </row>
    <row r="1508" spans="5:8" x14ac:dyDescent="0.25">
      <c r="E1508" t="str">
        <f>""</f>
        <v/>
      </c>
      <c r="F1508" t="str">
        <f>""</f>
        <v/>
      </c>
      <c r="G1508" s="3">
        <v>0.2</v>
      </c>
      <c r="H1508" t="str">
        <f t="shared" si="18"/>
        <v>GUARDIAN</v>
      </c>
    </row>
    <row r="1509" spans="5:8" x14ac:dyDescent="0.25">
      <c r="E1509" t="str">
        <f>""</f>
        <v/>
      </c>
      <c r="F1509" t="str">
        <f>""</f>
        <v/>
      </c>
      <c r="G1509" s="3">
        <v>0.54</v>
      </c>
      <c r="H1509" t="str">
        <f t="shared" si="18"/>
        <v>GUARDIAN</v>
      </c>
    </row>
    <row r="1510" spans="5:8" x14ac:dyDescent="0.25">
      <c r="E1510" t="str">
        <f>""</f>
        <v/>
      </c>
      <c r="F1510" t="str">
        <f>""</f>
        <v/>
      </c>
      <c r="G1510" s="3">
        <v>2.19</v>
      </c>
      <c r="H1510" t="str">
        <f t="shared" si="18"/>
        <v>GUARDIAN</v>
      </c>
    </row>
    <row r="1511" spans="5:8" x14ac:dyDescent="0.25">
      <c r="E1511" t="str">
        <f>""</f>
        <v/>
      </c>
      <c r="F1511" t="str">
        <f>""</f>
        <v/>
      </c>
      <c r="G1511" s="3">
        <v>1448.46</v>
      </c>
      <c r="H1511" t="str">
        <f t="shared" si="18"/>
        <v>GUARDIAN</v>
      </c>
    </row>
    <row r="1512" spans="5:8" x14ac:dyDescent="0.25">
      <c r="E1512" t="str">
        <f>"GDC202111097074"</f>
        <v>GDC202111097074</v>
      </c>
      <c r="F1512" t="str">
        <f>"GUARDIAN"</f>
        <v>GUARDIAN</v>
      </c>
      <c r="G1512" s="3">
        <v>46.17</v>
      </c>
      <c r="H1512" t="str">
        <f t="shared" si="18"/>
        <v>GUARDIAN</v>
      </c>
    </row>
    <row r="1513" spans="5:8" x14ac:dyDescent="0.25">
      <c r="E1513" t="str">
        <f>""</f>
        <v/>
      </c>
      <c r="F1513" t="str">
        <f>""</f>
        <v/>
      </c>
      <c r="G1513" s="3">
        <v>55.71</v>
      </c>
      <c r="H1513" t="str">
        <f t="shared" si="18"/>
        <v>GUARDIAN</v>
      </c>
    </row>
    <row r="1514" spans="5:8" x14ac:dyDescent="0.25">
      <c r="E1514" t="str">
        <f>"GDC202111227341"</f>
        <v>GDC202111227341</v>
      </c>
      <c r="F1514" t="str">
        <f>"GUARDIAN"</f>
        <v>GUARDIAN</v>
      </c>
      <c r="G1514" s="3">
        <v>15.39</v>
      </c>
      <c r="H1514" t="str">
        <f t="shared" si="18"/>
        <v>GUARDIAN</v>
      </c>
    </row>
    <row r="1515" spans="5:8" x14ac:dyDescent="0.25">
      <c r="E1515" t="str">
        <f>""</f>
        <v/>
      </c>
      <c r="F1515" t="str">
        <f>""</f>
        <v/>
      </c>
      <c r="G1515" s="3">
        <v>14.66</v>
      </c>
      <c r="H1515" t="str">
        <f t="shared" si="18"/>
        <v>GUARDIAN</v>
      </c>
    </row>
    <row r="1516" spans="5:8" x14ac:dyDescent="0.25">
      <c r="E1516" t="str">
        <f>""</f>
        <v/>
      </c>
      <c r="F1516" t="str">
        <f>""</f>
        <v/>
      </c>
      <c r="G1516" s="3">
        <v>30.78</v>
      </c>
      <c r="H1516" t="str">
        <f t="shared" si="18"/>
        <v>GUARDIAN</v>
      </c>
    </row>
    <row r="1517" spans="5:8" x14ac:dyDescent="0.25">
      <c r="E1517" t="str">
        <f>""</f>
        <v/>
      </c>
      <c r="F1517" t="str">
        <f>""</f>
        <v/>
      </c>
      <c r="G1517" s="3">
        <v>46.17</v>
      </c>
      <c r="H1517" t="str">
        <f t="shared" si="18"/>
        <v>GUARDIAN</v>
      </c>
    </row>
    <row r="1518" spans="5:8" x14ac:dyDescent="0.25">
      <c r="E1518" t="str">
        <f>""</f>
        <v/>
      </c>
      <c r="F1518" t="str">
        <f>""</f>
        <v/>
      </c>
      <c r="G1518" s="3">
        <v>13.2</v>
      </c>
      <c r="H1518" t="str">
        <f t="shared" si="18"/>
        <v>GUARDIAN</v>
      </c>
    </row>
    <row r="1519" spans="5:8" x14ac:dyDescent="0.25">
      <c r="E1519" t="str">
        <f>""</f>
        <v/>
      </c>
      <c r="F1519" t="str">
        <f>""</f>
        <v/>
      </c>
      <c r="G1519" s="3">
        <v>15.39</v>
      </c>
      <c r="H1519" t="str">
        <f t="shared" si="18"/>
        <v>GUARDIAN</v>
      </c>
    </row>
    <row r="1520" spans="5:8" x14ac:dyDescent="0.25">
      <c r="E1520" t="str">
        <f>""</f>
        <v/>
      </c>
      <c r="F1520" t="str">
        <f>""</f>
        <v/>
      </c>
      <c r="G1520" s="3">
        <v>30.78</v>
      </c>
      <c r="H1520" t="str">
        <f t="shared" si="18"/>
        <v>GUARDIAN</v>
      </c>
    </row>
    <row r="1521" spans="5:8" x14ac:dyDescent="0.25">
      <c r="E1521" t="str">
        <f>""</f>
        <v/>
      </c>
      <c r="F1521" t="str">
        <f>""</f>
        <v/>
      </c>
      <c r="G1521" s="3">
        <v>15.39</v>
      </c>
      <c r="H1521" t="str">
        <f t="shared" si="18"/>
        <v>GUARDIAN</v>
      </c>
    </row>
    <row r="1522" spans="5:8" x14ac:dyDescent="0.25">
      <c r="E1522" t="str">
        <f>""</f>
        <v/>
      </c>
      <c r="F1522" t="str">
        <f>""</f>
        <v/>
      </c>
      <c r="G1522" s="3">
        <v>30.78</v>
      </c>
      <c r="H1522" t="str">
        <f t="shared" si="18"/>
        <v>GUARDIAN</v>
      </c>
    </row>
    <row r="1523" spans="5:8" x14ac:dyDescent="0.25">
      <c r="E1523" t="str">
        <f>""</f>
        <v/>
      </c>
      <c r="F1523" t="str">
        <f>""</f>
        <v/>
      </c>
      <c r="G1523" s="3">
        <v>45.43</v>
      </c>
      <c r="H1523" t="str">
        <f t="shared" si="18"/>
        <v>GUARDIAN</v>
      </c>
    </row>
    <row r="1524" spans="5:8" x14ac:dyDescent="0.25">
      <c r="E1524" t="str">
        <f>""</f>
        <v/>
      </c>
      <c r="F1524" t="str">
        <f>""</f>
        <v/>
      </c>
      <c r="G1524" s="3">
        <v>61.56</v>
      </c>
      <c r="H1524" t="str">
        <f t="shared" si="18"/>
        <v>GUARDIAN</v>
      </c>
    </row>
    <row r="1525" spans="5:8" x14ac:dyDescent="0.25">
      <c r="E1525" t="str">
        <f>""</f>
        <v/>
      </c>
      <c r="F1525" t="str">
        <f>""</f>
        <v/>
      </c>
      <c r="G1525" s="3">
        <v>15.39</v>
      </c>
      <c r="H1525" t="str">
        <f t="shared" si="18"/>
        <v>GUARDIAN</v>
      </c>
    </row>
    <row r="1526" spans="5:8" x14ac:dyDescent="0.25">
      <c r="E1526" t="str">
        <f>""</f>
        <v/>
      </c>
      <c r="F1526" t="str">
        <f>""</f>
        <v/>
      </c>
      <c r="G1526" s="3">
        <v>61.56</v>
      </c>
      <c r="H1526" t="str">
        <f t="shared" si="18"/>
        <v>GUARDIAN</v>
      </c>
    </row>
    <row r="1527" spans="5:8" x14ac:dyDescent="0.25">
      <c r="E1527" t="str">
        <f>""</f>
        <v/>
      </c>
      <c r="F1527" t="str">
        <f>""</f>
        <v/>
      </c>
      <c r="G1527" s="3">
        <v>15.39</v>
      </c>
      <c r="H1527" t="str">
        <f t="shared" si="18"/>
        <v>GUARDIAN</v>
      </c>
    </row>
    <row r="1528" spans="5:8" x14ac:dyDescent="0.25">
      <c r="E1528" t="str">
        <f>""</f>
        <v/>
      </c>
      <c r="F1528" t="str">
        <f>""</f>
        <v/>
      </c>
      <c r="G1528" s="3">
        <v>30.78</v>
      </c>
      <c r="H1528" t="str">
        <f t="shared" si="18"/>
        <v>GUARDIAN</v>
      </c>
    </row>
    <row r="1529" spans="5:8" x14ac:dyDescent="0.25">
      <c r="E1529" t="str">
        <f>""</f>
        <v/>
      </c>
      <c r="F1529" t="str">
        <f>""</f>
        <v/>
      </c>
      <c r="G1529" s="3">
        <v>15.39</v>
      </c>
      <c r="H1529" t="str">
        <f t="shared" si="18"/>
        <v>GUARDIAN</v>
      </c>
    </row>
    <row r="1530" spans="5:8" x14ac:dyDescent="0.25">
      <c r="E1530" t="str">
        <f>""</f>
        <v/>
      </c>
      <c r="F1530" t="str">
        <f>""</f>
        <v/>
      </c>
      <c r="G1530" s="3">
        <v>61.56</v>
      </c>
      <c r="H1530" t="str">
        <f t="shared" si="18"/>
        <v>GUARDIAN</v>
      </c>
    </row>
    <row r="1531" spans="5:8" x14ac:dyDescent="0.25">
      <c r="E1531" t="str">
        <f>""</f>
        <v/>
      </c>
      <c r="F1531" t="str">
        <f>""</f>
        <v/>
      </c>
      <c r="G1531" s="3">
        <v>15.39</v>
      </c>
      <c r="H1531" t="str">
        <f t="shared" ref="H1531:H1594" si="19">"GUARDIAN"</f>
        <v>GUARDIAN</v>
      </c>
    </row>
    <row r="1532" spans="5:8" x14ac:dyDescent="0.25">
      <c r="E1532" t="str">
        <f>""</f>
        <v/>
      </c>
      <c r="F1532" t="str">
        <f>""</f>
        <v/>
      </c>
      <c r="G1532" s="3">
        <v>249.83</v>
      </c>
      <c r="H1532" t="str">
        <f t="shared" si="19"/>
        <v>GUARDIAN</v>
      </c>
    </row>
    <row r="1533" spans="5:8" x14ac:dyDescent="0.25">
      <c r="E1533" t="str">
        <f>""</f>
        <v/>
      </c>
      <c r="F1533" t="str">
        <f>""</f>
        <v/>
      </c>
      <c r="G1533" s="3">
        <v>14.93</v>
      </c>
      <c r="H1533" t="str">
        <f t="shared" si="19"/>
        <v>GUARDIAN</v>
      </c>
    </row>
    <row r="1534" spans="5:8" x14ac:dyDescent="0.25">
      <c r="E1534" t="str">
        <f>""</f>
        <v/>
      </c>
      <c r="F1534" t="str">
        <f>""</f>
        <v/>
      </c>
      <c r="G1534" s="3">
        <v>227.72</v>
      </c>
      <c r="H1534" t="str">
        <f t="shared" si="19"/>
        <v>GUARDIAN</v>
      </c>
    </row>
    <row r="1535" spans="5:8" x14ac:dyDescent="0.25">
      <c r="E1535" t="str">
        <f>""</f>
        <v/>
      </c>
      <c r="F1535" t="str">
        <f>""</f>
        <v/>
      </c>
      <c r="G1535" s="3">
        <v>15.39</v>
      </c>
      <c r="H1535" t="str">
        <f t="shared" si="19"/>
        <v>GUARDIAN</v>
      </c>
    </row>
    <row r="1536" spans="5:8" x14ac:dyDescent="0.25">
      <c r="E1536" t="str">
        <f>""</f>
        <v/>
      </c>
      <c r="F1536" t="str">
        <f>""</f>
        <v/>
      </c>
      <c r="G1536" s="3">
        <v>15.39</v>
      </c>
      <c r="H1536" t="str">
        <f t="shared" si="19"/>
        <v>GUARDIAN</v>
      </c>
    </row>
    <row r="1537" spans="5:8" x14ac:dyDescent="0.25">
      <c r="E1537" t="str">
        <f>""</f>
        <v/>
      </c>
      <c r="F1537" t="str">
        <f>""</f>
        <v/>
      </c>
      <c r="G1537" s="3">
        <v>15.39</v>
      </c>
      <c r="H1537" t="str">
        <f t="shared" si="19"/>
        <v>GUARDIAN</v>
      </c>
    </row>
    <row r="1538" spans="5:8" x14ac:dyDescent="0.25">
      <c r="E1538" t="str">
        <f>""</f>
        <v/>
      </c>
      <c r="F1538" t="str">
        <f>""</f>
        <v/>
      </c>
      <c r="G1538" s="3">
        <v>15.39</v>
      </c>
      <c r="H1538" t="str">
        <f t="shared" si="19"/>
        <v>GUARDIAN</v>
      </c>
    </row>
    <row r="1539" spans="5:8" x14ac:dyDescent="0.25">
      <c r="E1539" t="str">
        <f>""</f>
        <v/>
      </c>
      <c r="F1539" t="str">
        <f>""</f>
        <v/>
      </c>
      <c r="G1539" s="3">
        <v>0.73</v>
      </c>
      <c r="H1539" t="str">
        <f t="shared" si="19"/>
        <v>GUARDIAN</v>
      </c>
    </row>
    <row r="1540" spans="5:8" x14ac:dyDescent="0.25">
      <c r="E1540" t="str">
        <f>""</f>
        <v/>
      </c>
      <c r="F1540" t="str">
        <f>""</f>
        <v/>
      </c>
      <c r="G1540" s="3">
        <v>15.39</v>
      </c>
      <c r="H1540" t="str">
        <f t="shared" si="19"/>
        <v>GUARDIAN</v>
      </c>
    </row>
    <row r="1541" spans="5:8" x14ac:dyDescent="0.25">
      <c r="E1541" t="str">
        <f>""</f>
        <v/>
      </c>
      <c r="F1541" t="str">
        <f>""</f>
        <v/>
      </c>
      <c r="G1541" s="3">
        <v>46.17</v>
      </c>
      <c r="H1541" t="str">
        <f t="shared" si="19"/>
        <v>GUARDIAN</v>
      </c>
    </row>
    <row r="1542" spans="5:8" x14ac:dyDescent="0.25">
      <c r="E1542" t="str">
        <f>""</f>
        <v/>
      </c>
      <c r="F1542" t="str">
        <f>""</f>
        <v/>
      </c>
      <c r="G1542" s="3">
        <v>15.39</v>
      </c>
      <c r="H1542" t="str">
        <f t="shared" si="19"/>
        <v>GUARDIAN</v>
      </c>
    </row>
    <row r="1543" spans="5:8" x14ac:dyDescent="0.25">
      <c r="E1543" t="str">
        <f>""</f>
        <v/>
      </c>
      <c r="F1543" t="str">
        <f>""</f>
        <v/>
      </c>
      <c r="G1543" s="3">
        <v>0.2</v>
      </c>
      <c r="H1543" t="str">
        <f t="shared" si="19"/>
        <v>GUARDIAN</v>
      </c>
    </row>
    <row r="1544" spans="5:8" x14ac:dyDescent="0.25">
      <c r="E1544" t="str">
        <f>""</f>
        <v/>
      </c>
      <c r="F1544" t="str">
        <f>""</f>
        <v/>
      </c>
      <c r="G1544" s="3">
        <v>0.54</v>
      </c>
      <c r="H1544" t="str">
        <f t="shared" si="19"/>
        <v>GUARDIAN</v>
      </c>
    </row>
    <row r="1545" spans="5:8" x14ac:dyDescent="0.25">
      <c r="E1545" t="str">
        <f>""</f>
        <v/>
      </c>
      <c r="F1545" t="str">
        <f>""</f>
        <v/>
      </c>
      <c r="G1545" s="3">
        <v>2.19</v>
      </c>
      <c r="H1545" t="str">
        <f t="shared" si="19"/>
        <v>GUARDIAN</v>
      </c>
    </row>
    <row r="1546" spans="5:8" x14ac:dyDescent="0.25">
      <c r="E1546" t="str">
        <f>""</f>
        <v/>
      </c>
      <c r="F1546" t="str">
        <f>""</f>
        <v/>
      </c>
      <c r="G1546" s="3">
        <v>1411.32</v>
      </c>
      <c r="H1546" t="str">
        <f t="shared" si="19"/>
        <v>GUARDIAN</v>
      </c>
    </row>
    <row r="1547" spans="5:8" x14ac:dyDescent="0.25">
      <c r="E1547" t="str">
        <f>"GDC202111227342"</f>
        <v>GDC202111227342</v>
      </c>
      <c r="F1547" t="str">
        <f>"GUARDIAN"</f>
        <v>GUARDIAN</v>
      </c>
      <c r="G1547" s="3">
        <v>46.17</v>
      </c>
      <c r="H1547" t="str">
        <f t="shared" si="19"/>
        <v>GUARDIAN</v>
      </c>
    </row>
    <row r="1548" spans="5:8" x14ac:dyDescent="0.25">
      <c r="E1548" t="str">
        <f>""</f>
        <v/>
      </c>
      <c r="F1548" t="str">
        <f>""</f>
        <v/>
      </c>
      <c r="G1548" s="3">
        <v>55.71</v>
      </c>
      <c r="H1548" t="str">
        <f t="shared" si="19"/>
        <v>GUARDIAN</v>
      </c>
    </row>
    <row r="1549" spans="5:8" x14ac:dyDescent="0.25">
      <c r="E1549" t="str">
        <f>"GDE202111097073"</f>
        <v>GDE202111097073</v>
      </c>
      <c r="F1549" t="str">
        <f>"GUARDIAN"</f>
        <v>GUARDIAN</v>
      </c>
      <c r="G1549" s="3">
        <v>15.39</v>
      </c>
      <c r="H1549" t="str">
        <f t="shared" si="19"/>
        <v>GUARDIAN</v>
      </c>
    </row>
    <row r="1550" spans="5:8" x14ac:dyDescent="0.25">
      <c r="E1550" t="str">
        <f>""</f>
        <v/>
      </c>
      <c r="F1550" t="str">
        <f>""</f>
        <v/>
      </c>
      <c r="G1550" s="3">
        <v>20.07</v>
      </c>
      <c r="H1550" t="str">
        <f t="shared" si="19"/>
        <v>GUARDIAN</v>
      </c>
    </row>
    <row r="1551" spans="5:8" x14ac:dyDescent="0.25">
      <c r="E1551" t="str">
        <f>""</f>
        <v/>
      </c>
      <c r="F1551" t="str">
        <f>""</f>
        <v/>
      </c>
      <c r="G1551" s="3">
        <v>91.25</v>
      </c>
      <c r="H1551" t="str">
        <f t="shared" si="19"/>
        <v>GUARDIAN</v>
      </c>
    </row>
    <row r="1552" spans="5:8" x14ac:dyDescent="0.25">
      <c r="E1552" t="str">
        <f>""</f>
        <v/>
      </c>
      <c r="F1552" t="str">
        <f>""</f>
        <v/>
      </c>
      <c r="G1552" s="3">
        <v>30.78</v>
      </c>
      <c r="H1552" t="str">
        <f t="shared" si="19"/>
        <v>GUARDIAN</v>
      </c>
    </row>
    <row r="1553" spans="5:8" x14ac:dyDescent="0.25">
      <c r="E1553" t="str">
        <f>""</f>
        <v/>
      </c>
      <c r="F1553" t="str">
        <f>""</f>
        <v/>
      </c>
      <c r="G1553" s="3">
        <v>15.39</v>
      </c>
      <c r="H1553" t="str">
        <f t="shared" si="19"/>
        <v>GUARDIAN</v>
      </c>
    </row>
    <row r="1554" spans="5:8" x14ac:dyDescent="0.25">
      <c r="E1554" t="str">
        <f>""</f>
        <v/>
      </c>
      <c r="F1554" t="str">
        <f>""</f>
        <v/>
      </c>
      <c r="G1554" s="3">
        <v>15.39</v>
      </c>
      <c r="H1554" t="str">
        <f t="shared" si="19"/>
        <v>GUARDIAN</v>
      </c>
    </row>
    <row r="1555" spans="5:8" x14ac:dyDescent="0.25">
      <c r="E1555" t="str">
        <f>""</f>
        <v/>
      </c>
      <c r="F1555" t="str">
        <f>""</f>
        <v/>
      </c>
      <c r="G1555" s="3">
        <v>200.07</v>
      </c>
      <c r="H1555" t="str">
        <f t="shared" si="19"/>
        <v>GUARDIAN</v>
      </c>
    </row>
    <row r="1556" spans="5:8" x14ac:dyDescent="0.25">
      <c r="E1556" t="str">
        <f>""</f>
        <v/>
      </c>
      <c r="F1556" t="str">
        <f>""</f>
        <v/>
      </c>
      <c r="G1556" s="3">
        <v>15.39</v>
      </c>
      <c r="H1556" t="str">
        <f t="shared" si="19"/>
        <v>GUARDIAN</v>
      </c>
    </row>
    <row r="1557" spans="5:8" x14ac:dyDescent="0.25">
      <c r="E1557" t="str">
        <f>""</f>
        <v/>
      </c>
      <c r="F1557" t="str">
        <f>""</f>
        <v/>
      </c>
      <c r="G1557" s="3">
        <v>61.56</v>
      </c>
      <c r="H1557" t="str">
        <f t="shared" si="19"/>
        <v>GUARDIAN</v>
      </c>
    </row>
    <row r="1558" spans="5:8" x14ac:dyDescent="0.25">
      <c r="E1558" t="str">
        <f>""</f>
        <v/>
      </c>
      <c r="F1558" t="str">
        <f>""</f>
        <v/>
      </c>
      <c r="G1558" s="3">
        <v>107.73</v>
      </c>
      <c r="H1558" t="str">
        <f t="shared" si="19"/>
        <v>GUARDIAN</v>
      </c>
    </row>
    <row r="1559" spans="5:8" x14ac:dyDescent="0.25">
      <c r="E1559" t="str">
        <f>""</f>
        <v/>
      </c>
      <c r="F1559" t="str">
        <f>""</f>
        <v/>
      </c>
      <c r="G1559" s="3">
        <v>30.78</v>
      </c>
      <c r="H1559" t="str">
        <f t="shared" si="19"/>
        <v>GUARDIAN</v>
      </c>
    </row>
    <row r="1560" spans="5:8" x14ac:dyDescent="0.25">
      <c r="E1560" t="str">
        <f>""</f>
        <v/>
      </c>
      <c r="F1560" t="str">
        <f>""</f>
        <v/>
      </c>
      <c r="G1560" s="3">
        <v>61.56</v>
      </c>
      <c r="H1560" t="str">
        <f t="shared" si="19"/>
        <v>GUARDIAN</v>
      </c>
    </row>
    <row r="1561" spans="5:8" x14ac:dyDescent="0.25">
      <c r="E1561" t="str">
        <f>""</f>
        <v/>
      </c>
      <c r="F1561" t="str">
        <f>""</f>
        <v/>
      </c>
      <c r="G1561" s="3">
        <v>30.78</v>
      </c>
      <c r="H1561" t="str">
        <f t="shared" si="19"/>
        <v>GUARDIAN</v>
      </c>
    </row>
    <row r="1562" spans="5:8" x14ac:dyDescent="0.25">
      <c r="E1562" t="str">
        <f>""</f>
        <v/>
      </c>
      <c r="F1562" t="str">
        <f>""</f>
        <v/>
      </c>
      <c r="G1562" s="3">
        <v>30.78</v>
      </c>
      <c r="H1562" t="str">
        <f t="shared" si="19"/>
        <v>GUARDIAN</v>
      </c>
    </row>
    <row r="1563" spans="5:8" x14ac:dyDescent="0.25">
      <c r="E1563" t="str">
        <f>""</f>
        <v/>
      </c>
      <c r="F1563" t="str">
        <f>""</f>
        <v/>
      </c>
      <c r="G1563" s="3">
        <v>30.78</v>
      </c>
      <c r="H1563" t="str">
        <f t="shared" si="19"/>
        <v>GUARDIAN</v>
      </c>
    </row>
    <row r="1564" spans="5:8" x14ac:dyDescent="0.25">
      <c r="E1564" t="str">
        <f>""</f>
        <v/>
      </c>
      <c r="F1564" t="str">
        <f>""</f>
        <v/>
      </c>
      <c r="G1564" s="3">
        <v>168.33</v>
      </c>
      <c r="H1564" t="str">
        <f t="shared" si="19"/>
        <v>GUARDIAN</v>
      </c>
    </row>
    <row r="1565" spans="5:8" x14ac:dyDescent="0.25">
      <c r="E1565" t="str">
        <f>""</f>
        <v/>
      </c>
      <c r="F1565" t="str">
        <f>""</f>
        <v/>
      </c>
      <c r="G1565" s="3">
        <v>30.78</v>
      </c>
      <c r="H1565" t="str">
        <f t="shared" si="19"/>
        <v>GUARDIAN</v>
      </c>
    </row>
    <row r="1566" spans="5:8" x14ac:dyDescent="0.25">
      <c r="E1566" t="str">
        <f>""</f>
        <v/>
      </c>
      <c r="F1566" t="str">
        <f>""</f>
        <v/>
      </c>
      <c r="G1566" s="3">
        <v>30.78</v>
      </c>
      <c r="H1566" t="str">
        <f t="shared" si="19"/>
        <v>GUARDIAN</v>
      </c>
    </row>
    <row r="1567" spans="5:8" x14ac:dyDescent="0.25">
      <c r="E1567" t="str">
        <f>""</f>
        <v/>
      </c>
      <c r="F1567" t="str">
        <f>""</f>
        <v/>
      </c>
      <c r="G1567" s="3">
        <v>15.39</v>
      </c>
      <c r="H1567" t="str">
        <f t="shared" si="19"/>
        <v>GUARDIAN</v>
      </c>
    </row>
    <row r="1568" spans="5:8" x14ac:dyDescent="0.25">
      <c r="E1568" t="str">
        <f>""</f>
        <v/>
      </c>
      <c r="F1568" t="str">
        <f>""</f>
        <v/>
      </c>
      <c r="G1568" s="3">
        <v>84.38</v>
      </c>
      <c r="H1568" t="str">
        <f t="shared" si="19"/>
        <v>GUARDIAN</v>
      </c>
    </row>
    <row r="1569" spans="5:8" x14ac:dyDescent="0.25">
      <c r="E1569" t="str">
        <f>""</f>
        <v/>
      </c>
      <c r="F1569" t="str">
        <f>""</f>
        <v/>
      </c>
      <c r="G1569" s="3">
        <v>30.78</v>
      </c>
      <c r="H1569" t="str">
        <f t="shared" si="19"/>
        <v>GUARDIAN</v>
      </c>
    </row>
    <row r="1570" spans="5:8" x14ac:dyDescent="0.25">
      <c r="E1570" t="str">
        <f>""</f>
        <v/>
      </c>
      <c r="F1570" t="str">
        <f>""</f>
        <v/>
      </c>
      <c r="G1570" s="3">
        <v>92.34</v>
      </c>
      <c r="H1570" t="str">
        <f t="shared" si="19"/>
        <v>GUARDIAN</v>
      </c>
    </row>
    <row r="1571" spans="5:8" x14ac:dyDescent="0.25">
      <c r="E1571" t="str">
        <f>""</f>
        <v/>
      </c>
      <c r="F1571" t="str">
        <f>""</f>
        <v/>
      </c>
      <c r="G1571" s="3">
        <v>138.51</v>
      </c>
      <c r="H1571" t="str">
        <f t="shared" si="19"/>
        <v>GUARDIAN</v>
      </c>
    </row>
    <row r="1572" spans="5:8" x14ac:dyDescent="0.25">
      <c r="E1572" t="str">
        <f>""</f>
        <v/>
      </c>
      <c r="F1572" t="str">
        <f>""</f>
        <v/>
      </c>
      <c r="G1572" s="3">
        <v>215.69</v>
      </c>
      <c r="H1572" t="str">
        <f t="shared" si="19"/>
        <v>GUARDIAN</v>
      </c>
    </row>
    <row r="1573" spans="5:8" x14ac:dyDescent="0.25">
      <c r="E1573" t="str">
        <f>""</f>
        <v/>
      </c>
      <c r="F1573" t="str">
        <f>""</f>
        <v/>
      </c>
      <c r="G1573" s="3">
        <v>15.39</v>
      </c>
      <c r="H1573" t="str">
        <f t="shared" si="19"/>
        <v>GUARDIAN</v>
      </c>
    </row>
    <row r="1574" spans="5:8" x14ac:dyDescent="0.25">
      <c r="E1574" t="str">
        <f>""</f>
        <v/>
      </c>
      <c r="F1574" t="str">
        <f>""</f>
        <v/>
      </c>
      <c r="G1574" s="3">
        <v>903.73</v>
      </c>
      <c r="H1574" t="str">
        <f t="shared" si="19"/>
        <v>GUARDIAN</v>
      </c>
    </row>
    <row r="1575" spans="5:8" x14ac:dyDescent="0.25">
      <c r="E1575" t="str">
        <f>""</f>
        <v/>
      </c>
      <c r="F1575" t="str">
        <f>""</f>
        <v/>
      </c>
      <c r="G1575" s="3">
        <v>45.72</v>
      </c>
      <c r="H1575" t="str">
        <f t="shared" si="19"/>
        <v>GUARDIAN</v>
      </c>
    </row>
    <row r="1576" spans="5:8" x14ac:dyDescent="0.25">
      <c r="E1576" t="str">
        <f>""</f>
        <v/>
      </c>
      <c r="F1576" t="str">
        <f>""</f>
        <v/>
      </c>
      <c r="G1576" s="3">
        <v>774.29</v>
      </c>
      <c r="H1576" t="str">
        <f t="shared" si="19"/>
        <v>GUARDIAN</v>
      </c>
    </row>
    <row r="1577" spans="5:8" x14ac:dyDescent="0.25">
      <c r="E1577" t="str">
        <f>""</f>
        <v/>
      </c>
      <c r="F1577" t="str">
        <f>""</f>
        <v/>
      </c>
      <c r="G1577" s="3">
        <v>238.81</v>
      </c>
      <c r="H1577" t="str">
        <f t="shared" si="19"/>
        <v>GUARDIAN</v>
      </c>
    </row>
    <row r="1578" spans="5:8" x14ac:dyDescent="0.25">
      <c r="E1578" t="str">
        <f>""</f>
        <v/>
      </c>
      <c r="F1578" t="str">
        <f>""</f>
        <v/>
      </c>
      <c r="G1578" s="3">
        <v>30.78</v>
      </c>
      <c r="H1578" t="str">
        <f t="shared" si="19"/>
        <v>GUARDIAN</v>
      </c>
    </row>
    <row r="1579" spans="5:8" x14ac:dyDescent="0.25">
      <c r="E1579" t="str">
        <f>""</f>
        <v/>
      </c>
      <c r="F1579" t="str">
        <f>""</f>
        <v/>
      </c>
      <c r="G1579" s="3">
        <v>30.78</v>
      </c>
      <c r="H1579" t="str">
        <f t="shared" si="19"/>
        <v>GUARDIAN</v>
      </c>
    </row>
    <row r="1580" spans="5:8" x14ac:dyDescent="0.25">
      <c r="E1580" t="str">
        <f>""</f>
        <v/>
      </c>
      <c r="F1580" t="str">
        <f>""</f>
        <v/>
      </c>
      <c r="G1580" s="3">
        <v>15.39</v>
      </c>
      <c r="H1580" t="str">
        <f t="shared" si="19"/>
        <v>GUARDIAN</v>
      </c>
    </row>
    <row r="1581" spans="5:8" x14ac:dyDescent="0.25">
      <c r="E1581" t="str">
        <f>""</f>
        <v/>
      </c>
      <c r="F1581" t="str">
        <f>""</f>
        <v/>
      </c>
      <c r="G1581" s="3">
        <v>30.78</v>
      </c>
      <c r="H1581" t="str">
        <f t="shared" si="19"/>
        <v>GUARDIAN</v>
      </c>
    </row>
    <row r="1582" spans="5:8" x14ac:dyDescent="0.25">
      <c r="E1582" t="str">
        <f>""</f>
        <v/>
      </c>
      <c r="F1582" t="str">
        <f>""</f>
        <v/>
      </c>
      <c r="G1582" s="3">
        <v>15.39</v>
      </c>
      <c r="H1582" t="str">
        <f t="shared" si="19"/>
        <v>GUARDIAN</v>
      </c>
    </row>
    <row r="1583" spans="5:8" x14ac:dyDescent="0.25">
      <c r="E1583" t="str">
        <f>""</f>
        <v/>
      </c>
      <c r="F1583" t="str">
        <f>""</f>
        <v/>
      </c>
      <c r="G1583" s="3">
        <v>1.0900000000000001</v>
      </c>
      <c r="H1583" t="str">
        <f t="shared" si="19"/>
        <v>GUARDIAN</v>
      </c>
    </row>
    <row r="1584" spans="5:8" x14ac:dyDescent="0.25">
      <c r="E1584" t="str">
        <f>""</f>
        <v/>
      </c>
      <c r="F1584" t="str">
        <f>""</f>
        <v/>
      </c>
      <c r="G1584" s="3">
        <v>96.13</v>
      </c>
      <c r="H1584" t="str">
        <f t="shared" si="19"/>
        <v>GUARDIAN</v>
      </c>
    </row>
    <row r="1585" spans="5:8" x14ac:dyDescent="0.25">
      <c r="E1585" t="str">
        <f>""</f>
        <v/>
      </c>
      <c r="F1585" t="str">
        <f>""</f>
        <v/>
      </c>
      <c r="G1585" s="3">
        <v>89.44</v>
      </c>
      <c r="H1585" t="str">
        <f t="shared" si="19"/>
        <v>GUARDIAN</v>
      </c>
    </row>
    <row r="1586" spans="5:8" x14ac:dyDescent="0.25">
      <c r="E1586" t="str">
        <f>""</f>
        <v/>
      </c>
      <c r="F1586" t="str">
        <f>""</f>
        <v/>
      </c>
      <c r="G1586" s="3">
        <v>166.39</v>
      </c>
      <c r="H1586" t="str">
        <f t="shared" si="19"/>
        <v>GUARDIAN</v>
      </c>
    </row>
    <row r="1587" spans="5:8" x14ac:dyDescent="0.25">
      <c r="E1587" t="str">
        <f>""</f>
        <v/>
      </c>
      <c r="F1587" t="str">
        <f>""</f>
        <v/>
      </c>
      <c r="G1587" s="3">
        <v>181.78</v>
      </c>
      <c r="H1587" t="str">
        <f t="shared" si="19"/>
        <v>GUARDIAN</v>
      </c>
    </row>
    <row r="1588" spans="5:8" x14ac:dyDescent="0.25">
      <c r="E1588" t="str">
        <f>""</f>
        <v/>
      </c>
      <c r="F1588" t="str">
        <f>""</f>
        <v/>
      </c>
      <c r="G1588" s="3">
        <v>0.4</v>
      </c>
      <c r="H1588" t="str">
        <f t="shared" si="19"/>
        <v>GUARDIAN</v>
      </c>
    </row>
    <row r="1589" spans="5:8" x14ac:dyDescent="0.25">
      <c r="E1589" t="str">
        <f>""</f>
        <v/>
      </c>
      <c r="F1589" t="str">
        <f>""</f>
        <v/>
      </c>
      <c r="G1589" s="3">
        <v>0.56000000000000005</v>
      </c>
      <c r="H1589" t="str">
        <f t="shared" si="19"/>
        <v>GUARDIAN</v>
      </c>
    </row>
    <row r="1590" spans="5:8" x14ac:dyDescent="0.25">
      <c r="E1590" t="str">
        <f>""</f>
        <v/>
      </c>
      <c r="F1590" t="str">
        <f>""</f>
        <v/>
      </c>
      <c r="G1590" s="3">
        <v>15.33</v>
      </c>
      <c r="H1590" t="str">
        <f t="shared" si="19"/>
        <v>GUARDIAN</v>
      </c>
    </row>
    <row r="1591" spans="5:8" x14ac:dyDescent="0.25">
      <c r="E1591" t="str">
        <f>"GDE202111097074"</f>
        <v>GDE202111097074</v>
      </c>
      <c r="F1591" t="str">
        <f>"GUARDIAN"</f>
        <v>GUARDIAN</v>
      </c>
      <c r="G1591" s="3">
        <v>153.9</v>
      </c>
      <c r="H1591" t="str">
        <f t="shared" si="19"/>
        <v>GUARDIAN</v>
      </c>
    </row>
    <row r="1592" spans="5:8" x14ac:dyDescent="0.25">
      <c r="E1592" t="str">
        <f>"GDE202111227341"</f>
        <v>GDE202111227341</v>
      </c>
      <c r="F1592" t="str">
        <f>"GUARDIAN"</f>
        <v>GUARDIAN</v>
      </c>
      <c r="G1592" s="3">
        <v>15.39</v>
      </c>
      <c r="H1592" t="str">
        <f t="shared" si="19"/>
        <v>GUARDIAN</v>
      </c>
    </row>
    <row r="1593" spans="5:8" x14ac:dyDescent="0.25">
      <c r="E1593" t="str">
        <f>""</f>
        <v/>
      </c>
      <c r="F1593" t="str">
        <f>""</f>
        <v/>
      </c>
      <c r="G1593" s="3">
        <v>20.07</v>
      </c>
      <c r="H1593" t="str">
        <f t="shared" si="19"/>
        <v>GUARDIAN</v>
      </c>
    </row>
    <row r="1594" spans="5:8" x14ac:dyDescent="0.25">
      <c r="E1594" t="str">
        <f>""</f>
        <v/>
      </c>
      <c r="F1594" t="str">
        <f>""</f>
        <v/>
      </c>
      <c r="G1594" s="3">
        <v>91.25</v>
      </c>
      <c r="H1594" t="str">
        <f t="shared" si="19"/>
        <v>GUARDIAN</v>
      </c>
    </row>
    <row r="1595" spans="5:8" x14ac:dyDescent="0.25">
      <c r="E1595" t="str">
        <f>""</f>
        <v/>
      </c>
      <c r="F1595" t="str">
        <f>""</f>
        <v/>
      </c>
      <c r="G1595" s="3">
        <v>30.78</v>
      </c>
      <c r="H1595" t="str">
        <f t="shared" ref="H1595:H1658" si="20">"GUARDIAN"</f>
        <v>GUARDIAN</v>
      </c>
    </row>
    <row r="1596" spans="5:8" x14ac:dyDescent="0.25">
      <c r="E1596" t="str">
        <f>""</f>
        <v/>
      </c>
      <c r="F1596" t="str">
        <f>""</f>
        <v/>
      </c>
      <c r="G1596" s="3">
        <v>15.39</v>
      </c>
      <c r="H1596" t="str">
        <f t="shared" si="20"/>
        <v>GUARDIAN</v>
      </c>
    </row>
    <row r="1597" spans="5:8" x14ac:dyDescent="0.25">
      <c r="E1597" t="str">
        <f>""</f>
        <v/>
      </c>
      <c r="F1597" t="str">
        <f>""</f>
        <v/>
      </c>
      <c r="G1597" s="3">
        <v>15.39</v>
      </c>
      <c r="H1597" t="str">
        <f t="shared" si="20"/>
        <v>GUARDIAN</v>
      </c>
    </row>
    <row r="1598" spans="5:8" x14ac:dyDescent="0.25">
      <c r="E1598" t="str">
        <f>""</f>
        <v/>
      </c>
      <c r="F1598" t="str">
        <f>""</f>
        <v/>
      </c>
      <c r="G1598" s="3">
        <v>200.07</v>
      </c>
      <c r="H1598" t="str">
        <f t="shared" si="20"/>
        <v>GUARDIAN</v>
      </c>
    </row>
    <row r="1599" spans="5:8" x14ac:dyDescent="0.25">
      <c r="E1599" t="str">
        <f>""</f>
        <v/>
      </c>
      <c r="F1599" t="str">
        <f>""</f>
        <v/>
      </c>
      <c r="G1599" s="3">
        <v>15.39</v>
      </c>
      <c r="H1599" t="str">
        <f t="shared" si="20"/>
        <v>GUARDIAN</v>
      </c>
    </row>
    <row r="1600" spans="5:8" x14ac:dyDescent="0.25">
      <c r="E1600" t="str">
        <f>""</f>
        <v/>
      </c>
      <c r="F1600" t="str">
        <f>""</f>
        <v/>
      </c>
      <c r="G1600" s="3">
        <v>61.56</v>
      </c>
      <c r="H1600" t="str">
        <f t="shared" si="20"/>
        <v>GUARDIAN</v>
      </c>
    </row>
    <row r="1601" spans="5:8" x14ac:dyDescent="0.25">
      <c r="E1601" t="str">
        <f>""</f>
        <v/>
      </c>
      <c r="F1601" t="str">
        <f>""</f>
        <v/>
      </c>
      <c r="G1601" s="3">
        <v>107.73</v>
      </c>
      <c r="H1601" t="str">
        <f t="shared" si="20"/>
        <v>GUARDIAN</v>
      </c>
    </row>
    <row r="1602" spans="5:8" x14ac:dyDescent="0.25">
      <c r="E1602" t="str">
        <f>""</f>
        <v/>
      </c>
      <c r="F1602" t="str">
        <f>""</f>
        <v/>
      </c>
      <c r="G1602" s="3">
        <v>30.78</v>
      </c>
      <c r="H1602" t="str">
        <f t="shared" si="20"/>
        <v>GUARDIAN</v>
      </c>
    </row>
    <row r="1603" spans="5:8" x14ac:dyDescent="0.25">
      <c r="E1603" t="str">
        <f>""</f>
        <v/>
      </c>
      <c r="F1603" t="str">
        <f>""</f>
        <v/>
      </c>
      <c r="G1603" s="3">
        <v>61.56</v>
      </c>
      <c r="H1603" t="str">
        <f t="shared" si="20"/>
        <v>GUARDIAN</v>
      </c>
    </row>
    <row r="1604" spans="5:8" x14ac:dyDescent="0.25">
      <c r="E1604" t="str">
        <f>""</f>
        <v/>
      </c>
      <c r="F1604" t="str">
        <f>""</f>
        <v/>
      </c>
      <c r="G1604" s="3">
        <v>30.78</v>
      </c>
      <c r="H1604" t="str">
        <f t="shared" si="20"/>
        <v>GUARDIAN</v>
      </c>
    </row>
    <row r="1605" spans="5:8" x14ac:dyDescent="0.25">
      <c r="E1605" t="str">
        <f>""</f>
        <v/>
      </c>
      <c r="F1605" t="str">
        <f>""</f>
        <v/>
      </c>
      <c r="G1605" s="3">
        <v>30.78</v>
      </c>
      <c r="H1605" t="str">
        <f t="shared" si="20"/>
        <v>GUARDIAN</v>
      </c>
    </row>
    <row r="1606" spans="5:8" x14ac:dyDescent="0.25">
      <c r="E1606" t="str">
        <f>""</f>
        <v/>
      </c>
      <c r="F1606" t="str">
        <f>""</f>
        <v/>
      </c>
      <c r="G1606" s="3">
        <v>30.78</v>
      </c>
      <c r="H1606" t="str">
        <f t="shared" si="20"/>
        <v>GUARDIAN</v>
      </c>
    </row>
    <row r="1607" spans="5:8" x14ac:dyDescent="0.25">
      <c r="E1607" t="str">
        <f>""</f>
        <v/>
      </c>
      <c r="F1607" t="str">
        <f>""</f>
        <v/>
      </c>
      <c r="G1607" s="3">
        <v>168.33</v>
      </c>
      <c r="H1607" t="str">
        <f t="shared" si="20"/>
        <v>GUARDIAN</v>
      </c>
    </row>
    <row r="1608" spans="5:8" x14ac:dyDescent="0.25">
      <c r="E1608" t="str">
        <f>""</f>
        <v/>
      </c>
      <c r="F1608" t="str">
        <f>""</f>
        <v/>
      </c>
      <c r="G1608" s="3">
        <v>30.78</v>
      </c>
      <c r="H1608" t="str">
        <f t="shared" si="20"/>
        <v>GUARDIAN</v>
      </c>
    </row>
    <row r="1609" spans="5:8" x14ac:dyDescent="0.25">
      <c r="E1609" t="str">
        <f>""</f>
        <v/>
      </c>
      <c r="F1609" t="str">
        <f>""</f>
        <v/>
      </c>
      <c r="G1609" s="3">
        <v>30.78</v>
      </c>
      <c r="H1609" t="str">
        <f t="shared" si="20"/>
        <v>GUARDIAN</v>
      </c>
    </row>
    <row r="1610" spans="5:8" x14ac:dyDescent="0.25">
      <c r="E1610" t="str">
        <f>""</f>
        <v/>
      </c>
      <c r="F1610" t="str">
        <f>""</f>
        <v/>
      </c>
      <c r="G1610" s="3">
        <v>15.39</v>
      </c>
      <c r="H1610" t="str">
        <f t="shared" si="20"/>
        <v>GUARDIAN</v>
      </c>
    </row>
    <row r="1611" spans="5:8" x14ac:dyDescent="0.25">
      <c r="E1611" t="str">
        <f>""</f>
        <v/>
      </c>
      <c r="F1611" t="str">
        <f>""</f>
        <v/>
      </c>
      <c r="G1611" s="3">
        <v>92.34</v>
      </c>
      <c r="H1611" t="str">
        <f t="shared" si="20"/>
        <v>GUARDIAN</v>
      </c>
    </row>
    <row r="1612" spans="5:8" x14ac:dyDescent="0.25">
      <c r="E1612" t="str">
        <f>""</f>
        <v/>
      </c>
      <c r="F1612" t="str">
        <f>""</f>
        <v/>
      </c>
      <c r="G1612" s="3">
        <v>30.78</v>
      </c>
      <c r="H1612" t="str">
        <f t="shared" si="20"/>
        <v>GUARDIAN</v>
      </c>
    </row>
    <row r="1613" spans="5:8" x14ac:dyDescent="0.25">
      <c r="E1613" t="str">
        <f>""</f>
        <v/>
      </c>
      <c r="F1613" t="str">
        <f>""</f>
        <v/>
      </c>
      <c r="G1613" s="3">
        <v>92.34</v>
      </c>
      <c r="H1613" t="str">
        <f t="shared" si="20"/>
        <v>GUARDIAN</v>
      </c>
    </row>
    <row r="1614" spans="5:8" x14ac:dyDescent="0.25">
      <c r="E1614" t="str">
        <f>""</f>
        <v/>
      </c>
      <c r="F1614" t="str">
        <f>""</f>
        <v/>
      </c>
      <c r="G1614" s="3">
        <v>138.51</v>
      </c>
      <c r="H1614" t="str">
        <f t="shared" si="20"/>
        <v>GUARDIAN</v>
      </c>
    </row>
    <row r="1615" spans="5:8" x14ac:dyDescent="0.25">
      <c r="E1615" t="str">
        <f>""</f>
        <v/>
      </c>
      <c r="F1615" t="str">
        <f>""</f>
        <v/>
      </c>
      <c r="G1615" s="3">
        <v>215.69</v>
      </c>
      <c r="H1615" t="str">
        <f t="shared" si="20"/>
        <v>GUARDIAN</v>
      </c>
    </row>
    <row r="1616" spans="5:8" x14ac:dyDescent="0.25">
      <c r="E1616" t="str">
        <f>""</f>
        <v/>
      </c>
      <c r="F1616" t="str">
        <f>""</f>
        <v/>
      </c>
      <c r="G1616" s="3">
        <v>15.39</v>
      </c>
      <c r="H1616" t="str">
        <f t="shared" si="20"/>
        <v>GUARDIAN</v>
      </c>
    </row>
    <row r="1617" spans="5:8" x14ac:dyDescent="0.25">
      <c r="E1617" t="str">
        <f>""</f>
        <v/>
      </c>
      <c r="F1617" t="str">
        <f>""</f>
        <v/>
      </c>
      <c r="G1617" s="3">
        <v>903.69</v>
      </c>
      <c r="H1617" t="str">
        <f t="shared" si="20"/>
        <v>GUARDIAN</v>
      </c>
    </row>
    <row r="1618" spans="5:8" x14ac:dyDescent="0.25">
      <c r="E1618" t="str">
        <f>""</f>
        <v/>
      </c>
      <c r="F1618" t="str">
        <f>""</f>
        <v/>
      </c>
      <c r="G1618" s="3">
        <v>45.72</v>
      </c>
      <c r="H1618" t="str">
        <f t="shared" si="20"/>
        <v>GUARDIAN</v>
      </c>
    </row>
    <row r="1619" spans="5:8" x14ac:dyDescent="0.25">
      <c r="E1619" t="str">
        <f>""</f>
        <v/>
      </c>
      <c r="F1619" t="str">
        <f>""</f>
        <v/>
      </c>
      <c r="G1619" s="3">
        <v>774.33</v>
      </c>
      <c r="H1619" t="str">
        <f t="shared" si="20"/>
        <v>GUARDIAN</v>
      </c>
    </row>
    <row r="1620" spans="5:8" x14ac:dyDescent="0.25">
      <c r="E1620" t="str">
        <f>""</f>
        <v/>
      </c>
      <c r="F1620" t="str">
        <f>""</f>
        <v/>
      </c>
      <c r="G1620" s="3">
        <v>230.85</v>
      </c>
      <c r="H1620" t="str">
        <f t="shared" si="20"/>
        <v>GUARDIAN</v>
      </c>
    </row>
    <row r="1621" spans="5:8" x14ac:dyDescent="0.25">
      <c r="E1621" t="str">
        <f>""</f>
        <v/>
      </c>
      <c r="F1621" t="str">
        <f>""</f>
        <v/>
      </c>
      <c r="G1621" s="3">
        <v>30.78</v>
      </c>
      <c r="H1621" t="str">
        <f t="shared" si="20"/>
        <v>GUARDIAN</v>
      </c>
    </row>
    <row r="1622" spans="5:8" x14ac:dyDescent="0.25">
      <c r="E1622" t="str">
        <f>""</f>
        <v/>
      </c>
      <c r="F1622" t="str">
        <f>""</f>
        <v/>
      </c>
      <c r="G1622" s="3">
        <v>30.78</v>
      </c>
      <c r="H1622" t="str">
        <f t="shared" si="20"/>
        <v>GUARDIAN</v>
      </c>
    </row>
    <row r="1623" spans="5:8" x14ac:dyDescent="0.25">
      <c r="E1623" t="str">
        <f>""</f>
        <v/>
      </c>
      <c r="F1623" t="str">
        <f>""</f>
        <v/>
      </c>
      <c r="G1623" s="3">
        <v>15.39</v>
      </c>
      <c r="H1623" t="str">
        <f t="shared" si="20"/>
        <v>GUARDIAN</v>
      </c>
    </row>
    <row r="1624" spans="5:8" x14ac:dyDescent="0.25">
      <c r="E1624" t="str">
        <f>""</f>
        <v/>
      </c>
      <c r="F1624" t="str">
        <f>""</f>
        <v/>
      </c>
      <c r="G1624" s="3">
        <v>30.78</v>
      </c>
      <c r="H1624" t="str">
        <f t="shared" si="20"/>
        <v>GUARDIAN</v>
      </c>
    </row>
    <row r="1625" spans="5:8" x14ac:dyDescent="0.25">
      <c r="E1625" t="str">
        <f>""</f>
        <v/>
      </c>
      <c r="F1625" t="str">
        <f>""</f>
        <v/>
      </c>
      <c r="G1625" s="3">
        <v>15.39</v>
      </c>
      <c r="H1625" t="str">
        <f t="shared" si="20"/>
        <v>GUARDIAN</v>
      </c>
    </row>
    <row r="1626" spans="5:8" x14ac:dyDescent="0.25">
      <c r="E1626" t="str">
        <f>""</f>
        <v/>
      </c>
      <c r="F1626" t="str">
        <f>""</f>
        <v/>
      </c>
      <c r="G1626" s="3">
        <v>1.0900000000000001</v>
      </c>
      <c r="H1626" t="str">
        <f t="shared" si="20"/>
        <v>GUARDIAN</v>
      </c>
    </row>
    <row r="1627" spans="5:8" x14ac:dyDescent="0.25">
      <c r="E1627" t="str">
        <f>""</f>
        <v/>
      </c>
      <c r="F1627" t="str">
        <f>""</f>
        <v/>
      </c>
      <c r="G1627" s="3">
        <v>96.13</v>
      </c>
      <c r="H1627" t="str">
        <f t="shared" si="20"/>
        <v>GUARDIAN</v>
      </c>
    </row>
    <row r="1628" spans="5:8" x14ac:dyDescent="0.25">
      <c r="E1628" t="str">
        <f>""</f>
        <v/>
      </c>
      <c r="F1628" t="str">
        <f>""</f>
        <v/>
      </c>
      <c r="G1628" s="3">
        <v>89.44</v>
      </c>
      <c r="H1628" t="str">
        <f t="shared" si="20"/>
        <v>GUARDIAN</v>
      </c>
    </row>
    <row r="1629" spans="5:8" x14ac:dyDescent="0.25">
      <c r="E1629" t="str">
        <f>""</f>
        <v/>
      </c>
      <c r="F1629" t="str">
        <f>""</f>
        <v/>
      </c>
      <c r="G1629" s="3">
        <v>166.39</v>
      </c>
      <c r="H1629" t="str">
        <f t="shared" si="20"/>
        <v>GUARDIAN</v>
      </c>
    </row>
    <row r="1630" spans="5:8" x14ac:dyDescent="0.25">
      <c r="E1630" t="str">
        <f>""</f>
        <v/>
      </c>
      <c r="F1630" t="str">
        <f>""</f>
        <v/>
      </c>
      <c r="G1630" s="3">
        <v>151</v>
      </c>
      <c r="H1630" t="str">
        <f t="shared" si="20"/>
        <v>GUARDIAN</v>
      </c>
    </row>
    <row r="1631" spans="5:8" x14ac:dyDescent="0.25">
      <c r="E1631" t="str">
        <f>""</f>
        <v/>
      </c>
      <c r="F1631" t="str">
        <f>""</f>
        <v/>
      </c>
      <c r="G1631" s="3">
        <v>0.4</v>
      </c>
      <c r="H1631" t="str">
        <f t="shared" si="20"/>
        <v>GUARDIAN</v>
      </c>
    </row>
    <row r="1632" spans="5:8" x14ac:dyDescent="0.25">
      <c r="E1632" t="str">
        <f>""</f>
        <v/>
      </c>
      <c r="F1632" t="str">
        <f>""</f>
        <v/>
      </c>
      <c r="G1632" s="3">
        <v>0.56000000000000005</v>
      </c>
      <c r="H1632" t="str">
        <f t="shared" si="20"/>
        <v>GUARDIAN</v>
      </c>
    </row>
    <row r="1633" spans="5:8" x14ac:dyDescent="0.25">
      <c r="E1633" t="str">
        <f>""</f>
        <v/>
      </c>
      <c r="F1633" t="str">
        <f>""</f>
        <v/>
      </c>
      <c r="G1633" s="3">
        <v>15.33</v>
      </c>
      <c r="H1633" t="str">
        <f t="shared" si="20"/>
        <v>GUARDIAN</v>
      </c>
    </row>
    <row r="1634" spans="5:8" x14ac:dyDescent="0.25">
      <c r="E1634" t="str">
        <f>"GDE202111227342"</f>
        <v>GDE202111227342</v>
      </c>
      <c r="F1634" t="str">
        <f>"GUARDIAN"</f>
        <v>GUARDIAN</v>
      </c>
      <c r="G1634" s="3">
        <v>153.9</v>
      </c>
      <c r="H1634" t="str">
        <f t="shared" si="20"/>
        <v>GUARDIAN</v>
      </c>
    </row>
    <row r="1635" spans="5:8" x14ac:dyDescent="0.25">
      <c r="E1635" t="str">
        <f>"GDF202111097073"</f>
        <v>GDF202111097073</v>
      </c>
      <c r="F1635" t="str">
        <f>"GUARDIAN"</f>
        <v>GUARDIAN</v>
      </c>
      <c r="G1635" s="3">
        <v>30.78</v>
      </c>
      <c r="H1635" t="str">
        <f t="shared" si="20"/>
        <v>GUARDIAN</v>
      </c>
    </row>
    <row r="1636" spans="5:8" x14ac:dyDescent="0.25">
      <c r="E1636" t="str">
        <f>""</f>
        <v/>
      </c>
      <c r="F1636" t="str">
        <f>""</f>
        <v/>
      </c>
      <c r="G1636" s="3">
        <v>30.78</v>
      </c>
      <c r="H1636" t="str">
        <f t="shared" si="20"/>
        <v>GUARDIAN</v>
      </c>
    </row>
    <row r="1637" spans="5:8" x14ac:dyDescent="0.25">
      <c r="E1637" t="str">
        <f>""</f>
        <v/>
      </c>
      <c r="F1637" t="str">
        <f>""</f>
        <v/>
      </c>
      <c r="G1637" s="3">
        <v>30.78</v>
      </c>
      <c r="H1637" t="str">
        <f t="shared" si="20"/>
        <v>GUARDIAN</v>
      </c>
    </row>
    <row r="1638" spans="5:8" x14ac:dyDescent="0.25">
      <c r="E1638" t="str">
        <f>""</f>
        <v/>
      </c>
      <c r="F1638" t="str">
        <f>""</f>
        <v/>
      </c>
      <c r="G1638" s="3">
        <v>15.39</v>
      </c>
      <c r="H1638" t="str">
        <f t="shared" si="20"/>
        <v>GUARDIAN</v>
      </c>
    </row>
    <row r="1639" spans="5:8" x14ac:dyDescent="0.25">
      <c r="E1639" t="str">
        <f>""</f>
        <v/>
      </c>
      <c r="F1639" t="str">
        <f>""</f>
        <v/>
      </c>
      <c r="G1639" s="3">
        <v>30.78</v>
      </c>
      <c r="H1639" t="str">
        <f t="shared" si="20"/>
        <v>GUARDIAN</v>
      </c>
    </row>
    <row r="1640" spans="5:8" x14ac:dyDescent="0.25">
      <c r="E1640" t="str">
        <f>""</f>
        <v/>
      </c>
      <c r="F1640" t="str">
        <f>""</f>
        <v/>
      </c>
      <c r="G1640" s="3">
        <v>15.39</v>
      </c>
      <c r="H1640" t="str">
        <f t="shared" si="20"/>
        <v>GUARDIAN</v>
      </c>
    </row>
    <row r="1641" spans="5:8" x14ac:dyDescent="0.25">
      <c r="E1641" t="str">
        <f>""</f>
        <v/>
      </c>
      <c r="F1641" t="str">
        <f>""</f>
        <v/>
      </c>
      <c r="G1641" s="3">
        <v>15.39</v>
      </c>
      <c r="H1641" t="str">
        <f t="shared" si="20"/>
        <v>GUARDIAN</v>
      </c>
    </row>
    <row r="1642" spans="5:8" x14ac:dyDescent="0.25">
      <c r="E1642" t="str">
        <f>""</f>
        <v/>
      </c>
      <c r="F1642" t="str">
        <f>""</f>
        <v/>
      </c>
      <c r="G1642" s="3">
        <v>15.39</v>
      </c>
      <c r="H1642" t="str">
        <f t="shared" si="20"/>
        <v>GUARDIAN</v>
      </c>
    </row>
    <row r="1643" spans="5:8" x14ac:dyDescent="0.25">
      <c r="E1643" t="str">
        <f>""</f>
        <v/>
      </c>
      <c r="F1643" t="str">
        <f>""</f>
        <v/>
      </c>
      <c r="G1643" s="3">
        <v>15.39</v>
      </c>
      <c r="H1643" t="str">
        <f t="shared" si="20"/>
        <v>GUARDIAN</v>
      </c>
    </row>
    <row r="1644" spans="5:8" x14ac:dyDescent="0.25">
      <c r="E1644" t="str">
        <f>""</f>
        <v/>
      </c>
      <c r="F1644" t="str">
        <f>""</f>
        <v/>
      </c>
      <c r="G1644" s="3">
        <v>30.78</v>
      </c>
      <c r="H1644" t="str">
        <f t="shared" si="20"/>
        <v>GUARDIAN</v>
      </c>
    </row>
    <row r="1645" spans="5:8" x14ac:dyDescent="0.25">
      <c r="E1645" t="str">
        <f>""</f>
        <v/>
      </c>
      <c r="F1645" t="str">
        <f>""</f>
        <v/>
      </c>
      <c r="G1645" s="3">
        <v>30.78</v>
      </c>
      <c r="H1645" t="str">
        <f t="shared" si="20"/>
        <v>GUARDIAN</v>
      </c>
    </row>
    <row r="1646" spans="5:8" x14ac:dyDescent="0.25">
      <c r="E1646" t="str">
        <f>""</f>
        <v/>
      </c>
      <c r="F1646" t="str">
        <f>""</f>
        <v/>
      </c>
      <c r="G1646" s="3">
        <v>15.39</v>
      </c>
      <c r="H1646" t="str">
        <f t="shared" si="20"/>
        <v>GUARDIAN</v>
      </c>
    </row>
    <row r="1647" spans="5:8" x14ac:dyDescent="0.25">
      <c r="E1647" t="str">
        <f>""</f>
        <v/>
      </c>
      <c r="F1647" t="str">
        <f>""</f>
        <v/>
      </c>
      <c r="G1647" s="3">
        <v>30.78</v>
      </c>
      <c r="H1647" t="str">
        <f t="shared" si="20"/>
        <v>GUARDIAN</v>
      </c>
    </row>
    <row r="1648" spans="5:8" x14ac:dyDescent="0.25">
      <c r="E1648" t="str">
        <f>""</f>
        <v/>
      </c>
      <c r="F1648" t="str">
        <f>""</f>
        <v/>
      </c>
      <c r="G1648" s="3">
        <v>15.39</v>
      </c>
      <c r="H1648" t="str">
        <f t="shared" si="20"/>
        <v>GUARDIAN</v>
      </c>
    </row>
    <row r="1649" spans="5:8" x14ac:dyDescent="0.25">
      <c r="E1649" t="str">
        <f>""</f>
        <v/>
      </c>
      <c r="F1649" t="str">
        <f>""</f>
        <v/>
      </c>
      <c r="G1649" s="3">
        <v>30.78</v>
      </c>
      <c r="H1649" t="str">
        <f t="shared" si="20"/>
        <v>GUARDIAN</v>
      </c>
    </row>
    <row r="1650" spans="5:8" x14ac:dyDescent="0.25">
      <c r="E1650" t="str">
        <f>""</f>
        <v/>
      </c>
      <c r="F1650" t="str">
        <f>""</f>
        <v/>
      </c>
      <c r="G1650" s="3">
        <v>46.17</v>
      </c>
      <c r="H1650" t="str">
        <f t="shared" si="20"/>
        <v>GUARDIAN</v>
      </c>
    </row>
    <row r="1651" spans="5:8" x14ac:dyDescent="0.25">
      <c r="E1651" t="str">
        <f>""</f>
        <v/>
      </c>
      <c r="F1651" t="str">
        <f>""</f>
        <v/>
      </c>
      <c r="G1651" s="3">
        <v>15.39</v>
      </c>
      <c r="H1651" t="str">
        <f t="shared" si="20"/>
        <v>GUARDIAN</v>
      </c>
    </row>
    <row r="1652" spans="5:8" x14ac:dyDescent="0.25">
      <c r="E1652" t="str">
        <f>""</f>
        <v/>
      </c>
      <c r="F1652" t="str">
        <f>""</f>
        <v/>
      </c>
      <c r="G1652" s="3">
        <v>170.86</v>
      </c>
      <c r="H1652" t="str">
        <f t="shared" si="20"/>
        <v>GUARDIAN</v>
      </c>
    </row>
    <row r="1653" spans="5:8" x14ac:dyDescent="0.25">
      <c r="E1653" t="str">
        <f>""</f>
        <v/>
      </c>
      <c r="F1653" t="str">
        <f>""</f>
        <v/>
      </c>
      <c r="G1653" s="3">
        <v>121.55</v>
      </c>
      <c r="H1653" t="str">
        <f t="shared" si="20"/>
        <v>GUARDIAN</v>
      </c>
    </row>
    <row r="1654" spans="5:8" x14ac:dyDescent="0.25">
      <c r="E1654" t="str">
        <f>""</f>
        <v/>
      </c>
      <c r="F1654" t="str">
        <f>""</f>
        <v/>
      </c>
      <c r="G1654" s="3">
        <v>15.39</v>
      </c>
      <c r="H1654" t="str">
        <f t="shared" si="20"/>
        <v>GUARDIAN</v>
      </c>
    </row>
    <row r="1655" spans="5:8" x14ac:dyDescent="0.25">
      <c r="E1655" t="str">
        <f>""</f>
        <v/>
      </c>
      <c r="F1655" t="str">
        <f>""</f>
        <v/>
      </c>
      <c r="G1655" s="3">
        <v>15.39</v>
      </c>
      <c r="H1655" t="str">
        <f t="shared" si="20"/>
        <v>GUARDIAN</v>
      </c>
    </row>
    <row r="1656" spans="5:8" x14ac:dyDescent="0.25">
      <c r="E1656" t="str">
        <f>""</f>
        <v/>
      </c>
      <c r="F1656" t="str">
        <f>""</f>
        <v/>
      </c>
      <c r="G1656" s="3">
        <v>15.39</v>
      </c>
      <c r="H1656" t="str">
        <f t="shared" si="20"/>
        <v>GUARDIAN</v>
      </c>
    </row>
    <row r="1657" spans="5:8" x14ac:dyDescent="0.25">
      <c r="E1657" t="str">
        <f>""</f>
        <v/>
      </c>
      <c r="F1657" t="str">
        <f>""</f>
        <v/>
      </c>
      <c r="G1657" s="3">
        <v>15.39</v>
      </c>
      <c r="H1657" t="str">
        <f t="shared" si="20"/>
        <v>GUARDIAN</v>
      </c>
    </row>
    <row r="1658" spans="5:8" x14ac:dyDescent="0.25">
      <c r="E1658" t="str">
        <f>""</f>
        <v/>
      </c>
      <c r="F1658" t="str">
        <f>""</f>
        <v/>
      </c>
      <c r="G1658" s="3">
        <v>15.39</v>
      </c>
      <c r="H1658" t="str">
        <f t="shared" si="20"/>
        <v>GUARDIAN</v>
      </c>
    </row>
    <row r="1659" spans="5:8" x14ac:dyDescent="0.25">
      <c r="E1659" t="str">
        <f>""</f>
        <v/>
      </c>
      <c r="F1659" t="str">
        <f>""</f>
        <v/>
      </c>
      <c r="G1659" s="3">
        <v>1775.82</v>
      </c>
      <c r="H1659" t="str">
        <f t="shared" ref="H1659:H1722" si="21">"GUARDIAN"</f>
        <v>GUARDIAN</v>
      </c>
    </row>
    <row r="1660" spans="5:8" x14ac:dyDescent="0.25">
      <c r="E1660" t="str">
        <f>"GDF202111097074"</f>
        <v>GDF202111097074</v>
      </c>
      <c r="F1660" t="str">
        <f>"GUARDIAN"</f>
        <v>GUARDIAN</v>
      </c>
      <c r="G1660" s="3">
        <v>30.78</v>
      </c>
      <c r="H1660" t="str">
        <f t="shared" si="21"/>
        <v>GUARDIAN</v>
      </c>
    </row>
    <row r="1661" spans="5:8" x14ac:dyDescent="0.25">
      <c r="E1661" t="str">
        <f>""</f>
        <v/>
      </c>
      <c r="F1661" t="str">
        <f>""</f>
        <v/>
      </c>
      <c r="G1661" s="3">
        <v>69.64</v>
      </c>
      <c r="H1661" t="str">
        <f t="shared" si="21"/>
        <v>GUARDIAN</v>
      </c>
    </row>
    <row r="1662" spans="5:8" x14ac:dyDescent="0.25">
      <c r="E1662" t="str">
        <f>"GDF202111227341"</f>
        <v>GDF202111227341</v>
      </c>
      <c r="F1662" t="str">
        <f>"GUARDIAN"</f>
        <v>GUARDIAN</v>
      </c>
      <c r="G1662" s="3">
        <v>30.78</v>
      </c>
      <c r="H1662" t="str">
        <f t="shared" si="21"/>
        <v>GUARDIAN</v>
      </c>
    </row>
    <row r="1663" spans="5:8" x14ac:dyDescent="0.25">
      <c r="E1663" t="str">
        <f>""</f>
        <v/>
      </c>
      <c r="F1663" t="str">
        <f>""</f>
        <v/>
      </c>
      <c r="G1663" s="3">
        <v>30.78</v>
      </c>
      <c r="H1663" t="str">
        <f t="shared" si="21"/>
        <v>GUARDIAN</v>
      </c>
    </row>
    <row r="1664" spans="5:8" x14ac:dyDescent="0.25">
      <c r="E1664" t="str">
        <f>""</f>
        <v/>
      </c>
      <c r="F1664" t="str">
        <f>""</f>
        <v/>
      </c>
      <c r="G1664" s="3">
        <v>30.78</v>
      </c>
      <c r="H1664" t="str">
        <f t="shared" si="21"/>
        <v>GUARDIAN</v>
      </c>
    </row>
    <row r="1665" spans="5:8" x14ac:dyDescent="0.25">
      <c r="E1665" t="str">
        <f>""</f>
        <v/>
      </c>
      <c r="F1665" t="str">
        <f>""</f>
        <v/>
      </c>
      <c r="G1665" s="3">
        <v>15.39</v>
      </c>
      <c r="H1665" t="str">
        <f t="shared" si="21"/>
        <v>GUARDIAN</v>
      </c>
    </row>
    <row r="1666" spans="5:8" x14ac:dyDescent="0.25">
      <c r="E1666" t="str">
        <f>""</f>
        <v/>
      </c>
      <c r="F1666" t="str">
        <f>""</f>
        <v/>
      </c>
      <c r="G1666" s="3">
        <v>30.78</v>
      </c>
      <c r="H1666" t="str">
        <f t="shared" si="21"/>
        <v>GUARDIAN</v>
      </c>
    </row>
    <row r="1667" spans="5:8" x14ac:dyDescent="0.25">
      <c r="E1667" t="str">
        <f>""</f>
        <v/>
      </c>
      <c r="F1667" t="str">
        <f>""</f>
        <v/>
      </c>
      <c r="G1667" s="3">
        <v>15.39</v>
      </c>
      <c r="H1667" t="str">
        <f t="shared" si="21"/>
        <v>GUARDIAN</v>
      </c>
    </row>
    <row r="1668" spans="5:8" x14ac:dyDescent="0.25">
      <c r="E1668" t="str">
        <f>""</f>
        <v/>
      </c>
      <c r="F1668" t="str">
        <f>""</f>
        <v/>
      </c>
      <c r="G1668" s="3">
        <v>15.39</v>
      </c>
      <c r="H1668" t="str">
        <f t="shared" si="21"/>
        <v>GUARDIAN</v>
      </c>
    </row>
    <row r="1669" spans="5:8" x14ac:dyDescent="0.25">
      <c r="E1669" t="str">
        <f>""</f>
        <v/>
      </c>
      <c r="F1669" t="str">
        <f>""</f>
        <v/>
      </c>
      <c r="G1669" s="3">
        <v>15.39</v>
      </c>
      <c r="H1669" t="str">
        <f t="shared" si="21"/>
        <v>GUARDIAN</v>
      </c>
    </row>
    <row r="1670" spans="5:8" x14ac:dyDescent="0.25">
      <c r="E1670" t="str">
        <f>""</f>
        <v/>
      </c>
      <c r="F1670" t="str">
        <f>""</f>
        <v/>
      </c>
      <c r="G1670" s="3">
        <v>15.39</v>
      </c>
      <c r="H1670" t="str">
        <f t="shared" si="21"/>
        <v>GUARDIAN</v>
      </c>
    </row>
    <row r="1671" spans="5:8" x14ac:dyDescent="0.25">
      <c r="E1671" t="str">
        <f>""</f>
        <v/>
      </c>
      <c r="F1671" t="str">
        <f>""</f>
        <v/>
      </c>
      <c r="G1671" s="3">
        <v>30.78</v>
      </c>
      <c r="H1671" t="str">
        <f t="shared" si="21"/>
        <v>GUARDIAN</v>
      </c>
    </row>
    <row r="1672" spans="5:8" x14ac:dyDescent="0.25">
      <c r="E1672" t="str">
        <f>""</f>
        <v/>
      </c>
      <c r="F1672" t="str">
        <f>""</f>
        <v/>
      </c>
      <c r="G1672" s="3">
        <v>30.78</v>
      </c>
      <c r="H1672" t="str">
        <f t="shared" si="21"/>
        <v>GUARDIAN</v>
      </c>
    </row>
    <row r="1673" spans="5:8" x14ac:dyDescent="0.25">
      <c r="E1673" t="str">
        <f>""</f>
        <v/>
      </c>
      <c r="F1673" t="str">
        <f>""</f>
        <v/>
      </c>
      <c r="G1673" s="3">
        <v>30.78</v>
      </c>
      <c r="H1673" t="str">
        <f t="shared" si="21"/>
        <v>GUARDIAN</v>
      </c>
    </row>
    <row r="1674" spans="5:8" x14ac:dyDescent="0.25">
      <c r="E1674" t="str">
        <f>""</f>
        <v/>
      </c>
      <c r="F1674" t="str">
        <f>""</f>
        <v/>
      </c>
      <c r="G1674" s="3">
        <v>15.39</v>
      </c>
      <c r="H1674" t="str">
        <f t="shared" si="21"/>
        <v>GUARDIAN</v>
      </c>
    </row>
    <row r="1675" spans="5:8" x14ac:dyDescent="0.25">
      <c r="E1675" t="str">
        <f>""</f>
        <v/>
      </c>
      <c r="F1675" t="str">
        <f>""</f>
        <v/>
      </c>
      <c r="G1675" s="3">
        <v>15.39</v>
      </c>
      <c r="H1675" t="str">
        <f t="shared" si="21"/>
        <v>GUARDIAN</v>
      </c>
    </row>
    <row r="1676" spans="5:8" x14ac:dyDescent="0.25">
      <c r="E1676" t="str">
        <f>""</f>
        <v/>
      </c>
      <c r="F1676" t="str">
        <f>""</f>
        <v/>
      </c>
      <c r="G1676" s="3">
        <v>30.78</v>
      </c>
      <c r="H1676" t="str">
        <f t="shared" si="21"/>
        <v>GUARDIAN</v>
      </c>
    </row>
    <row r="1677" spans="5:8" x14ac:dyDescent="0.25">
      <c r="E1677" t="str">
        <f>""</f>
        <v/>
      </c>
      <c r="F1677" t="str">
        <f>""</f>
        <v/>
      </c>
      <c r="G1677" s="3">
        <v>46.17</v>
      </c>
      <c r="H1677" t="str">
        <f t="shared" si="21"/>
        <v>GUARDIAN</v>
      </c>
    </row>
    <row r="1678" spans="5:8" x14ac:dyDescent="0.25">
      <c r="E1678" t="str">
        <f>""</f>
        <v/>
      </c>
      <c r="F1678" t="str">
        <f>""</f>
        <v/>
      </c>
      <c r="G1678" s="3">
        <v>15.39</v>
      </c>
      <c r="H1678" t="str">
        <f t="shared" si="21"/>
        <v>GUARDIAN</v>
      </c>
    </row>
    <row r="1679" spans="5:8" x14ac:dyDescent="0.25">
      <c r="E1679" t="str">
        <f>""</f>
        <v/>
      </c>
      <c r="F1679" t="str">
        <f>""</f>
        <v/>
      </c>
      <c r="G1679" s="3">
        <v>170.86</v>
      </c>
      <c r="H1679" t="str">
        <f t="shared" si="21"/>
        <v>GUARDIAN</v>
      </c>
    </row>
    <row r="1680" spans="5:8" x14ac:dyDescent="0.25">
      <c r="E1680" t="str">
        <f>""</f>
        <v/>
      </c>
      <c r="F1680" t="str">
        <f>""</f>
        <v/>
      </c>
      <c r="G1680" s="3">
        <v>121.55</v>
      </c>
      <c r="H1680" t="str">
        <f t="shared" si="21"/>
        <v>GUARDIAN</v>
      </c>
    </row>
    <row r="1681" spans="5:8" x14ac:dyDescent="0.25">
      <c r="E1681" t="str">
        <f>""</f>
        <v/>
      </c>
      <c r="F1681" t="str">
        <f>""</f>
        <v/>
      </c>
      <c r="G1681" s="3">
        <v>15.39</v>
      </c>
      <c r="H1681" t="str">
        <f t="shared" si="21"/>
        <v>GUARDIAN</v>
      </c>
    </row>
    <row r="1682" spans="5:8" x14ac:dyDescent="0.25">
      <c r="E1682" t="str">
        <f>""</f>
        <v/>
      </c>
      <c r="F1682" t="str">
        <f>""</f>
        <v/>
      </c>
      <c r="G1682" s="3">
        <v>15.39</v>
      </c>
      <c r="H1682" t="str">
        <f t="shared" si="21"/>
        <v>GUARDIAN</v>
      </c>
    </row>
    <row r="1683" spans="5:8" x14ac:dyDescent="0.25">
      <c r="E1683" t="str">
        <f>""</f>
        <v/>
      </c>
      <c r="F1683" t="str">
        <f>""</f>
        <v/>
      </c>
      <c r="G1683" s="3">
        <v>15.39</v>
      </c>
      <c r="H1683" t="str">
        <f t="shared" si="21"/>
        <v>GUARDIAN</v>
      </c>
    </row>
    <row r="1684" spans="5:8" x14ac:dyDescent="0.25">
      <c r="E1684" t="str">
        <f>""</f>
        <v/>
      </c>
      <c r="F1684" t="str">
        <f>""</f>
        <v/>
      </c>
      <c r="G1684" s="3">
        <v>15.39</v>
      </c>
      <c r="H1684" t="str">
        <f t="shared" si="21"/>
        <v>GUARDIAN</v>
      </c>
    </row>
    <row r="1685" spans="5:8" x14ac:dyDescent="0.25">
      <c r="E1685" t="str">
        <f>""</f>
        <v/>
      </c>
      <c r="F1685" t="str">
        <f>""</f>
        <v/>
      </c>
      <c r="G1685" s="3">
        <v>15.39</v>
      </c>
      <c r="H1685" t="str">
        <f t="shared" si="21"/>
        <v>GUARDIAN</v>
      </c>
    </row>
    <row r="1686" spans="5:8" x14ac:dyDescent="0.25">
      <c r="E1686" t="str">
        <f>""</f>
        <v/>
      </c>
      <c r="F1686" t="str">
        <f>""</f>
        <v/>
      </c>
      <c r="G1686" s="3">
        <v>1775.82</v>
      </c>
      <c r="H1686" t="str">
        <f t="shared" si="21"/>
        <v>GUARDIAN</v>
      </c>
    </row>
    <row r="1687" spans="5:8" x14ac:dyDescent="0.25">
      <c r="E1687" t="str">
        <f>"GDF202111227342"</f>
        <v>GDF202111227342</v>
      </c>
      <c r="F1687" t="str">
        <f>"GUARDIAN"</f>
        <v>GUARDIAN</v>
      </c>
      <c r="G1687" s="3">
        <v>30.78</v>
      </c>
      <c r="H1687" t="str">
        <f t="shared" si="21"/>
        <v>GUARDIAN</v>
      </c>
    </row>
    <row r="1688" spans="5:8" x14ac:dyDescent="0.25">
      <c r="E1688" t="str">
        <f>""</f>
        <v/>
      </c>
      <c r="F1688" t="str">
        <f>""</f>
        <v/>
      </c>
      <c r="G1688" s="3">
        <v>69.64</v>
      </c>
      <c r="H1688" t="str">
        <f t="shared" si="21"/>
        <v>GUARDIAN</v>
      </c>
    </row>
    <row r="1689" spans="5:8" x14ac:dyDescent="0.25">
      <c r="E1689" t="str">
        <f>"GDS202111097073"</f>
        <v>GDS202111097073</v>
      </c>
      <c r="F1689" t="str">
        <f>"GUARDIAN"</f>
        <v>GUARDIAN</v>
      </c>
      <c r="G1689" s="3">
        <v>15.39</v>
      </c>
      <c r="H1689" t="str">
        <f t="shared" si="21"/>
        <v>GUARDIAN</v>
      </c>
    </row>
    <row r="1690" spans="5:8" x14ac:dyDescent="0.25">
      <c r="E1690" t="str">
        <f>""</f>
        <v/>
      </c>
      <c r="F1690" t="str">
        <f>""</f>
        <v/>
      </c>
      <c r="G1690" s="3">
        <v>6.69</v>
      </c>
      <c r="H1690" t="str">
        <f t="shared" si="21"/>
        <v>GUARDIAN</v>
      </c>
    </row>
    <row r="1691" spans="5:8" x14ac:dyDescent="0.25">
      <c r="E1691" t="str">
        <f>""</f>
        <v/>
      </c>
      <c r="F1691" t="str">
        <f>""</f>
        <v/>
      </c>
      <c r="G1691" s="3">
        <v>15.39</v>
      </c>
      <c r="H1691" t="str">
        <f t="shared" si="21"/>
        <v>GUARDIAN</v>
      </c>
    </row>
    <row r="1692" spans="5:8" x14ac:dyDescent="0.25">
      <c r="E1692" t="str">
        <f>""</f>
        <v/>
      </c>
      <c r="F1692" t="str">
        <f>""</f>
        <v/>
      </c>
      <c r="G1692" s="3">
        <v>15.39</v>
      </c>
      <c r="H1692" t="str">
        <f t="shared" si="21"/>
        <v>GUARDIAN</v>
      </c>
    </row>
    <row r="1693" spans="5:8" x14ac:dyDescent="0.25">
      <c r="E1693" t="str">
        <f>""</f>
        <v/>
      </c>
      <c r="F1693" t="str">
        <f>""</f>
        <v/>
      </c>
      <c r="G1693" s="3">
        <v>15.39</v>
      </c>
      <c r="H1693" t="str">
        <f t="shared" si="21"/>
        <v>GUARDIAN</v>
      </c>
    </row>
    <row r="1694" spans="5:8" x14ac:dyDescent="0.25">
      <c r="E1694" t="str">
        <f>""</f>
        <v/>
      </c>
      <c r="F1694" t="str">
        <f>""</f>
        <v/>
      </c>
      <c r="G1694" s="3">
        <v>76.95</v>
      </c>
      <c r="H1694" t="str">
        <f t="shared" si="21"/>
        <v>GUARDIAN</v>
      </c>
    </row>
    <row r="1695" spans="5:8" x14ac:dyDescent="0.25">
      <c r="E1695" t="str">
        <f>""</f>
        <v/>
      </c>
      <c r="F1695" t="str">
        <f>""</f>
        <v/>
      </c>
      <c r="G1695" s="3">
        <v>15.39</v>
      </c>
      <c r="H1695" t="str">
        <f t="shared" si="21"/>
        <v>GUARDIAN</v>
      </c>
    </row>
    <row r="1696" spans="5:8" x14ac:dyDescent="0.25">
      <c r="E1696" t="str">
        <f>""</f>
        <v/>
      </c>
      <c r="F1696" t="str">
        <f>""</f>
        <v/>
      </c>
      <c r="G1696" s="3">
        <v>30.01</v>
      </c>
      <c r="H1696" t="str">
        <f t="shared" si="21"/>
        <v>GUARDIAN</v>
      </c>
    </row>
    <row r="1697" spans="5:8" x14ac:dyDescent="0.25">
      <c r="E1697" t="str">
        <f>""</f>
        <v/>
      </c>
      <c r="F1697" t="str">
        <f>""</f>
        <v/>
      </c>
      <c r="G1697" s="3">
        <v>30.78</v>
      </c>
      <c r="H1697" t="str">
        <f t="shared" si="21"/>
        <v>GUARDIAN</v>
      </c>
    </row>
    <row r="1698" spans="5:8" x14ac:dyDescent="0.25">
      <c r="E1698" t="str">
        <f>""</f>
        <v/>
      </c>
      <c r="F1698" t="str">
        <f>""</f>
        <v/>
      </c>
      <c r="G1698" s="3">
        <v>46.17</v>
      </c>
      <c r="H1698" t="str">
        <f t="shared" si="21"/>
        <v>GUARDIAN</v>
      </c>
    </row>
    <row r="1699" spans="5:8" x14ac:dyDescent="0.25">
      <c r="E1699" t="str">
        <f>""</f>
        <v/>
      </c>
      <c r="F1699" t="str">
        <f>""</f>
        <v/>
      </c>
      <c r="G1699" s="3">
        <v>30.78</v>
      </c>
      <c r="H1699" t="str">
        <f t="shared" si="21"/>
        <v>GUARDIAN</v>
      </c>
    </row>
    <row r="1700" spans="5:8" x14ac:dyDescent="0.25">
      <c r="E1700" t="str">
        <f>""</f>
        <v/>
      </c>
      <c r="F1700" t="str">
        <f>""</f>
        <v/>
      </c>
      <c r="G1700" s="3">
        <v>46.17</v>
      </c>
      <c r="H1700" t="str">
        <f t="shared" si="21"/>
        <v>GUARDIAN</v>
      </c>
    </row>
    <row r="1701" spans="5:8" x14ac:dyDescent="0.25">
      <c r="E1701" t="str">
        <f>""</f>
        <v/>
      </c>
      <c r="F1701" t="str">
        <f>""</f>
        <v/>
      </c>
      <c r="G1701" s="3">
        <v>15.39</v>
      </c>
      <c r="H1701" t="str">
        <f t="shared" si="21"/>
        <v>GUARDIAN</v>
      </c>
    </row>
    <row r="1702" spans="5:8" x14ac:dyDescent="0.25">
      <c r="E1702" t="str">
        <f>""</f>
        <v/>
      </c>
      <c r="F1702" t="str">
        <f>""</f>
        <v/>
      </c>
      <c r="G1702" s="3">
        <v>30.78</v>
      </c>
      <c r="H1702" t="str">
        <f t="shared" si="21"/>
        <v>GUARDIAN</v>
      </c>
    </row>
    <row r="1703" spans="5:8" x14ac:dyDescent="0.25">
      <c r="E1703" t="str">
        <f>""</f>
        <v/>
      </c>
      <c r="F1703" t="str">
        <f>""</f>
        <v/>
      </c>
      <c r="G1703" s="3">
        <v>15.39</v>
      </c>
      <c r="H1703" t="str">
        <f t="shared" si="21"/>
        <v>GUARDIAN</v>
      </c>
    </row>
    <row r="1704" spans="5:8" x14ac:dyDescent="0.25">
      <c r="E1704" t="str">
        <f>""</f>
        <v/>
      </c>
      <c r="F1704" t="str">
        <f>""</f>
        <v/>
      </c>
      <c r="G1704" s="3">
        <v>139.61000000000001</v>
      </c>
      <c r="H1704" t="str">
        <f t="shared" si="21"/>
        <v>GUARDIAN</v>
      </c>
    </row>
    <row r="1705" spans="5:8" x14ac:dyDescent="0.25">
      <c r="E1705" t="str">
        <f>""</f>
        <v/>
      </c>
      <c r="F1705" t="str">
        <f>""</f>
        <v/>
      </c>
      <c r="G1705" s="3">
        <v>91.24</v>
      </c>
      <c r="H1705" t="str">
        <f t="shared" si="21"/>
        <v>GUARDIAN</v>
      </c>
    </row>
    <row r="1706" spans="5:8" x14ac:dyDescent="0.25">
      <c r="E1706" t="str">
        <f>""</f>
        <v/>
      </c>
      <c r="F1706" t="str">
        <f>""</f>
        <v/>
      </c>
      <c r="G1706" s="3">
        <v>15.39</v>
      </c>
      <c r="H1706" t="str">
        <f t="shared" si="21"/>
        <v>GUARDIAN</v>
      </c>
    </row>
    <row r="1707" spans="5:8" x14ac:dyDescent="0.25">
      <c r="E1707" t="str">
        <f>""</f>
        <v/>
      </c>
      <c r="F1707" t="str">
        <f>""</f>
        <v/>
      </c>
      <c r="G1707" s="3">
        <v>3.94</v>
      </c>
      <c r="H1707" t="str">
        <f t="shared" si="21"/>
        <v>GUARDIAN</v>
      </c>
    </row>
    <row r="1708" spans="5:8" x14ac:dyDescent="0.25">
      <c r="E1708" t="str">
        <f>""</f>
        <v/>
      </c>
      <c r="F1708" t="str">
        <f>""</f>
        <v/>
      </c>
      <c r="G1708" s="3">
        <v>15.39</v>
      </c>
      <c r="H1708" t="str">
        <f t="shared" si="21"/>
        <v>GUARDIAN</v>
      </c>
    </row>
    <row r="1709" spans="5:8" x14ac:dyDescent="0.25">
      <c r="E1709" t="str">
        <f>""</f>
        <v/>
      </c>
      <c r="F1709" t="str">
        <f>""</f>
        <v/>
      </c>
      <c r="G1709" s="3">
        <v>15.39</v>
      </c>
      <c r="H1709" t="str">
        <f t="shared" si="21"/>
        <v>GUARDIAN</v>
      </c>
    </row>
    <row r="1710" spans="5:8" x14ac:dyDescent="0.25">
      <c r="E1710" t="str">
        <f>""</f>
        <v/>
      </c>
      <c r="F1710" t="str">
        <f>""</f>
        <v/>
      </c>
      <c r="G1710" s="3">
        <v>85.65</v>
      </c>
      <c r="H1710" t="str">
        <f t="shared" si="21"/>
        <v>GUARDIAN</v>
      </c>
    </row>
    <row r="1711" spans="5:8" x14ac:dyDescent="0.25">
      <c r="E1711" t="str">
        <f>""</f>
        <v/>
      </c>
      <c r="F1711" t="str">
        <f>""</f>
        <v/>
      </c>
      <c r="G1711" s="3">
        <v>61.56</v>
      </c>
      <c r="H1711" t="str">
        <f t="shared" si="21"/>
        <v>GUARDIAN</v>
      </c>
    </row>
    <row r="1712" spans="5:8" x14ac:dyDescent="0.25">
      <c r="E1712" t="str">
        <f>""</f>
        <v/>
      </c>
      <c r="F1712" t="str">
        <f>""</f>
        <v/>
      </c>
      <c r="G1712" s="3">
        <v>30.78</v>
      </c>
      <c r="H1712" t="str">
        <f t="shared" si="21"/>
        <v>GUARDIAN</v>
      </c>
    </row>
    <row r="1713" spans="5:8" x14ac:dyDescent="0.25">
      <c r="E1713" t="str">
        <f>""</f>
        <v/>
      </c>
      <c r="F1713" t="str">
        <f>""</f>
        <v/>
      </c>
      <c r="G1713" s="3">
        <v>61.56</v>
      </c>
      <c r="H1713" t="str">
        <f t="shared" si="21"/>
        <v>GUARDIAN</v>
      </c>
    </row>
    <row r="1714" spans="5:8" x14ac:dyDescent="0.25">
      <c r="E1714" t="str">
        <f>""</f>
        <v/>
      </c>
      <c r="F1714" t="str">
        <f>""</f>
        <v/>
      </c>
      <c r="G1714" s="3">
        <v>26.84</v>
      </c>
      <c r="H1714" t="str">
        <f t="shared" si="21"/>
        <v>GUARDIAN</v>
      </c>
    </row>
    <row r="1715" spans="5:8" x14ac:dyDescent="0.25">
      <c r="E1715" t="str">
        <f>""</f>
        <v/>
      </c>
      <c r="F1715" t="str">
        <f>""</f>
        <v/>
      </c>
      <c r="G1715" s="3">
        <v>0.77</v>
      </c>
      <c r="H1715" t="str">
        <f t="shared" si="21"/>
        <v>GUARDIAN</v>
      </c>
    </row>
    <row r="1716" spans="5:8" x14ac:dyDescent="0.25">
      <c r="E1716" t="str">
        <f>""</f>
        <v/>
      </c>
      <c r="F1716" t="str">
        <f>""</f>
        <v/>
      </c>
      <c r="G1716" s="3">
        <v>969.06</v>
      </c>
      <c r="H1716" t="str">
        <f t="shared" si="21"/>
        <v>GUARDIAN</v>
      </c>
    </row>
    <row r="1717" spans="5:8" x14ac:dyDescent="0.25">
      <c r="E1717" t="str">
        <f>"GDS202111097074"</f>
        <v>GDS202111097074</v>
      </c>
      <c r="F1717" t="str">
        <f>"GUARDIAN"</f>
        <v>GUARDIAN</v>
      </c>
      <c r="G1717" s="3">
        <v>15.39</v>
      </c>
      <c r="H1717" t="str">
        <f t="shared" si="21"/>
        <v>GUARDIAN</v>
      </c>
    </row>
    <row r="1718" spans="5:8" x14ac:dyDescent="0.25">
      <c r="E1718" t="str">
        <f>""</f>
        <v/>
      </c>
      <c r="F1718" t="str">
        <f>""</f>
        <v/>
      </c>
      <c r="G1718" s="3">
        <v>15.63</v>
      </c>
      <c r="H1718" t="str">
        <f t="shared" si="21"/>
        <v>GUARDIAN</v>
      </c>
    </row>
    <row r="1719" spans="5:8" x14ac:dyDescent="0.25">
      <c r="E1719" t="str">
        <f>"GDS202111227341"</f>
        <v>GDS202111227341</v>
      </c>
      <c r="F1719" t="str">
        <f>"GUARDIAN"</f>
        <v>GUARDIAN</v>
      </c>
      <c r="G1719" s="3">
        <v>15.39</v>
      </c>
      <c r="H1719" t="str">
        <f t="shared" si="21"/>
        <v>GUARDIAN</v>
      </c>
    </row>
    <row r="1720" spans="5:8" x14ac:dyDescent="0.25">
      <c r="E1720" t="str">
        <f>""</f>
        <v/>
      </c>
      <c r="F1720" t="str">
        <f>""</f>
        <v/>
      </c>
      <c r="G1720" s="3">
        <v>6.69</v>
      </c>
      <c r="H1720" t="str">
        <f t="shared" si="21"/>
        <v>GUARDIAN</v>
      </c>
    </row>
    <row r="1721" spans="5:8" x14ac:dyDescent="0.25">
      <c r="E1721" t="str">
        <f>""</f>
        <v/>
      </c>
      <c r="F1721" t="str">
        <f>""</f>
        <v/>
      </c>
      <c r="G1721" s="3">
        <v>15.39</v>
      </c>
      <c r="H1721" t="str">
        <f t="shared" si="21"/>
        <v>GUARDIAN</v>
      </c>
    </row>
    <row r="1722" spans="5:8" x14ac:dyDescent="0.25">
      <c r="E1722" t="str">
        <f>""</f>
        <v/>
      </c>
      <c r="F1722" t="str">
        <f>""</f>
        <v/>
      </c>
      <c r="G1722" s="3">
        <v>15.39</v>
      </c>
      <c r="H1722" t="str">
        <f t="shared" si="21"/>
        <v>GUARDIAN</v>
      </c>
    </row>
    <row r="1723" spans="5:8" x14ac:dyDescent="0.25">
      <c r="E1723" t="str">
        <f>""</f>
        <v/>
      </c>
      <c r="F1723" t="str">
        <f>""</f>
        <v/>
      </c>
      <c r="G1723" s="3">
        <v>15.39</v>
      </c>
      <c r="H1723" t="str">
        <f t="shared" ref="H1723:H1748" si="22">"GUARDIAN"</f>
        <v>GUARDIAN</v>
      </c>
    </row>
    <row r="1724" spans="5:8" x14ac:dyDescent="0.25">
      <c r="E1724" t="str">
        <f>""</f>
        <v/>
      </c>
      <c r="F1724" t="str">
        <f>""</f>
        <v/>
      </c>
      <c r="G1724" s="3">
        <v>76.95</v>
      </c>
      <c r="H1724" t="str">
        <f t="shared" si="22"/>
        <v>GUARDIAN</v>
      </c>
    </row>
    <row r="1725" spans="5:8" x14ac:dyDescent="0.25">
      <c r="E1725" t="str">
        <f>""</f>
        <v/>
      </c>
      <c r="F1725" t="str">
        <f>""</f>
        <v/>
      </c>
      <c r="G1725" s="3">
        <v>15.39</v>
      </c>
      <c r="H1725" t="str">
        <f t="shared" si="22"/>
        <v>GUARDIAN</v>
      </c>
    </row>
    <row r="1726" spans="5:8" x14ac:dyDescent="0.25">
      <c r="E1726" t="str">
        <f>""</f>
        <v/>
      </c>
      <c r="F1726" t="str">
        <f>""</f>
        <v/>
      </c>
      <c r="G1726" s="3">
        <v>30.01</v>
      </c>
      <c r="H1726" t="str">
        <f t="shared" si="22"/>
        <v>GUARDIAN</v>
      </c>
    </row>
    <row r="1727" spans="5:8" x14ac:dyDescent="0.25">
      <c r="E1727" t="str">
        <f>""</f>
        <v/>
      </c>
      <c r="F1727" t="str">
        <f>""</f>
        <v/>
      </c>
      <c r="G1727" s="3">
        <v>30.78</v>
      </c>
      <c r="H1727" t="str">
        <f t="shared" si="22"/>
        <v>GUARDIAN</v>
      </c>
    </row>
    <row r="1728" spans="5:8" x14ac:dyDescent="0.25">
      <c r="E1728" t="str">
        <f>""</f>
        <v/>
      </c>
      <c r="F1728" t="str">
        <f>""</f>
        <v/>
      </c>
      <c r="G1728" s="3">
        <v>30.78</v>
      </c>
      <c r="H1728" t="str">
        <f t="shared" si="22"/>
        <v>GUARDIAN</v>
      </c>
    </row>
    <row r="1729" spans="5:8" x14ac:dyDescent="0.25">
      <c r="E1729" t="str">
        <f>""</f>
        <v/>
      </c>
      <c r="F1729" t="str">
        <f>""</f>
        <v/>
      </c>
      <c r="G1729" s="3">
        <v>46.17</v>
      </c>
      <c r="H1729" t="str">
        <f t="shared" si="22"/>
        <v>GUARDIAN</v>
      </c>
    </row>
    <row r="1730" spans="5:8" x14ac:dyDescent="0.25">
      <c r="E1730" t="str">
        <f>""</f>
        <v/>
      </c>
      <c r="F1730" t="str">
        <f>""</f>
        <v/>
      </c>
      <c r="G1730" s="3">
        <v>46.17</v>
      </c>
      <c r="H1730" t="str">
        <f t="shared" si="22"/>
        <v>GUARDIAN</v>
      </c>
    </row>
    <row r="1731" spans="5:8" x14ac:dyDescent="0.25">
      <c r="E1731" t="str">
        <f>""</f>
        <v/>
      </c>
      <c r="F1731" t="str">
        <f>""</f>
        <v/>
      </c>
      <c r="G1731" s="3">
        <v>15.39</v>
      </c>
      <c r="H1731" t="str">
        <f t="shared" si="22"/>
        <v>GUARDIAN</v>
      </c>
    </row>
    <row r="1732" spans="5:8" x14ac:dyDescent="0.25">
      <c r="E1732" t="str">
        <f>""</f>
        <v/>
      </c>
      <c r="F1732" t="str">
        <f>""</f>
        <v/>
      </c>
      <c r="G1732" s="3">
        <v>30.78</v>
      </c>
      <c r="H1732" t="str">
        <f t="shared" si="22"/>
        <v>GUARDIAN</v>
      </c>
    </row>
    <row r="1733" spans="5:8" x14ac:dyDescent="0.25">
      <c r="E1733" t="str">
        <f>""</f>
        <v/>
      </c>
      <c r="F1733" t="str">
        <f>""</f>
        <v/>
      </c>
      <c r="G1733" s="3">
        <v>15.39</v>
      </c>
      <c r="H1733" t="str">
        <f t="shared" si="22"/>
        <v>GUARDIAN</v>
      </c>
    </row>
    <row r="1734" spans="5:8" x14ac:dyDescent="0.25">
      <c r="E1734" t="str">
        <f>""</f>
        <v/>
      </c>
      <c r="F1734" t="str">
        <f>""</f>
        <v/>
      </c>
      <c r="G1734" s="3">
        <v>139.61000000000001</v>
      </c>
      <c r="H1734" t="str">
        <f t="shared" si="22"/>
        <v>GUARDIAN</v>
      </c>
    </row>
    <row r="1735" spans="5:8" x14ac:dyDescent="0.25">
      <c r="E1735" t="str">
        <f>""</f>
        <v/>
      </c>
      <c r="F1735" t="str">
        <f>""</f>
        <v/>
      </c>
      <c r="G1735" s="3">
        <v>91.24</v>
      </c>
      <c r="H1735" t="str">
        <f t="shared" si="22"/>
        <v>GUARDIAN</v>
      </c>
    </row>
    <row r="1736" spans="5:8" x14ac:dyDescent="0.25">
      <c r="E1736" t="str">
        <f>""</f>
        <v/>
      </c>
      <c r="F1736" t="str">
        <f>""</f>
        <v/>
      </c>
      <c r="G1736" s="3">
        <v>15.39</v>
      </c>
      <c r="H1736" t="str">
        <f t="shared" si="22"/>
        <v>GUARDIAN</v>
      </c>
    </row>
    <row r="1737" spans="5:8" x14ac:dyDescent="0.25">
      <c r="E1737" t="str">
        <f>""</f>
        <v/>
      </c>
      <c r="F1737" t="str">
        <f>""</f>
        <v/>
      </c>
      <c r="G1737" s="3">
        <v>3.94</v>
      </c>
      <c r="H1737" t="str">
        <f t="shared" si="22"/>
        <v>GUARDIAN</v>
      </c>
    </row>
    <row r="1738" spans="5:8" x14ac:dyDescent="0.25">
      <c r="E1738" t="str">
        <f>""</f>
        <v/>
      </c>
      <c r="F1738" t="str">
        <f>""</f>
        <v/>
      </c>
      <c r="G1738" s="3">
        <v>15.39</v>
      </c>
      <c r="H1738" t="str">
        <f t="shared" si="22"/>
        <v>GUARDIAN</v>
      </c>
    </row>
    <row r="1739" spans="5:8" x14ac:dyDescent="0.25">
      <c r="E1739" t="str">
        <f>""</f>
        <v/>
      </c>
      <c r="F1739" t="str">
        <f>""</f>
        <v/>
      </c>
      <c r="G1739" s="3">
        <v>15.39</v>
      </c>
      <c r="H1739" t="str">
        <f t="shared" si="22"/>
        <v>GUARDIAN</v>
      </c>
    </row>
    <row r="1740" spans="5:8" x14ac:dyDescent="0.25">
      <c r="E1740" t="str">
        <f>""</f>
        <v/>
      </c>
      <c r="F1740" t="str">
        <f>""</f>
        <v/>
      </c>
      <c r="G1740" s="3">
        <v>85.65</v>
      </c>
      <c r="H1740" t="str">
        <f t="shared" si="22"/>
        <v>GUARDIAN</v>
      </c>
    </row>
    <row r="1741" spans="5:8" x14ac:dyDescent="0.25">
      <c r="E1741" t="str">
        <f>""</f>
        <v/>
      </c>
      <c r="F1741" t="str">
        <f>""</f>
        <v/>
      </c>
      <c r="G1741" s="3">
        <v>61.56</v>
      </c>
      <c r="H1741" t="str">
        <f t="shared" si="22"/>
        <v>GUARDIAN</v>
      </c>
    </row>
    <row r="1742" spans="5:8" x14ac:dyDescent="0.25">
      <c r="E1742" t="str">
        <f>""</f>
        <v/>
      </c>
      <c r="F1742" t="str">
        <f>""</f>
        <v/>
      </c>
      <c r="G1742" s="3">
        <v>30.78</v>
      </c>
      <c r="H1742" t="str">
        <f t="shared" si="22"/>
        <v>GUARDIAN</v>
      </c>
    </row>
    <row r="1743" spans="5:8" x14ac:dyDescent="0.25">
      <c r="E1743" t="str">
        <f>""</f>
        <v/>
      </c>
      <c r="F1743" t="str">
        <f>""</f>
        <v/>
      </c>
      <c r="G1743" s="3">
        <v>61.56</v>
      </c>
      <c r="H1743" t="str">
        <f t="shared" si="22"/>
        <v>GUARDIAN</v>
      </c>
    </row>
    <row r="1744" spans="5:8" x14ac:dyDescent="0.25">
      <c r="E1744" t="str">
        <f>""</f>
        <v/>
      </c>
      <c r="F1744" t="str">
        <f>""</f>
        <v/>
      </c>
      <c r="G1744" s="3">
        <v>26.84</v>
      </c>
      <c r="H1744" t="str">
        <f t="shared" si="22"/>
        <v>GUARDIAN</v>
      </c>
    </row>
    <row r="1745" spans="5:8" x14ac:dyDescent="0.25">
      <c r="E1745" t="str">
        <f>""</f>
        <v/>
      </c>
      <c r="F1745" t="str">
        <f>""</f>
        <v/>
      </c>
      <c r="G1745" s="3">
        <v>0.77</v>
      </c>
      <c r="H1745" t="str">
        <f t="shared" si="22"/>
        <v>GUARDIAN</v>
      </c>
    </row>
    <row r="1746" spans="5:8" x14ac:dyDescent="0.25">
      <c r="E1746" t="str">
        <f>""</f>
        <v/>
      </c>
      <c r="F1746" t="str">
        <f>""</f>
        <v/>
      </c>
      <c r="G1746" s="3">
        <v>969.06</v>
      </c>
      <c r="H1746" t="str">
        <f t="shared" si="22"/>
        <v>GUARDIAN</v>
      </c>
    </row>
    <row r="1747" spans="5:8" x14ac:dyDescent="0.25">
      <c r="E1747" t="str">
        <f>"GDS202111227342"</f>
        <v>GDS202111227342</v>
      </c>
      <c r="F1747" t="str">
        <f>"GUARDIAN"</f>
        <v>GUARDIAN</v>
      </c>
      <c r="G1747" s="3">
        <v>15.39</v>
      </c>
      <c r="H1747" t="str">
        <f t="shared" si="22"/>
        <v>GUARDIAN</v>
      </c>
    </row>
    <row r="1748" spans="5:8" x14ac:dyDescent="0.25">
      <c r="E1748" t="str">
        <f>""</f>
        <v/>
      </c>
      <c r="F1748" t="str">
        <f>""</f>
        <v/>
      </c>
      <c r="G1748" s="3">
        <v>15.63</v>
      </c>
      <c r="H1748" t="str">
        <f t="shared" si="22"/>
        <v>GUARDIAN</v>
      </c>
    </row>
    <row r="1749" spans="5:8" x14ac:dyDescent="0.25">
      <c r="E1749" t="str">
        <f>"GV1202111097073"</f>
        <v>GV1202111097073</v>
      </c>
      <c r="F1749" t="str">
        <f>"GUARDIAN VISION"</f>
        <v>GUARDIAN VISION</v>
      </c>
      <c r="G1749" s="3">
        <v>459.2</v>
      </c>
      <c r="H1749" t="str">
        <f>"GUARDIAN VISION"</f>
        <v>GUARDIAN VISION</v>
      </c>
    </row>
    <row r="1750" spans="5:8" x14ac:dyDescent="0.25">
      <c r="E1750" t="str">
        <f>"GV1202111097074"</f>
        <v>GV1202111097074</v>
      </c>
      <c r="F1750" t="str">
        <f>"GUARDIAN VISION"</f>
        <v>GUARDIAN VISION</v>
      </c>
      <c r="G1750" s="3">
        <v>5.6</v>
      </c>
      <c r="H1750" t="str">
        <f>"GUARDIAN VISION"</f>
        <v>GUARDIAN VISION</v>
      </c>
    </row>
    <row r="1751" spans="5:8" x14ac:dyDescent="0.25">
      <c r="E1751" t="str">
        <f>"GV1202111227341"</f>
        <v>GV1202111227341</v>
      </c>
      <c r="F1751" t="str">
        <f>"GUARDIAN VISION"</f>
        <v>GUARDIAN VISION</v>
      </c>
      <c r="G1751" s="3">
        <v>459.2</v>
      </c>
      <c r="H1751" t="str">
        <f>"GUARDIAN VISION"</f>
        <v>GUARDIAN VISION</v>
      </c>
    </row>
    <row r="1752" spans="5:8" x14ac:dyDescent="0.25">
      <c r="E1752" t="str">
        <f>"GV1202111227342"</f>
        <v>GV1202111227342</v>
      </c>
      <c r="F1752" t="str">
        <f>"GUARDIAN VISION"</f>
        <v>GUARDIAN VISION</v>
      </c>
      <c r="G1752" s="3">
        <v>5.6</v>
      </c>
      <c r="H1752" t="str">
        <f>"GUARDIAN VISION"</f>
        <v>GUARDIAN VISION</v>
      </c>
    </row>
    <row r="1753" spans="5:8" x14ac:dyDescent="0.25">
      <c r="E1753" t="str">
        <f>"GVE202111097073"</f>
        <v>GVE202111097073</v>
      </c>
      <c r="F1753" t="str">
        <f>"GUARDIAN VISION VENDOR"</f>
        <v>GUARDIAN VISION VENDOR</v>
      </c>
      <c r="G1753" s="3">
        <v>608.85</v>
      </c>
      <c r="H1753" t="str">
        <f>"GUARDIAN VISION VENDOR"</f>
        <v>GUARDIAN VISION VENDOR</v>
      </c>
    </row>
    <row r="1754" spans="5:8" x14ac:dyDescent="0.25">
      <c r="E1754" t="str">
        <f>"GVE202111097074"</f>
        <v>GVE202111097074</v>
      </c>
      <c r="F1754" t="str">
        <f>"GUARDIAN VISION VENDOR"</f>
        <v>GUARDIAN VISION VENDOR</v>
      </c>
      <c r="G1754" s="3">
        <v>33.21</v>
      </c>
      <c r="H1754" t="str">
        <f>"GUARDIAN VISION VENDOR"</f>
        <v>GUARDIAN VISION VENDOR</v>
      </c>
    </row>
    <row r="1755" spans="5:8" x14ac:dyDescent="0.25">
      <c r="E1755" t="str">
        <f>"GVE202111227341"</f>
        <v>GVE202111227341</v>
      </c>
      <c r="F1755" t="str">
        <f>"GUARDIAN VISION VENDOR"</f>
        <v>GUARDIAN VISION VENDOR</v>
      </c>
      <c r="G1755" s="3">
        <v>601.47</v>
      </c>
      <c r="H1755" t="str">
        <f>"GUARDIAN VISION VENDOR"</f>
        <v>GUARDIAN VISION VENDOR</v>
      </c>
    </row>
    <row r="1756" spans="5:8" x14ac:dyDescent="0.25">
      <c r="E1756" t="str">
        <f>"GVE202111227342"</f>
        <v>GVE202111227342</v>
      </c>
      <c r="F1756" t="str">
        <f>"GUARDIAN VISION VENDOR"</f>
        <v>GUARDIAN VISION VENDOR</v>
      </c>
      <c r="G1756" s="3">
        <v>33.21</v>
      </c>
      <c r="H1756" t="str">
        <f>"GUARDIAN VISION VENDOR"</f>
        <v>GUARDIAN VISION VENDOR</v>
      </c>
    </row>
    <row r="1757" spans="5:8" x14ac:dyDescent="0.25">
      <c r="E1757" t="str">
        <f>"GVF202111097073"</f>
        <v>GVF202111097073</v>
      </c>
      <c r="F1757" t="str">
        <f>"GUARDIAN VISION"</f>
        <v>GUARDIAN VISION</v>
      </c>
      <c r="G1757" s="3">
        <v>591</v>
      </c>
      <c r="H1757" t="str">
        <f>"GUARDIAN VISION"</f>
        <v>GUARDIAN VISION</v>
      </c>
    </row>
    <row r="1758" spans="5:8" x14ac:dyDescent="0.25">
      <c r="E1758" t="str">
        <f>"GVF202111097074"</f>
        <v>GVF202111097074</v>
      </c>
      <c r="F1758" t="str">
        <f>"GUARDIAN VISION VENDOR"</f>
        <v>GUARDIAN VISION VENDOR</v>
      </c>
      <c r="G1758" s="3">
        <v>29.55</v>
      </c>
      <c r="H1758" t="str">
        <f>"GUARDIAN VISION VENDOR"</f>
        <v>GUARDIAN VISION VENDOR</v>
      </c>
    </row>
    <row r="1759" spans="5:8" x14ac:dyDescent="0.25">
      <c r="E1759" t="str">
        <f>"GVF202111227341"</f>
        <v>GVF202111227341</v>
      </c>
      <c r="F1759" t="str">
        <f>"GUARDIAN VISION"</f>
        <v>GUARDIAN VISION</v>
      </c>
      <c r="G1759" s="3">
        <v>591</v>
      </c>
      <c r="H1759" t="str">
        <f>"GUARDIAN VISION"</f>
        <v>GUARDIAN VISION</v>
      </c>
    </row>
    <row r="1760" spans="5:8" x14ac:dyDescent="0.25">
      <c r="E1760" t="str">
        <f>"GVF202111227342"</f>
        <v>GVF202111227342</v>
      </c>
      <c r="F1760" t="str">
        <f>"GUARDIAN VISION VENDOR"</f>
        <v>GUARDIAN VISION VENDOR</v>
      </c>
      <c r="G1760" s="3">
        <v>29.55</v>
      </c>
      <c r="H1760" t="str">
        <f>"GUARDIAN VISION VENDOR"</f>
        <v>GUARDIAN VISION VENDOR</v>
      </c>
    </row>
    <row r="1761" spans="5:8" x14ac:dyDescent="0.25">
      <c r="E1761" t="str">
        <f>"LIA202111097073"</f>
        <v>LIA202111097073</v>
      </c>
      <c r="F1761" t="str">
        <f>"GUARDIAN"</f>
        <v>GUARDIAN</v>
      </c>
      <c r="G1761" s="3">
        <v>0.86</v>
      </c>
      <c r="H1761" t="str">
        <f t="shared" ref="H1761:H1792" si="23">"GUARDIAN"</f>
        <v>GUARDIAN</v>
      </c>
    </row>
    <row r="1762" spans="5:8" x14ac:dyDescent="0.25">
      <c r="E1762" t="str">
        <f>""</f>
        <v/>
      </c>
      <c r="F1762" t="str">
        <f>""</f>
        <v/>
      </c>
      <c r="G1762" s="3">
        <v>0.74</v>
      </c>
      <c r="H1762" t="str">
        <f t="shared" si="23"/>
        <v>GUARDIAN</v>
      </c>
    </row>
    <row r="1763" spans="5:8" x14ac:dyDescent="0.25">
      <c r="E1763" t="str">
        <f>""</f>
        <v/>
      </c>
      <c r="F1763" t="str">
        <f>""</f>
        <v/>
      </c>
      <c r="G1763" s="3">
        <v>1.4</v>
      </c>
      <c r="H1763" t="str">
        <f t="shared" si="23"/>
        <v>GUARDIAN</v>
      </c>
    </row>
    <row r="1764" spans="5:8" x14ac:dyDescent="0.25">
      <c r="E1764" t="str">
        <f>""</f>
        <v/>
      </c>
      <c r="F1764" t="str">
        <f>""</f>
        <v/>
      </c>
      <c r="G1764" s="3">
        <v>2.61</v>
      </c>
      <c r="H1764" t="str">
        <f t="shared" si="23"/>
        <v>GUARDIAN</v>
      </c>
    </row>
    <row r="1765" spans="5:8" x14ac:dyDescent="0.25">
      <c r="E1765" t="str">
        <f>""</f>
        <v/>
      </c>
      <c r="F1765" t="str">
        <f>""</f>
        <v/>
      </c>
      <c r="G1765" s="3">
        <v>6.46</v>
      </c>
      <c r="H1765" t="str">
        <f t="shared" si="23"/>
        <v>GUARDIAN</v>
      </c>
    </row>
    <row r="1766" spans="5:8" x14ac:dyDescent="0.25">
      <c r="E1766" t="str">
        <f>""</f>
        <v/>
      </c>
      <c r="F1766" t="str">
        <f>""</f>
        <v/>
      </c>
      <c r="G1766" s="3">
        <v>0.54</v>
      </c>
      <c r="H1766" t="str">
        <f t="shared" si="23"/>
        <v>GUARDIAN</v>
      </c>
    </row>
    <row r="1767" spans="5:8" x14ac:dyDescent="0.25">
      <c r="E1767" t="str">
        <f>""</f>
        <v/>
      </c>
      <c r="F1767" t="str">
        <f>""</f>
        <v/>
      </c>
      <c r="G1767" s="3">
        <v>2.73</v>
      </c>
      <c r="H1767" t="str">
        <f t="shared" si="23"/>
        <v>GUARDIAN</v>
      </c>
    </row>
    <row r="1768" spans="5:8" x14ac:dyDescent="0.25">
      <c r="E1768" t="str">
        <f>""</f>
        <v/>
      </c>
      <c r="F1768" t="str">
        <f>""</f>
        <v/>
      </c>
      <c r="G1768" s="3">
        <v>0.86</v>
      </c>
      <c r="H1768" t="str">
        <f t="shared" si="23"/>
        <v>GUARDIAN</v>
      </c>
    </row>
    <row r="1769" spans="5:8" x14ac:dyDescent="0.25">
      <c r="E1769" t="str">
        <f>""</f>
        <v/>
      </c>
      <c r="F1769" t="str">
        <f>""</f>
        <v/>
      </c>
      <c r="G1769" s="3">
        <v>1.4</v>
      </c>
      <c r="H1769" t="str">
        <f t="shared" si="23"/>
        <v>GUARDIAN</v>
      </c>
    </row>
    <row r="1770" spans="5:8" x14ac:dyDescent="0.25">
      <c r="E1770" t="str">
        <f>""</f>
        <v/>
      </c>
      <c r="F1770" t="str">
        <f>""</f>
        <v/>
      </c>
      <c r="G1770" s="3">
        <v>1.4</v>
      </c>
      <c r="H1770" t="str">
        <f t="shared" si="23"/>
        <v>GUARDIAN</v>
      </c>
    </row>
    <row r="1771" spans="5:8" x14ac:dyDescent="0.25">
      <c r="E1771" t="str">
        <f>""</f>
        <v/>
      </c>
      <c r="F1771" t="str">
        <f>""</f>
        <v/>
      </c>
      <c r="G1771" s="3">
        <v>0.22</v>
      </c>
      <c r="H1771" t="str">
        <f t="shared" si="23"/>
        <v>GUARDIAN</v>
      </c>
    </row>
    <row r="1772" spans="5:8" x14ac:dyDescent="0.25">
      <c r="E1772" t="str">
        <f>""</f>
        <v/>
      </c>
      <c r="F1772" t="str">
        <f>""</f>
        <v/>
      </c>
      <c r="G1772" s="3">
        <v>0.54</v>
      </c>
      <c r="H1772" t="str">
        <f t="shared" si="23"/>
        <v>GUARDIAN</v>
      </c>
    </row>
    <row r="1773" spans="5:8" x14ac:dyDescent="0.25">
      <c r="E1773" t="str">
        <f>""</f>
        <v/>
      </c>
      <c r="F1773" t="str">
        <f>""</f>
        <v/>
      </c>
      <c r="G1773" s="3">
        <v>0.86</v>
      </c>
      <c r="H1773" t="str">
        <f t="shared" si="23"/>
        <v>GUARDIAN</v>
      </c>
    </row>
    <row r="1774" spans="5:8" x14ac:dyDescent="0.25">
      <c r="E1774" t="str">
        <f>""</f>
        <v/>
      </c>
      <c r="F1774" t="str">
        <f>""</f>
        <v/>
      </c>
      <c r="G1774" s="3">
        <v>3.13</v>
      </c>
      <c r="H1774" t="str">
        <f t="shared" si="23"/>
        <v>GUARDIAN</v>
      </c>
    </row>
    <row r="1775" spans="5:8" x14ac:dyDescent="0.25">
      <c r="E1775" t="str">
        <f>""</f>
        <v/>
      </c>
      <c r="F1775" t="str">
        <f>""</f>
        <v/>
      </c>
      <c r="G1775" s="3">
        <v>1.4</v>
      </c>
      <c r="H1775" t="str">
        <f t="shared" si="23"/>
        <v>GUARDIAN</v>
      </c>
    </row>
    <row r="1776" spans="5:8" x14ac:dyDescent="0.25">
      <c r="E1776" t="str">
        <f>""</f>
        <v/>
      </c>
      <c r="F1776" t="str">
        <f>""</f>
        <v/>
      </c>
      <c r="G1776" s="3">
        <v>0.11</v>
      </c>
      <c r="H1776" t="str">
        <f t="shared" si="23"/>
        <v>GUARDIAN</v>
      </c>
    </row>
    <row r="1777" spans="5:8" x14ac:dyDescent="0.25">
      <c r="E1777" t="str">
        <f>""</f>
        <v/>
      </c>
      <c r="F1777" t="str">
        <f>""</f>
        <v/>
      </c>
      <c r="G1777" s="3">
        <v>0.49</v>
      </c>
      <c r="H1777" t="str">
        <f t="shared" si="23"/>
        <v>GUARDIAN</v>
      </c>
    </row>
    <row r="1778" spans="5:8" x14ac:dyDescent="0.25">
      <c r="E1778" t="str">
        <f>""</f>
        <v/>
      </c>
      <c r="F1778" t="str">
        <f>""</f>
        <v/>
      </c>
      <c r="G1778" s="3">
        <v>3.29</v>
      </c>
      <c r="H1778" t="str">
        <f t="shared" si="23"/>
        <v>GUARDIAN</v>
      </c>
    </row>
    <row r="1779" spans="5:8" x14ac:dyDescent="0.25">
      <c r="E1779" t="str">
        <f>""</f>
        <v/>
      </c>
      <c r="F1779" t="str">
        <f>""</f>
        <v/>
      </c>
      <c r="G1779" s="3">
        <v>0.75</v>
      </c>
      <c r="H1779" t="str">
        <f t="shared" si="23"/>
        <v>GUARDIAN</v>
      </c>
    </row>
    <row r="1780" spans="5:8" x14ac:dyDescent="0.25">
      <c r="E1780" t="str">
        <f>""</f>
        <v/>
      </c>
      <c r="F1780" t="str">
        <f>""</f>
        <v/>
      </c>
      <c r="G1780" s="3">
        <v>7.0000000000000007E-2</v>
      </c>
      <c r="H1780" t="str">
        <f t="shared" si="23"/>
        <v>GUARDIAN</v>
      </c>
    </row>
    <row r="1781" spans="5:8" x14ac:dyDescent="0.25">
      <c r="E1781" t="str">
        <f>""</f>
        <v/>
      </c>
      <c r="F1781" t="str">
        <f>""</f>
        <v/>
      </c>
      <c r="G1781" s="3">
        <v>271.48</v>
      </c>
      <c r="H1781" t="str">
        <f t="shared" si="23"/>
        <v>GUARDIAN</v>
      </c>
    </row>
    <row r="1782" spans="5:8" x14ac:dyDescent="0.25">
      <c r="E1782" t="str">
        <f>"LIA202111097074"</f>
        <v>LIA202111097074</v>
      </c>
      <c r="F1782" t="str">
        <f>"GUARDIAN"</f>
        <v>GUARDIAN</v>
      </c>
      <c r="G1782" s="3">
        <v>1.4</v>
      </c>
      <c r="H1782" t="str">
        <f t="shared" si="23"/>
        <v>GUARDIAN</v>
      </c>
    </row>
    <row r="1783" spans="5:8" x14ac:dyDescent="0.25">
      <c r="E1783" t="str">
        <f>""</f>
        <v/>
      </c>
      <c r="F1783" t="str">
        <f>""</f>
        <v/>
      </c>
      <c r="G1783" s="3">
        <v>39.590000000000003</v>
      </c>
      <c r="H1783" t="str">
        <f t="shared" si="23"/>
        <v>GUARDIAN</v>
      </c>
    </row>
    <row r="1784" spans="5:8" x14ac:dyDescent="0.25">
      <c r="E1784" t="str">
        <f>"LIA202111227341"</f>
        <v>LIA202111227341</v>
      </c>
      <c r="F1784" t="str">
        <f>"GUARDIAN"</f>
        <v>GUARDIAN</v>
      </c>
      <c r="G1784" s="3">
        <v>0.86</v>
      </c>
      <c r="H1784" t="str">
        <f t="shared" si="23"/>
        <v>GUARDIAN</v>
      </c>
    </row>
    <row r="1785" spans="5:8" x14ac:dyDescent="0.25">
      <c r="E1785" t="str">
        <f>""</f>
        <v/>
      </c>
      <c r="F1785" t="str">
        <f>""</f>
        <v/>
      </c>
      <c r="G1785" s="3">
        <v>0.74</v>
      </c>
      <c r="H1785" t="str">
        <f t="shared" si="23"/>
        <v>GUARDIAN</v>
      </c>
    </row>
    <row r="1786" spans="5:8" x14ac:dyDescent="0.25">
      <c r="E1786" t="str">
        <f>""</f>
        <v/>
      </c>
      <c r="F1786" t="str">
        <f>""</f>
        <v/>
      </c>
      <c r="G1786" s="3">
        <v>1.4</v>
      </c>
      <c r="H1786" t="str">
        <f t="shared" si="23"/>
        <v>GUARDIAN</v>
      </c>
    </row>
    <row r="1787" spans="5:8" x14ac:dyDescent="0.25">
      <c r="E1787" t="str">
        <f>""</f>
        <v/>
      </c>
      <c r="F1787" t="str">
        <f>""</f>
        <v/>
      </c>
      <c r="G1787" s="3">
        <v>1.4</v>
      </c>
      <c r="H1787" t="str">
        <f t="shared" si="23"/>
        <v>GUARDIAN</v>
      </c>
    </row>
    <row r="1788" spans="5:8" x14ac:dyDescent="0.25">
      <c r="E1788" t="str">
        <f>""</f>
        <v/>
      </c>
      <c r="F1788" t="str">
        <f>""</f>
        <v/>
      </c>
      <c r="G1788" s="3">
        <v>6.46</v>
      </c>
      <c r="H1788" t="str">
        <f t="shared" si="23"/>
        <v>GUARDIAN</v>
      </c>
    </row>
    <row r="1789" spans="5:8" x14ac:dyDescent="0.25">
      <c r="E1789" t="str">
        <f>""</f>
        <v/>
      </c>
      <c r="F1789" t="str">
        <f>""</f>
        <v/>
      </c>
      <c r="G1789" s="3">
        <v>0.54</v>
      </c>
      <c r="H1789" t="str">
        <f t="shared" si="23"/>
        <v>GUARDIAN</v>
      </c>
    </row>
    <row r="1790" spans="5:8" x14ac:dyDescent="0.25">
      <c r="E1790" t="str">
        <f>""</f>
        <v/>
      </c>
      <c r="F1790" t="str">
        <f>""</f>
        <v/>
      </c>
      <c r="G1790" s="3">
        <v>2.73</v>
      </c>
      <c r="H1790" t="str">
        <f t="shared" si="23"/>
        <v>GUARDIAN</v>
      </c>
    </row>
    <row r="1791" spans="5:8" x14ac:dyDescent="0.25">
      <c r="E1791" t="str">
        <f>""</f>
        <v/>
      </c>
      <c r="F1791" t="str">
        <f>""</f>
        <v/>
      </c>
      <c r="G1791" s="3">
        <v>0.86</v>
      </c>
      <c r="H1791" t="str">
        <f t="shared" si="23"/>
        <v>GUARDIAN</v>
      </c>
    </row>
    <row r="1792" spans="5:8" x14ac:dyDescent="0.25">
      <c r="E1792" t="str">
        <f>""</f>
        <v/>
      </c>
      <c r="F1792" t="str">
        <f>""</f>
        <v/>
      </c>
      <c r="G1792" s="3">
        <v>1.4</v>
      </c>
      <c r="H1792" t="str">
        <f t="shared" si="23"/>
        <v>GUARDIAN</v>
      </c>
    </row>
    <row r="1793" spans="5:8" x14ac:dyDescent="0.25">
      <c r="E1793" t="str">
        <f>""</f>
        <v/>
      </c>
      <c r="F1793" t="str">
        <f>""</f>
        <v/>
      </c>
      <c r="G1793" s="3">
        <v>1.4</v>
      </c>
      <c r="H1793" t="str">
        <f t="shared" ref="H1793:H1824" si="24">"GUARDIAN"</f>
        <v>GUARDIAN</v>
      </c>
    </row>
    <row r="1794" spans="5:8" x14ac:dyDescent="0.25">
      <c r="E1794" t="str">
        <f>""</f>
        <v/>
      </c>
      <c r="F1794" t="str">
        <f>""</f>
        <v/>
      </c>
      <c r="G1794" s="3">
        <v>0.22</v>
      </c>
      <c r="H1794" t="str">
        <f t="shared" si="24"/>
        <v>GUARDIAN</v>
      </c>
    </row>
    <row r="1795" spans="5:8" x14ac:dyDescent="0.25">
      <c r="E1795" t="str">
        <f>""</f>
        <v/>
      </c>
      <c r="F1795" t="str">
        <f>""</f>
        <v/>
      </c>
      <c r="G1795" s="3">
        <v>0.54</v>
      </c>
      <c r="H1795" t="str">
        <f t="shared" si="24"/>
        <v>GUARDIAN</v>
      </c>
    </row>
    <row r="1796" spans="5:8" x14ac:dyDescent="0.25">
      <c r="E1796" t="str">
        <f>""</f>
        <v/>
      </c>
      <c r="F1796" t="str">
        <f>""</f>
        <v/>
      </c>
      <c r="G1796" s="3">
        <v>0.86</v>
      </c>
      <c r="H1796" t="str">
        <f t="shared" si="24"/>
        <v>GUARDIAN</v>
      </c>
    </row>
    <row r="1797" spans="5:8" x14ac:dyDescent="0.25">
      <c r="E1797" t="str">
        <f>""</f>
        <v/>
      </c>
      <c r="F1797" t="str">
        <f>""</f>
        <v/>
      </c>
      <c r="G1797" s="3">
        <v>3.13</v>
      </c>
      <c r="H1797" t="str">
        <f t="shared" si="24"/>
        <v>GUARDIAN</v>
      </c>
    </row>
    <row r="1798" spans="5:8" x14ac:dyDescent="0.25">
      <c r="E1798" t="str">
        <f>""</f>
        <v/>
      </c>
      <c r="F1798" t="str">
        <f>""</f>
        <v/>
      </c>
      <c r="G1798" s="3">
        <v>1.4</v>
      </c>
      <c r="H1798" t="str">
        <f t="shared" si="24"/>
        <v>GUARDIAN</v>
      </c>
    </row>
    <row r="1799" spans="5:8" x14ac:dyDescent="0.25">
      <c r="E1799" t="str">
        <f>""</f>
        <v/>
      </c>
      <c r="F1799" t="str">
        <f>""</f>
        <v/>
      </c>
      <c r="G1799" s="3">
        <v>0.11</v>
      </c>
      <c r="H1799" t="str">
        <f t="shared" si="24"/>
        <v>GUARDIAN</v>
      </c>
    </row>
    <row r="1800" spans="5:8" x14ac:dyDescent="0.25">
      <c r="E1800" t="str">
        <f>""</f>
        <v/>
      </c>
      <c r="F1800" t="str">
        <f>""</f>
        <v/>
      </c>
      <c r="G1800" s="3">
        <v>0.49</v>
      </c>
      <c r="H1800" t="str">
        <f t="shared" si="24"/>
        <v>GUARDIAN</v>
      </c>
    </row>
    <row r="1801" spans="5:8" x14ac:dyDescent="0.25">
      <c r="E1801" t="str">
        <f>""</f>
        <v/>
      </c>
      <c r="F1801" t="str">
        <f>""</f>
        <v/>
      </c>
      <c r="G1801" s="3">
        <v>3.29</v>
      </c>
      <c r="H1801" t="str">
        <f t="shared" si="24"/>
        <v>GUARDIAN</v>
      </c>
    </row>
    <row r="1802" spans="5:8" x14ac:dyDescent="0.25">
      <c r="E1802" t="str">
        <f>""</f>
        <v/>
      </c>
      <c r="F1802" t="str">
        <f>""</f>
        <v/>
      </c>
      <c r="G1802" s="3">
        <v>0.75</v>
      </c>
      <c r="H1802" t="str">
        <f t="shared" si="24"/>
        <v>GUARDIAN</v>
      </c>
    </row>
    <row r="1803" spans="5:8" x14ac:dyDescent="0.25">
      <c r="E1803" t="str">
        <f>""</f>
        <v/>
      </c>
      <c r="F1803" t="str">
        <f>""</f>
        <v/>
      </c>
      <c r="G1803" s="3">
        <v>7.0000000000000007E-2</v>
      </c>
      <c r="H1803" t="str">
        <f t="shared" si="24"/>
        <v>GUARDIAN</v>
      </c>
    </row>
    <row r="1804" spans="5:8" x14ac:dyDescent="0.25">
      <c r="E1804" t="str">
        <f>""</f>
        <v/>
      </c>
      <c r="F1804" t="str">
        <f>""</f>
        <v/>
      </c>
      <c r="G1804" s="3">
        <v>271.48</v>
      </c>
      <c r="H1804" t="str">
        <f t="shared" si="24"/>
        <v>GUARDIAN</v>
      </c>
    </row>
    <row r="1805" spans="5:8" x14ac:dyDescent="0.25">
      <c r="E1805" t="str">
        <f>"LIA202111227342"</f>
        <v>LIA202111227342</v>
      </c>
      <c r="F1805" t="str">
        <f>"GUARDIAN"</f>
        <v>GUARDIAN</v>
      </c>
      <c r="G1805" s="3">
        <v>1.4</v>
      </c>
      <c r="H1805" t="str">
        <f t="shared" si="24"/>
        <v>GUARDIAN</v>
      </c>
    </row>
    <row r="1806" spans="5:8" x14ac:dyDescent="0.25">
      <c r="E1806" t="str">
        <f>""</f>
        <v/>
      </c>
      <c r="F1806" t="str">
        <f>""</f>
        <v/>
      </c>
      <c r="G1806" s="3">
        <v>39.590000000000003</v>
      </c>
      <c r="H1806" t="str">
        <f t="shared" si="24"/>
        <v>GUARDIAN</v>
      </c>
    </row>
    <row r="1807" spans="5:8" x14ac:dyDescent="0.25">
      <c r="E1807" t="str">
        <f>"LIC202111097073"</f>
        <v>LIC202111097073</v>
      </c>
      <c r="F1807" t="str">
        <f>"GUARDIAN"</f>
        <v>GUARDIAN</v>
      </c>
      <c r="G1807" s="3">
        <v>34.159999999999997</v>
      </c>
      <c r="H1807" t="str">
        <f t="shared" si="24"/>
        <v>GUARDIAN</v>
      </c>
    </row>
    <row r="1808" spans="5:8" x14ac:dyDescent="0.25">
      <c r="E1808" t="str">
        <f>"LIC202111097074"</f>
        <v>LIC202111097074</v>
      </c>
      <c r="F1808" t="str">
        <f>"GUARDIAN"</f>
        <v>GUARDIAN</v>
      </c>
      <c r="G1808" s="3">
        <v>0.7</v>
      </c>
      <c r="H1808" t="str">
        <f t="shared" si="24"/>
        <v>GUARDIAN</v>
      </c>
    </row>
    <row r="1809" spans="5:8" x14ac:dyDescent="0.25">
      <c r="E1809" t="str">
        <f>"LIC202111227341"</f>
        <v>LIC202111227341</v>
      </c>
      <c r="F1809" t="str">
        <f>"GUARDIAN"</f>
        <v>GUARDIAN</v>
      </c>
      <c r="G1809" s="3">
        <v>34.58</v>
      </c>
      <c r="H1809" t="str">
        <f t="shared" si="24"/>
        <v>GUARDIAN</v>
      </c>
    </row>
    <row r="1810" spans="5:8" x14ac:dyDescent="0.25">
      <c r="E1810" t="str">
        <f>"LIC202111227342"</f>
        <v>LIC202111227342</v>
      </c>
      <c r="F1810" t="str">
        <f>"GUARDIAN"</f>
        <v>GUARDIAN</v>
      </c>
      <c r="G1810" s="3">
        <v>0.7</v>
      </c>
      <c r="H1810" t="str">
        <f t="shared" si="24"/>
        <v>GUARDIAN</v>
      </c>
    </row>
    <row r="1811" spans="5:8" x14ac:dyDescent="0.25">
      <c r="E1811" t="str">
        <f>"LIE202111097073"</f>
        <v>LIE202111097073</v>
      </c>
      <c r="F1811" t="str">
        <f>"GUARDIAN"</f>
        <v>GUARDIAN</v>
      </c>
      <c r="G1811" s="3">
        <v>4.3</v>
      </c>
      <c r="H1811" t="str">
        <f t="shared" si="24"/>
        <v>GUARDIAN</v>
      </c>
    </row>
    <row r="1812" spans="5:8" x14ac:dyDescent="0.25">
      <c r="E1812" t="str">
        <f>""</f>
        <v/>
      </c>
      <c r="F1812" t="str">
        <f>""</f>
        <v/>
      </c>
      <c r="G1812" s="3">
        <v>1.88</v>
      </c>
      <c r="H1812" t="str">
        <f t="shared" si="24"/>
        <v>GUARDIAN</v>
      </c>
    </row>
    <row r="1813" spans="5:8" x14ac:dyDescent="0.25">
      <c r="E1813" t="str">
        <f>""</f>
        <v/>
      </c>
      <c r="F1813" t="str">
        <f>""</f>
        <v/>
      </c>
      <c r="G1813" s="3">
        <v>16.940000000000001</v>
      </c>
      <c r="H1813" t="str">
        <f t="shared" si="24"/>
        <v>GUARDIAN</v>
      </c>
    </row>
    <row r="1814" spans="5:8" x14ac:dyDescent="0.25">
      <c r="E1814" t="str">
        <f>""</f>
        <v/>
      </c>
      <c r="F1814" t="str">
        <f>""</f>
        <v/>
      </c>
      <c r="G1814" s="3">
        <v>6.45</v>
      </c>
      <c r="H1814" t="str">
        <f t="shared" si="24"/>
        <v>GUARDIAN</v>
      </c>
    </row>
    <row r="1815" spans="5:8" x14ac:dyDescent="0.25">
      <c r="E1815" t="str">
        <f>""</f>
        <v/>
      </c>
      <c r="F1815" t="str">
        <f>""</f>
        <v/>
      </c>
      <c r="G1815" s="3">
        <v>2.15</v>
      </c>
      <c r="H1815" t="str">
        <f t="shared" si="24"/>
        <v>GUARDIAN</v>
      </c>
    </row>
    <row r="1816" spans="5:8" x14ac:dyDescent="0.25">
      <c r="E1816" t="str">
        <f>""</f>
        <v/>
      </c>
      <c r="F1816" t="str">
        <f>""</f>
        <v/>
      </c>
      <c r="G1816" s="3">
        <v>10.75</v>
      </c>
      <c r="H1816" t="str">
        <f t="shared" si="24"/>
        <v>GUARDIAN</v>
      </c>
    </row>
    <row r="1817" spans="5:8" x14ac:dyDescent="0.25">
      <c r="E1817" t="str">
        <f>""</f>
        <v/>
      </c>
      <c r="F1817" t="str">
        <f>""</f>
        <v/>
      </c>
      <c r="G1817" s="3">
        <v>40.85</v>
      </c>
      <c r="H1817" t="str">
        <f t="shared" si="24"/>
        <v>GUARDIAN</v>
      </c>
    </row>
    <row r="1818" spans="5:8" x14ac:dyDescent="0.25">
      <c r="E1818" t="str">
        <f>""</f>
        <v/>
      </c>
      <c r="F1818" t="str">
        <f>""</f>
        <v/>
      </c>
      <c r="G1818" s="3">
        <v>6.14</v>
      </c>
      <c r="H1818" t="str">
        <f t="shared" si="24"/>
        <v>GUARDIAN</v>
      </c>
    </row>
    <row r="1819" spans="5:8" x14ac:dyDescent="0.25">
      <c r="E1819" t="str">
        <f>""</f>
        <v/>
      </c>
      <c r="F1819" t="str">
        <f>""</f>
        <v/>
      </c>
      <c r="G1819" s="3">
        <v>10.75</v>
      </c>
      <c r="H1819" t="str">
        <f t="shared" si="24"/>
        <v>GUARDIAN</v>
      </c>
    </row>
    <row r="1820" spans="5:8" x14ac:dyDescent="0.25">
      <c r="E1820" t="str">
        <f>""</f>
        <v/>
      </c>
      <c r="F1820" t="str">
        <f>""</f>
        <v/>
      </c>
      <c r="G1820" s="3">
        <v>23.65</v>
      </c>
      <c r="H1820" t="str">
        <f t="shared" si="24"/>
        <v>GUARDIAN</v>
      </c>
    </row>
    <row r="1821" spans="5:8" x14ac:dyDescent="0.25">
      <c r="E1821" t="str">
        <f>""</f>
        <v/>
      </c>
      <c r="F1821" t="str">
        <f>""</f>
        <v/>
      </c>
      <c r="G1821" s="3">
        <v>8.6</v>
      </c>
      <c r="H1821" t="str">
        <f t="shared" si="24"/>
        <v>GUARDIAN</v>
      </c>
    </row>
    <row r="1822" spans="5:8" x14ac:dyDescent="0.25">
      <c r="E1822" t="str">
        <f>""</f>
        <v/>
      </c>
      <c r="F1822" t="str">
        <f>""</f>
        <v/>
      </c>
      <c r="G1822" s="3">
        <v>8.6</v>
      </c>
      <c r="H1822" t="str">
        <f t="shared" si="24"/>
        <v>GUARDIAN</v>
      </c>
    </row>
    <row r="1823" spans="5:8" x14ac:dyDescent="0.25">
      <c r="E1823" t="str">
        <f>""</f>
        <v/>
      </c>
      <c r="F1823" t="str">
        <f>""</f>
        <v/>
      </c>
      <c r="G1823" s="3">
        <v>8.6</v>
      </c>
      <c r="H1823" t="str">
        <f t="shared" si="24"/>
        <v>GUARDIAN</v>
      </c>
    </row>
    <row r="1824" spans="5:8" x14ac:dyDescent="0.25">
      <c r="E1824" t="str">
        <f>""</f>
        <v/>
      </c>
      <c r="F1824" t="str">
        <f>""</f>
        <v/>
      </c>
      <c r="G1824" s="3">
        <v>6.45</v>
      </c>
      <c r="H1824" t="str">
        <f t="shared" si="24"/>
        <v>GUARDIAN</v>
      </c>
    </row>
    <row r="1825" spans="5:8" x14ac:dyDescent="0.25">
      <c r="E1825" t="str">
        <f>""</f>
        <v/>
      </c>
      <c r="F1825" t="str">
        <f>""</f>
        <v/>
      </c>
      <c r="G1825" s="3">
        <v>4.3</v>
      </c>
      <c r="H1825" t="str">
        <f t="shared" ref="H1825:H1856" si="25">"GUARDIAN"</f>
        <v>GUARDIAN</v>
      </c>
    </row>
    <row r="1826" spans="5:8" x14ac:dyDescent="0.25">
      <c r="E1826" t="str">
        <f>""</f>
        <v/>
      </c>
      <c r="F1826" t="str">
        <f>""</f>
        <v/>
      </c>
      <c r="G1826" s="3">
        <v>31.99</v>
      </c>
      <c r="H1826" t="str">
        <f t="shared" si="25"/>
        <v>GUARDIAN</v>
      </c>
    </row>
    <row r="1827" spans="5:8" x14ac:dyDescent="0.25">
      <c r="E1827" t="str">
        <f>""</f>
        <v/>
      </c>
      <c r="F1827" t="str">
        <f>""</f>
        <v/>
      </c>
      <c r="G1827" s="3">
        <v>17.2</v>
      </c>
      <c r="H1827" t="str">
        <f t="shared" si="25"/>
        <v>GUARDIAN</v>
      </c>
    </row>
    <row r="1828" spans="5:8" x14ac:dyDescent="0.25">
      <c r="E1828" t="str">
        <f>""</f>
        <v/>
      </c>
      <c r="F1828" t="str">
        <f>""</f>
        <v/>
      </c>
      <c r="G1828" s="3">
        <v>8.6</v>
      </c>
      <c r="H1828" t="str">
        <f t="shared" si="25"/>
        <v>GUARDIAN</v>
      </c>
    </row>
    <row r="1829" spans="5:8" x14ac:dyDescent="0.25">
      <c r="E1829" t="str">
        <f>""</f>
        <v/>
      </c>
      <c r="F1829" t="str">
        <f>""</f>
        <v/>
      </c>
      <c r="G1829" s="3">
        <v>8.6</v>
      </c>
      <c r="H1829" t="str">
        <f t="shared" si="25"/>
        <v>GUARDIAN</v>
      </c>
    </row>
    <row r="1830" spans="5:8" x14ac:dyDescent="0.25">
      <c r="E1830" t="str">
        <f>""</f>
        <v/>
      </c>
      <c r="F1830" t="str">
        <f>""</f>
        <v/>
      </c>
      <c r="G1830" s="3">
        <v>28.99</v>
      </c>
      <c r="H1830" t="str">
        <f t="shared" si="25"/>
        <v>GUARDIAN</v>
      </c>
    </row>
    <row r="1831" spans="5:8" x14ac:dyDescent="0.25">
      <c r="E1831" t="str">
        <f>""</f>
        <v/>
      </c>
      <c r="F1831" t="str">
        <f>""</f>
        <v/>
      </c>
      <c r="G1831" s="3">
        <v>12.9</v>
      </c>
      <c r="H1831" t="str">
        <f t="shared" si="25"/>
        <v>GUARDIAN</v>
      </c>
    </row>
    <row r="1832" spans="5:8" x14ac:dyDescent="0.25">
      <c r="E1832" t="str">
        <f>""</f>
        <v/>
      </c>
      <c r="F1832" t="str">
        <f>""</f>
        <v/>
      </c>
      <c r="G1832" s="3">
        <v>23.65</v>
      </c>
      <c r="H1832" t="str">
        <f t="shared" si="25"/>
        <v>GUARDIAN</v>
      </c>
    </row>
    <row r="1833" spans="5:8" x14ac:dyDescent="0.25">
      <c r="E1833" t="str">
        <f>""</f>
        <v/>
      </c>
      <c r="F1833" t="str">
        <f>""</f>
        <v/>
      </c>
      <c r="G1833" s="3">
        <v>25.8</v>
      </c>
      <c r="H1833" t="str">
        <f t="shared" si="25"/>
        <v>GUARDIAN</v>
      </c>
    </row>
    <row r="1834" spans="5:8" x14ac:dyDescent="0.25">
      <c r="E1834" t="str">
        <f>""</f>
        <v/>
      </c>
      <c r="F1834" t="str">
        <f>""</f>
        <v/>
      </c>
      <c r="G1834" s="3">
        <v>47.33</v>
      </c>
      <c r="H1834" t="str">
        <f t="shared" si="25"/>
        <v>GUARDIAN</v>
      </c>
    </row>
    <row r="1835" spans="5:8" x14ac:dyDescent="0.25">
      <c r="E1835" t="str">
        <f>""</f>
        <v/>
      </c>
      <c r="F1835" t="str">
        <f>""</f>
        <v/>
      </c>
      <c r="G1835" s="3">
        <v>2.15</v>
      </c>
      <c r="H1835" t="str">
        <f t="shared" si="25"/>
        <v>GUARDIAN</v>
      </c>
    </row>
    <row r="1836" spans="5:8" x14ac:dyDescent="0.25">
      <c r="E1836" t="str">
        <f>""</f>
        <v/>
      </c>
      <c r="F1836" t="str">
        <f>""</f>
        <v/>
      </c>
      <c r="G1836" s="3">
        <v>2.15</v>
      </c>
      <c r="H1836" t="str">
        <f t="shared" si="25"/>
        <v>GUARDIAN</v>
      </c>
    </row>
    <row r="1837" spans="5:8" x14ac:dyDescent="0.25">
      <c r="E1837" t="str">
        <f>""</f>
        <v/>
      </c>
      <c r="F1837" t="str">
        <f>""</f>
        <v/>
      </c>
      <c r="G1837" s="3">
        <v>2.15</v>
      </c>
      <c r="H1837" t="str">
        <f t="shared" si="25"/>
        <v>GUARDIAN</v>
      </c>
    </row>
    <row r="1838" spans="5:8" x14ac:dyDescent="0.25">
      <c r="E1838" t="str">
        <f>""</f>
        <v/>
      </c>
      <c r="F1838" t="str">
        <f>""</f>
        <v/>
      </c>
      <c r="G1838" s="3">
        <v>193.91</v>
      </c>
      <c r="H1838" t="str">
        <f t="shared" si="25"/>
        <v>GUARDIAN</v>
      </c>
    </row>
    <row r="1839" spans="5:8" x14ac:dyDescent="0.25">
      <c r="E1839" t="str">
        <f>""</f>
        <v/>
      </c>
      <c r="F1839" t="str">
        <f>""</f>
        <v/>
      </c>
      <c r="G1839" s="3">
        <v>8.48</v>
      </c>
      <c r="H1839" t="str">
        <f t="shared" si="25"/>
        <v>GUARDIAN</v>
      </c>
    </row>
    <row r="1840" spans="5:8" x14ac:dyDescent="0.25">
      <c r="E1840" t="str">
        <f>""</f>
        <v/>
      </c>
      <c r="F1840" t="str">
        <f>""</f>
        <v/>
      </c>
      <c r="G1840" s="3">
        <v>171.72</v>
      </c>
      <c r="H1840" t="str">
        <f t="shared" si="25"/>
        <v>GUARDIAN</v>
      </c>
    </row>
    <row r="1841" spans="5:8" x14ac:dyDescent="0.25">
      <c r="E1841" t="str">
        <f>""</f>
        <v/>
      </c>
      <c r="F1841" t="str">
        <f>""</f>
        <v/>
      </c>
      <c r="G1841" s="3">
        <v>37.659999999999997</v>
      </c>
      <c r="H1841" t="str">
        <f t="shared" si="25"/>
        <v>GUARDIAN</v>
      </c>
    </row>
    <row r="1842" spans="5:8" x14ac:dyDescent="0.25">
      <c r="E1842" t="str">
        <f>""</f>
        <v/>
      </c>
      <c r="F1842" t="str">
        <f>""</f>
        <v/>
      </c>
      <c r="G1842" s="3">
        <v>2.15</v>
      </c>
      <c r="H1842" t="str">
        <f t="shared" si="25"/>
        <v>GUARDIAN</v>
      </c>
    </row>
    <row r="1843" spans="5:8" x14ac:dyDescent="0.25">
      <c r="E1843" t="str">
        <f>""</f>
        <v/>
      </c>
      <c r="F1843" t="str">
        <f>""</f>
        <v/>
      </c>
      <c r="G1843" s="3">
        <v>6.45</v>
      </c>
      <c r="H1843" t="str">
        <f t="shared" si="25"/>
        <v>GUARDIAN</v>
      </c>
    </row>
    <row r="1844" spans="5:8" x14ac:dyDescent="0.25">
      <c r="E1844" t="str">
        <f>""</f>
        <v/>
      </c>
      <c r="F1844" t="str">
        <f>""</f>
        <v/>
      </c>
      <c r="G1844" s="3">
        <v>0.26</v>
      </c>
      <c r="H1844" t="str">
        <f t="shared" si="25"/>
        <v>GUARDIAN</v>
      </c>
    </row>
    <row r="1845" spans="5:8" x14ac:dyDescent="0.25">
      <c r="E1845" t="str">
        <f>""</f>
        <v/>
      </c>
      <c r="F1845" t="str">
        <f>""</f>
        <v/>
      </c>
      <c r="G1845" s="3">
        <v>6.45</v>
      </c>
      <c r="H1845" t="str">
        <f t="shared" si="25"/>
        <v>GUARDIAN</v>
      </c>
    </row>
    <row r="1846" spans="5:8" x14ac:dyDescent="0.25">
      <c r="E1846" t="str">
        <f>""</f>
        <v/>
      </c>
      <c r="F1846" t="str">
        <f>""</f>
        <v/>
      </c>
      <c r="G1846" s="3">
        <v>2.15</v>
      </c>
      <c r="H1846" t="str">
        <f t="shared" si="25"/>
        <v>GUARDIAN</v>
      </c>
    </row>
    <row r="1847" spans="5:8" x14ac:dyDescent="0.25">
      <c r="E1847" t="str">
        <f>""</f>
        <v/>
      </c>
      <c r="F1847" t="str">
        <f>""</f>
        <v/>
      </c>
      <c r="G1847" s="3">
        <v>8.6</v>
      </c>
      <c r="H1847" t="str">
        <f t="shared" si="25"/>
        <v>GUARDIAN</v>
      </c>
    </row>
    <row r="1848" spans="5:8" x14ac:dyDescent="0.25">
      <c r="E1848" t="str">
        <f>""</f>
        <v/>
      </c>
      <c r="F1848" t="str">
        <f>""</f>
        <v/>
      </c>
      <c r="G1848" s="3">
        <v>4.3</v>
      </c>
      <c r="H1848" t="str">
        <f t="shared" si="25"/>
        <v>GUARDIAN</v>
      </c>
    </row>
    <row r="1849" spans="5:8" x14ac:dyDescent="0.25">
      <c r="E1849" t="str">
        <f>""</f>
        <v/>
      </c>
      <c r="F1849" t="str">
        <f>""</f>
        <v/>
      </c>
      <c r="G1849" s="3">
        <v>2.41</v>
      </c>
      <c r="H1849" t="str">
        <f t="shared" si="25"/>
        <v>GUARDIAN</v>
      </c>
    </row>
    <row r="1850" spans="5:8" x14ac:dyDescent="0.25">
      <c r="E1850" t="str">
        <f>""</f>
        <v/>
      </c>
      <c r="F1850" t="str">
        <f>""</f>
        <v/>
      </c>
      <c r="G1850" s="3">
        <v>26.33</v>
      </c>
      <c r="H1850" t="str">
        <f t="shared" si="25"/>
        <v>GUARDIAN</v>
      </c>
    </row>
    <row r="1851" spans="5:8" x14ac:dyDescent="0.25">
      <c r="E1851" t="str">
        <f>""</f>
        <v/>
      </c>
      <c r="F1851" t="str">
        <f>""</f>
        <v/>
      </c>
      <c r="G1851" s="3">
        <v>29.69</v>
      </c>
      <c r="H1851" t="str">
        <f t="shared" si="25"/>
        <v>GUARDIAN</v>
      </c>
    </row>
    <row r="1852" spans="5:8" x14ac:dyDescent="0.25">
      <c r="E1852" t="str">
        <f>""</f>
        <v/>
      </c>
      <c r="F1852" t="str">
        <f>""</f>
        <v/>
      </c>
      <c r="G1852" s="3">
        <v>29.69</v>
      </c>
      <c r="H1852" t="str">
        <f t="shared" si="25"/>
        <v>GUARDIAN</v>
      </c>
    </row>
    <row r="1853" spans="5:8" x14ac:dyDescent="0.25">
      <c r="E1853" t="str">
        <f>""</f>
        <v/>
      </c>
      <c r="F1853" t="str">
        <f>""</f>
        <v/>
      </c>
      <c r="G1853" s="3">
        <v>30.63</v>
      </c>
      <c r="H1853" t="str">
        <f t="shared" si="25"/>
        <v>GUARDIAN</v>
      </c>
    </row>
    <row r="1854" spans="5:8" x14ac:dyDescent="0.25">
      <c r="E1854" t="str">
        <f>""</f>
        <v/>
      </c>
      <c r="F1854" t="str">
        <f>""</f>
        <v/>
      </c>
      <c r="G1854" s="3">
        <v>1.89</v>
      </c>
      <c r="H1854" t="str">
        <f t="shared" si="25"/>
        <v>GUARDIAN</v>
      </c>
    </row>
    <row r="1855" spans="5:8" x14ac:dyDescent="0.25">
      <c r="E1855" t="str">
        <f>""</f>
        <v/>
      </c>
      <c r="F1855" t="str">
        <f>""</f>
        <v/>
      </c>
      <c r="G1855" s="3">
        <v>0.09</v>
      </c>
      <c r="H1855" t="str">
        <f t="shared" si="25"/>
        <v>GUARDIAN</v>
      </c>
    </row>
    <row r="1856" spans="5:8" x14ac:dyDescent="0.25">
      <c r="E1856" t="str">
        <f>""</f>
        <v/>
      </c>
      <c r="F1856" t="str">
        <f>""</f>
        <v/>
      </c>
      <c r="G1856" s="3">
        <v>0.17</v>
      </c>
      <c r="H1856" t="str">
        <f t="shared" si="25"/>
        <v>GUARDIAN</v>
      </c>
    </row>
    <row r="1857" spans="5:8" x14ac:dyDescent="0.25">
      <c r="E1857" t="str">
        <f>""</f>
        <v/>
      </c>
      <c r="F1857" t="str">
        <f>""</f>
        <v/>
      </c>
      <c r="G1857" s="3">
        <v>0.31</v>
      </c>
      <c r="H1857" t="str">
        <f t="shared" ref="H1857:H1888" si="26">"GUARDIAN"</f>
        <v>GUARDIAN</v>
      </c>
    </row>
    <row r="1858" spans="5:8" x14ac:dyDescent="0.25">
      <c r="E1858" t="str">
        <f>""</f>
        <v/>
      </c>
      <c r="F1858" t="str">
        <f>""</f>
        <v/>
      </c>
      <c r="G1858" s="3">
        <v>2.14</v>
      </c>
      <c r="H1858" t="str">
        <f t="shared" si="26"/>
        <v>GUARDIAN</v>
      </c>
    </row>
    <row r="1859" spans="5:8" x14ac:dyDescent="0.25">
      <c r="E1859" t="str">
        <f>""</f>
        <v/>
      </c>
      <c r="F1859" t="str">
        <f>""</f>
        <v/>
      </c>
      <c r="G1859" s="3">
        <v>2769.73</v>
      </c>
      <c r="H1859" t="str">
        <f t="shared" si="26"/>
        <v>GUARDIAN</v>
      </c>
    </row>
    <row r="1860" spans="5:8" x14ac:dyDescent="0.25">
      <c r="E1860" t="str">
        <f>"LIE202111097074"</f>
        <v>LIE202111097074</v>
      </c>
      <c r="F1860" t="str">
        <f>"GUARDIAN"</f>
        <v>GUARDIAN</v>
      </c>
      <c r="G1860" s="3">
        <v>32.25</v>
      </c>
      <c r="H1860" t="str">
        <f t="shared" si="26"/>
        <v>GUARDIAN</v>
      </c>
    </row>
    <row r="1861" spans="5:8" x14ac:dyDescent="0.25">
      <c r="E1861" t="str">
        <f>""</f>
        <v/>
      </c>
      <c r="F1861" t="str">
        <f>""</f>
        <v/>
      </c>
      <c r="G1861" s="3">
        <v>51</v>
      </c>
      <c r="H1861" t="str">
        <f t="shared" si="26"/>
        <v>GUARDIAN</v>
      </c>
    </row>
    <row r="1862" spans="5:8" x14ac:dyDescent="0.25">
      <c r="E1862" t="str">
        <f>"LIE202111227341"</f>
        <v>LIE202111227341</v>
      </c>
      <c r="F1862" t="str">
        <f>"GUARDIAN"</f>
        <v>GUARDIAN</v>
      </c>
      <c r="G1862" s="3">
        <v>4.3</v>
      </c>
      <c r="H1862" t="str">
        <f t="shared" si="26"/>
        <v>GUARDIAN</v>
      </c>
    </row>
    <row r="1863" spans="5:8" x14ac:dyDescent="0.25">
      <c r="E1863" t="str">
        <f>""</f>
        <v/>
      </c>
      <c r="F1863" t="str">
        <f>""</f>
        <v/>
      </c>
      <c r="G1863" s="3">
        <v>1.88</v>
      </c>
      <c r="H1863" t="str">
        <f t="shared" si="26"/>
        <v>GUARDIAN</v>
      </c>
    </row>
    <row r="1864" spans="5:8" x14ac:dyDescent="0.25">
      <c r="E1864" t="str">
        <f>""</f>
        <v/>
      </c>
      <c r="F1864" t="str">
        <f>""</f>
        <v/>
      </c>
      <c r="G1864" s="3">
        <v>16.940000000000001</v>
      </c>
      <c r="H1864" t="str">
        <f t="shared" si="26"/>
        <v>GUARDIAN</v>
      </c>
    </row>
    <row r="1865" spans="5:8" x14ac:dyDescent="0.25">
      <c r="E1865" t="str">
        <f>""</f>
        <v/>
      </c>
      <c r="F1865" t="str">
        <f>""</f>
        <v/>
      </c>
      <c r="G1865" s="3">
        <v>6.45</v>
      </c>
      <c r="H1865" t="str">
        <f t="shared" si="26"/>
        <v>GUARDIAN</v>
      </c>
    </row>
    <row r="1866" spans="5:8" x14ac:dyDescent="0.25">
      <c r="E1866" t="str">
        <f>""</f>
        <v/>
      </c>
      <c r="F1866" t="str">
        <f>""</f>
        <v/>
      </c>
      <c r="G1866" s="3">
        <v>2.15</v>
      </c>
      <c r="H1866" t="str">
        <f t="shared" si="26"/>
        <v>GUARDIAN</v>
      </c>
    </row>
    <row r="1867" spans="5:8" x14ac:dyDescent="0.25">
      <c r="E1867" t="str">
        <f>""</f>
        <v/>
      </c>
      <c r="F1867" t="str">
        <f>""</f>
        <v/>
      </c>
      <c r="G1867" s="3">
        <v>10.75</v>
      </c>
      <c r="H1867" t="str">
        <f t="shared" si="26"/>
        <v>GUARDIAN</v>
      </c>
    </row>
    <row r="1868" spans="5:8" x14ac:dyDescent="0.25">
      <c r="E1868" t="str">
        <f>""</f>
        <v/>
      </c>
      <c r="F1868" t="str">
        <f>""</f>
        <v/>
      </c>
      <c r="G1868" s="3">
        <v>40.85</v>
      </c>
      <c r="H1868" t="str">
        <f t="shared" si="26"/>
        <v>GUARDIAN</v>
      </c>
    </row>
    <row r="1869" spans="5:8" x14ac:dyDescent="0.25">
      <c r="E1869" t="str">
        <f>""</f>
        <v/>
      </c>
      <c r="F1869" t="str">
        <f>""</f>
        <v/>
      </c>
      <c r="G1869" s="3">
        <v>6.14</v>
      </c>
      <c r="H1869" t="str">
        <f t="shared" si="26"/>
        <v>GUARDIAN</v>
      </c>
    </row>
    <row r="1870" spans="5:8" x14ac:dyDescent="0.25">
      <c r="E1870" t="str">
        <f>""</f>
        <v/>
      </c>
      <c r="F1870" t="str">
        <f>""</f>
        <v/>
      </c>
      <c r="G1870" s="3">
        <v>10.75</v>
      </c>
      <c r="H1870" t="str">
        <f t="shared" si="26"/>
        <v>GUARDIAN</v>
      </c>
    </row>
    <row r="1871" spans="5:8" x14ac:dyDescent="0.25">
      <c r="E1871" t="str">
        <f>""</f>
        <v/>
      </c>
      <c r="F1871" t="str">
        <f>""</f>
        <v/>
      </c>
      <c r="G1871" s="3">
        <v>23.65</v>
      </c>
      <c r="H1871" t="str">
        <f t="shared" si="26"/>
        <v>GUARDIAN</v>
      </c>
    </row>
    <row r="1872" spans="5:8" x14ac:dyDescent="0.25">
      <c r="E1872" t="str">
        <f>""</f>
        <v/>
      </c>
      <c r="F1872" t="str">
        <f>""</f>
        <v/>
      </c>
      <c r="G1872" s="3">
        <v>8.6</v>
      </c>
      <c r="H1872" t="str">
        <f t="shared" si="26"/>
        <v>GUARDIAN</v>
      </c>
    </row>
    <row r="1873" spans="5:8" x14ac:dyDescent="0.25">
      <c r="E1873" t="str">
        <f>""</f>
        <v/>
      </c>
      <c r="F1873" t="str">
        <f>""</f>
        <v/>
      </c>
      <c r="G1873" s="3">
        <v>8.6</v>
      </c>
      <c r="H1873" t="str">
        <f t="shared" si="26"/>
        <v>GUARDIAN</v>
      </c>
    </row>
    <row r="1874" spans="5:8" x14ac:dyDescent="0.25">
      <c r="E1874" t="str">
        <f>""</f>
        <v/>
      </c>
      <c r="F1874" t="str">
        <f>""</f>
        <v/>
      </c>
      <c r="G1874" s="3">
        <v>8.6</v>
      </c>
      <c r="H1874" t="str">
        <f t="shared" si="26"/>
        <v>GUARDIAN</v>
      </c>
    </row>
    <row r="1875" spans="5:8" x14ac:dyDescent="0.25">
      <c r="E1875" t="str">
        <f>""</f>
        <v/>
      </c>
      <c r="F1875" t="str">
        <f>""</f>
        <v/>
      </c>
      <c r="G1875" s="3">
        <v>6.45</v>
      </c>
      <c r="H1875" t="str">
        <f t="shared" si="26"/>
        <v>GUARDIAN</v>
      </c>
    </row>
    <row r="1876" spans="5:8" x14ac:dyDescent="0.25">
      <c r="E1876" t="str">
        <f>""</f>
        <v/>
      </c>
      <c r="F1876" t="str">
        <f>""</f>
        <v/>
      </c>
      <c r="G1876" s="3">
        <v>4.3</v>
      </c>
      <c r="H1876" t="str">
        <f t="shared" si="26"/>
        <v>GUARDIAN</v>
      </c>
    </row>
    <row r="1877" spans="5:8" x14ac:dyDescent="0.25">
      <c r="E1877" t="str">
        <f>""</f>
        <v/>
      </c>
      <c r="F1877" t="str">
        <f>""</f>
        <v/>
      </c>
      <c r="G1877" s="3">
        <v>31.99</v>
      </c>
      <c r="H1877" t="str">
        <f t="shared" si="26"/>
        <v>GUARDIAN</v>
      </c>
    </row>
    <row r="1878" spans="5:8" x14ac:dyDescent="0.25">
      <c r="E1878" t="str">
        <f>""</f>
        <v/>
      </c>
      <c r="F1878" t="str">
        <f>""</f>
        <v/>
      </c>
      <c r="G1878" s="3">
        <v>17.2</v>
      </c>
      <c r="H1878" t="str">
        <f t="shared" si="26"/>
        <v>GUARDIAN</v>
      </c>
    </row>
    <row r="1879" spans="5:8" x14ac:dyDescent="0.25">
      <c r="E1879" t="str">
        <f>""</f>
        <v/>
      </c>
      <c r="F1879" t="str">
        <f>""</f>
        <v/>
      </c>
      <c r="G1879" s="3">
        <v>8.6</v>
      </c>
      <c r="H1879" t="str">
        <f t="shared" si="26"/>
        <v>GUARDIAN</v>
      </c>
    </row>
    <row r="1880" spans="5:8" x14ac:dyDescent="0.25">
      <c r="E1880" t="str">
        <f>""</f>
        <v/>
      </c>
      <c r="F1880" t="str">
        <f>""</f>
        <v/>
      </c>
      <c r="G1880" s="3">
        <v>8.6</v>
      </c>
      <c r="H1880" t="str">
        <f t="shared" si="26"/>
        <v>GUARDIAN</v>
      </c>
    </row>
    <row r="1881" spans="5:8" x14ac:dyDescent="0.25">
      <c r="E1881" t="str">
        <f>""</f>
        <v/>
      </c>
      <c r="F1881" t="str">
        <f>""</f>
        <v/>
      </c>
      <c r="G1881" s="3">
        <v>30.1</v>
      </c>
      <c r="H1881" t="str">
        <f t="shared" si="26"/>
        <v>GUARDIAN</v>
      </c>
    </row>
    <row r="1882" spans="5:8" x14ac:dyDescent="0.25">
      <c r="E1882" t="str">
        <f>""</f>
        <v/>
      </c>
      <c r="F1882" t="str">
        <f>""</f>
        <v/>
      </c>
      <c r="G1882" s="3">
        <v>12.9</v>
      </c>
      <c r="H1882" t="str">
        <f t="shared" si="26"/>
        <v>GUARDIAN</v>
      </c>
    </row>
    <row r="1883" spans="5:8" x14ac:dyDescent="0.25">
      <c r="E1883" t="str">
        <f>""</f>
        <v/>
      </c>
      <c r="F1883" t="str">
        <f>""</f>
        <v/>
      </c>
      <c r="G1883" s="3">
        <v>23.65</v>
      </c>
      <c r="H1883" t="str">
        <f t="shared" si="26"/>
        <v>GUARDIAN</v>
      </c>
    </row>
    <row r="1884" spans="5:8" x14ac:dyDescent="0.25">
      <c r="E1884" t="str">
        <f>""</f>
        <v/>
      </c>
      <c r="F1884" t="str">
        <f>""</f>
        <v/>
      </c>
      <c r="G1884" s="3">
        <v>25.8</v>
      </c>
      <c r="H1884" t="str">
        <f t="shared" si="26"/>
        <v>GUARDIAN</v>
      </c>
    </row>
    <row r="1885" spans="5:8" x14ac:dyDescent="0.25">
      <c r="E1885" t="str">
        <f>""</f>
        <v/>
      </c>
      <c r="F1885" t="str">
        <f>""</f>
        <v/>
      </c>
      <c r="G1885" s="3">
        <v>47.33</v>
      </c>
      <c r="H1885" t="str">
        <f t="shared" si="26"/>
        <v>GUARDIAN</v>
      </c>
    </row>
    <row r="1886" spans="5:8" x14ac:dyDescent="0.25">
      <c r="E1886" t="str">
        <f>""</f>
        <v/>
      </c>
      <c r="F1886" t="str">
        <f>""</f>
        <v/>
      </c>
      <c r="G1886" s="3">
        <v>2.15</v>
      </c>
      <c r="H1886" t="str">
        <f t="shared" si="26"/>
        <v>GUARDIAN</v>
      </c>
    </row>
    <row r="1887" spans="5:8" x14ac:dyDescent="0.25">
      <c r="E1887" t="str">
        <f>""</f>
        <v/>
      </c>
      <c r="F1887" t="str">
        <f>""</f>
        <v/>
      </c>
      <c r="G1887" s="3">
        <v>2.15</v>
      </c>
      <c r="H1887" t="str">
        <f t="shared" si="26"/>
        <v>GUARDIAN</v>
      </c>
    </row>
    <row r="1888" spans="5:8" x14ac:dyDescent="0.25">
      <c r="E1888" t="str">
        <f>""</f>
        <v/>
      </c>
      <c r="F1888" t="str">
        <f>""</f>
        <v/>
      </c>
      <c r="G1888" s="3">
        <v>2.15</v>
      </c>
      <c r="H1888" t="str">
        <f t="shared" si="26"/>
        <v>GUARDIAN</v>
      </c>
    </row>
    <row r="1889" spans="5:8" x14ac:dyDescent="0.25">
      <c r="E1889" t="str">
        <f>""</f>
        <v/>
      </c>
      <c r="F1889" t="str">
        <f>""</f>
        <v/>
      </c>
      <c r="G1889" s="3">
        <v>195.96</v>
      </c>
      <c r="H1889" t="str">
        <f t="shared" ref="H1889:H1922" si="27">"GUARDIAN"</f>
        <v>GUARDIAN</v>
      </c>
    </row>
    <row r="1890" spans="5:8" x14ac:dyDescent="0.25">
      <c r="E1890" t="str">
        <f>""</f>
        <v/>
      </c>
      <c r="F1890" t="str">
        <f>""</f>
        <v/>
      </c>
      <c r="G1890" s="3">
        <v>8.48</v>
      </c>
      <c r="H1890" t="str">
        <f t="shared" si="27"/>
        <v>GUARDIAN</v>
      </c>
    </row>
    <row r="1891" spans="5:8" x14ac:dyDescent="0.25">
      <c r="E1891" t="str">
        <f>""</f>
        <v/>
      </c>
      <c r="F1891" t="str">
        <f>""</f>
        <v/>
      </c>
      <c r="G1891" s="3">
        <v>169.67</v>
      </c>
      <c r="H1891" t="str">
        <f t="shared" si="27"/>
        <v>GUARDIAN</v>
      </c>
    </row>
    <row r="1892" spans="5:8" x14ac:dyDescent="0.25">
      <c r="E1892" t="str">
        <f>""</f>
        <v/>
      </c>
      <c r="F1892" t="str">
        <f>""</f>
        <v/>
      </c>
      <c r="G1892" s="3">
        <v>36.549999999999997</v>
      </c>
      <c r="H1892" t="str">
        <f t="shared" si="27"/>
        <v>GUARDIAN</v>
      </c>
    </row>
    <row r="1893" spans="5:8" x14ac:dyDescent="0.25">
      <c r="E1893" t="str">
        <f>""</f>
        <v/>
      </c>
      <c r="F1893" t="str">
        <f>""</f>
        <v/>
      </c>
      <c r="G1893" s="3">
        <v>2.15</v>
      </c>
      <c r="H1893" t="str">
        <f t="shared" si="27"/>
        <v>GUARDIAN</v>
      </c>
    </row>
    <row r="1894" spans="5:8" x14ac:dyDescent="0.25">
      <c r="E1894" t="str">
        <f>""</f>
        <v/>
      </c>
      <c r="F1894" t="str">
        <f>""</f>
        <v/>
      </c>
      <c r="G1894" s="3">
        <v>6.45</v>
      </c>
      <c r="H1894" t="str">
        <f t="shared" si="27"/>
        <v>GUARDIAN</v>
      </c>
    </row>
    <row r="1895" spans="5:8" x14ac:dyDescent="0.25">
      <c r="E1895" t="str">
        <f>""</f>
        <v/>
      </c>
      <c r="F1895" t="str">
        <f>""</f>
        <v/>
      </c>
      <c r="G1895" s="3">
        <v>0.26</v>
      </c>
      <c r="H1895" t="str">
        <f t="shared" si="27"/>
        <v>GUARDIAN</v>
      </c>
    </row>
    <row r="1896" spans="5:8" x14ac:dyDescent="0.25">
      <c r="E1896" t="str">
        <f>""</f>
        <v/>
      </c>
      <c r="F1896" t="str">
        <f>""</f>
        <v/>
      </c>
      <c r="G1896" s="3">
        <v>6.45</v>
      </c>
      <c r="H1896" t="str">
        <f t="shared" si="27"/>
        <v>GUARDIAN</v>
      </c>
    </row>
    <row r="1897" spans="5:8" x14ac:dyDescent="0.25">
      <c r="E1897" t="str">
        <f>""</f>
        <v/>
      </c>
      <c r="F1897" t="str">
        <f>""</f>
        <v/>
      </c>
      <c r="G1897" s="3">
        <v>2.15</v>
      </c>
      <c r="H1897" t="str">
        <f t="shared" si="27"/>
        <v>GUARDIAN</v>
      </c>
    </row>
    <row r="1898" spans="5:8" x14ac:dyDescent="0.25">
      <c r="E1898" t="str">
        <f>""</f>
        <v/>
      </c>
      <c r="F1898" t="str">
        <f>""</f>
        <v/>
      </c>
      <c r="G1898" s="3">
        <v>8.6</v>
      </c>
      <c r="H1898" t="str">
        <f t="shared" si="27"/>
        <v>GUARDIAN</v>
      </c>
    </row>
    <row r="1899" spans="5:8" x14ac:dyDescent="0.25">
      <c r="E1899" t="str">
        <f>""</f>
        <v/>
      </c>
      <c r="F1899" t="str">
        <f>""</f>
        <v/>
      </c>
      <c r="G1899" s="3">
        <v>4.3</v>
      </c>
      <c r="H1899" t="str">
        <f t="shared" si="27"/>
        <v>GUARDIAN</v>
      </c>
    </row>
    <row r="1900" spans="5:8" x14ac:dyDescent="0.25">
      <c r="E1900" t="str">
        <f>""</f>
        <v/>
      </c>
      <c r="F1900" t="str">
        <f>""</f>
        <v/>
      </c>
      <c r="G1900" s="3">
        <v>2.41</v>
      </c>
      <c r="H1900" t="str">
        <f t="shared" si="27"/>
        <v>GUARDIAN</v>
      </c>
    </row>
    <row r="1901" spans="5:8" x14ac:dyDescent="0.25">
      <c r="E1901" t="str">
        <f>""</f>
        <v/>
      </c>
      <c r="F1901" t="str">
        <f>""</f>
        <v/>
      </c>
      <c r="G1901" s="3">
        <v>26.33</v>
      </c>
      <c r="H1901" t="str">
        <f t="shared" si="27"/>
        <v>GUARDIAN</v>
      </c>
    </row>
    <row r="1902" spans="5:8" x14ac:dyDescent="0.25">
      <c r="E1902" t="str">
        <f>""</f>
        <v/>
      </c>
      <c r="F1902" t="str">
        <f>""</f>
        <v/>
      </c>
      <c r="G1902" s="3">
        <v>29.69</v>
      </c>
      <c r="H1902" t="str">
        <f t="shared" si="27"/>
        <v>GUARDIAN</v>
      </c>
    </row>
    <row r="1903" spans="5:8" x14ac:dyDescent="0.25">
      <c r="E1903" t="str">
        <f>""</f>
        <v/>
      </c>
      <c r="F1903" t="str">
        <f>""</f>
        <v/>
      </c>
      <c r="G1903" s="3">
        <v>29.69</v>
      </c>
      <c r="H1903" t="str">
        <f t="shared" si="27"/>
        <v>GUARDIAN</v>
      </c>
    </row>
    <row r="1904" spans="5:8" x14ac:dyDescent="0.25">
      <c r="E1904" t="str">
        <f>""</f>
        <v/>
      </c>
      <c r="F1904" t="str">
        <f>""</f>
        <v/>
      </c>
      <c r="G1904" s="3">
        <v>26.33</v>
      </c>
      <c r="H1904" t="str">
        <f t="shared" si="27"/>
        <v>GUARDIAN</v>
      </c>
    </row>
    <row r="1905" spans="1:8" x14ac:dyDescent="0.25">
      <c r="E1905" t="str">
        <f>""</f>
        <v/>
      </c>
      <c r="F1905" t="str">
        <f>""</f>
        <v/>
      </c>
      <c r="G1905" s="3">
        <v>1.89</v>
      </c>
      <c r="H1905" t="str">
        <f t="shared" si="27"/>
        <v>GUARDIAN</v>
      </c>
    </row>
    <row r="1906" spans="1:8" x14ac:dyDescent="0.25">
      <c r="E1906" t="str">
        <f>""</f>
        <v/>
      </c>
      <c r="F1906" t="str">
        <f>""</f>
        <v/>
      </c>
      <c r="G1906" s="3">
        <v>0.09</v>
      </c>
      <c r="H1906" t="str">
        <f t="shared" si="27"/>
        <v>GUARDIAN</v>
      </c>
    </row>
    <row r="1907" spans="1:8" x14ac:dyDescent="0.25">
      <c r="E1907" t="str">
        <f>""</f>
        <v/>
      </c>
      <c r="F1907" t="str">
        <f>""</f>
        <v/>
      </c>
      <c r="G1907" s="3">
        <v>0.17</v>
      </c>
      <c r="H1907" t="str">
        <f t="shared" si="27"/>
        <v>GUARDIAN</v>
      </c>
    </row>
    <row r="1908" spans="1:8" x14ac:dyDescent="0.25">
      <c r="E1908" t="str">
        <f>""</f>
        <v/>
      </c>
      <c r="F1908" t="str">
        <f>""</f>
        <v/>
      </c>
      <c r="G1908" s="3">
        <v>0.31</v>
      </c>
      <c r="H1908" t="str">
        <f t="shared" si="27"/>
        <v>GUARDIAN</v>
      </c>
    </row>
    <row r="1909" spans="1:8" x14ac:dyDescent="0.25">
      <c r="E1909" t="str">
        <f>""</f>
        <v/>
      </c>
      <c r="F1909" t="str">
        <f>""</f>
        <v/>
      </c>
      <c r="G1909" s="3">
        <v>2.14</v>
      </c>
      <c r="H1909" t="str">
        <f t="shared" si="27"/>
        <v>GUARDIAN</v>
      </c>
    </row>
    <row r="1910" spans="1:8" x14ac:dyDescent="0.25">
      <c r="E1910" t="str">
        <f>""</f>
        <v/>
      </c>
      <c r="F1910" t="str">
        <f>""</f>
        <v/>
      </c>
      <c r="G1910" s="3">
        <v>2762.77</v>
      </c>
      <c r="H1910" t="str">
        <f t="shared" si="27"/>
        <v>GUARDIAN</v>
      </c>
    </row>
    <row r="1911" spans="1:8" x14ac:dyDescent="0.25">
      <c r="E1911" t="str">
        <f>"LIE202111227342"</f>
        <v>LIE202111227342</v>
      </c>
      <c r="F1911" t="str">
        <f>"GUARDIAN"</f>
        <v>GUARDIAN</v>
      </c>
      <c r="G1911" s="3">
        <v>32.25</v>
      </c>
      <c r="H1911" t="str">
        <f t="shared" si="27"/>
        <v>GUARDIAN</v>
      </c>
    </row>
    <row r="1912" spans="1:8" x14ac:dyDescent="0.25">
      <c r="E1912" t="str">
        <f>""</f>
        <v/>
      </c>
      <c r="F1912" t="str">
        <f>""</f>
        <v/>
      </c>
      <c r="G1912" s="3">
        <v>51</v>
      </c>
      <c r="H1912" t="str">
        <f t="shared" si="27"/>
        <v>GUARDIAN</v>
      </c>
    </row>
    <row r="1913" spans="1:8" x14ac:dyDescent="0.25">
      <c r="E1913" t="str">
        <f>"LIS202111097073"</f>
        <v>LIS202111097073</v>
      </c>
      <c r="F1913" t="str">
        <f t="shared" ref="F1913:F1922" si="28">"GUARDIAN"</f>
        <v>GUARDIAN</v>
      </c>
      <c r="G1913" s="3">
        <v>540.79999999999995</v>
      </c>
      <c r="H1913" t="str">
        <f t="shared" si="27"/>
        <v>GUARDIAN</v>
      </c>
    </row>
    <row r="1914" spans="1:8" x14ac:dyDescent="0.25">
      <c r="E1914" t="str">
        <f>"LIS202111097074"</f>
        <v>LIS202111097074</v>
      </c>
      <c r="F1914" t="str">
        <f t="shared" si="28"/>
        <v>GUARDIAN</v>
      </c>
      <c r="G1914" s="3">
        <v>36.75</v>
      </c>
      <c r="H1914" t="str">
        <f t="shared" si="27"/>
        <v>GUARDIAN</v>
      </c>
    </row>
    <row r="1915" spans="1:8" x14ac:dyDescent="0.25">
      <c r="E1915" t="str">
        <f>"LIS202111227341"</f>
        <v>LIS202111227341</v>
      </c>
      <c r="F1915" t="str">
        <f t="shared" si="28"/>
        <v>GUARDIAN</v>
      </c>
      <c r="G1915" s="3">
        <v>538.70000000000005</v>
      </c>
      <c r="H1915" t="str">
        <f t="shared" si="27"/>
        <v>GUARDIAN</v>
      </c>
    </row>
    <row r="1916" spans="1:8" x14ac:dyDescent="0.25">
      <c r="E1916" t="str">
        <f>"LIS202111227342"</f>
        <v>LIS202111227342</v>
      </c>
      <c r="F1916" t="str">
        <f t="shared" si="28"/>
        <v>GUARDIAN</v>
      </c>
      <c r="G1916" s="3">
        <v>36.75</v>
      </c>
      <c r="H1916" t="str">
        <f t="shared" si="27"/>
        <v>GUARDIAN</v>
      </c>
    </row>
    <row r="1917" spans="1:8" x14ac:dyDescent="0.25">
      <c r="E1917" t="str">
        <f>"LTD202111097073"</f>
        <v>LTD202111097073</v>
      </c>
      <c r="F1917" t="str">
        <f t="shared" si="28"/>
        <v>GUARDIAN</v>
      </c>
      <c r="G1917" s="3">
        <v>996.51</v>
      </c>
      <c r="H1917" t="str">
        <f t="shared" si="27"/>
        <v>GUARDIAN</v>
      </c>
    </row>
    <row r="1918" spans="1:8" x14ac:dyDescent="0.25">
      <c r="E1918" t="str">
        <f>"LTD202111227341"</f>
        <v>LTD202111227341</v>
      </c>
      <c r="F1918" t="str">
        <f t="shared" si="28"/>
        <v>GUARDIAN</v>
      </c>
      <c r="G1918" s="3">
        <v>978.85</v>
      </c>
      <c r="H1918" t="str">
        <f t="shared" si="27"/>
        <v>GUARDIAN</v>
      </c>
    </row>
    <row r="1919" spans="1:8" x14ac:dyDescent="0.25">
      <c r="A1919" t="s">
        <v>618</v>
      </c>
      <c r="B1919">
        <v>1470</v>
      </c>
      <c r="C1919" s="3">
        <v>92.92</v>
      </c>
      <c r="D1919" s="6">
        <v>44529</v>
      </c>
      <c r="E1919" t="str">
        <f>"AEG202111097073"</f>
        <v>AEG202111097073</v>
      </c>
      <c r="F1919" t="str">
        <f t="shared" si="28"/>
        <v>GUARDIAN</v>
      </c>
      <c r="G1919" s="3">
        <v>12.48</v>
      </c>
      <c r="H1919" t="str">
        <f t="shared" si="27"/>
        <v>GUARDIAN</v>
      </c>
    </row>
    <row r="1920" spans="1:8" x14ac:dyDescent="0.25">
      <c r="E1920" t="str">
        <f>"AEG202111227341"</f>
        <v>AEG202111227341</v>
      </c>
      <c r="F1920" t="str">
        <f t="shared" si="28"/>
        <v>GUARDIAN</v>
      </c>
      <c r="G1920" s="3">
        <v>12.48</v>
      </c>
      <c r="H1920" t="str">
        <f t="shared" si="27"/>
        <v>GUARDIAN</v>
      </c>
    </row>
    <row r="1921" spans="1:8" x14ac:dyDescent="0.25">
      <c r="E1921" t="str">
        <f>"AFG202111097073"</f>
        <v>AFG202111097073</v>
      </c>
      <c r="F1921" t="str">
        <f t="shared" si="28"/>
        <v>GUARDIAN</v>
      </c>
      <c r="G1921" s="3">
        <v>33.979999999999997</v>
      </c>
      <c r="H1921" t="str">
        <f t="shared" si="27"/>
        <v>GUARDIAN</v>
      </c>
    </row>
    <row r="1922" spans="1:8" x14ac:dyDescent="0.25">
      <c r="E1922" t="str">
        <f>"AFG202111227341"</f>
        <v>AFG202111227341</v>
      </c>
      <c r="F1922" t="str">
        <f t="shared" si="28"/>
        <v>GUARDIAN</v>
      </c>
      <c r="G1922" s="3">
        <v>33.979999999999997</v>
      </c>
      <c r="H1922" t="str">
        <f t="shared" si="27"/>
        <v>GUARDIAN</v>
      </c>
    </row>
    <row r="1923" spans="1:8" x14ac:dyDescent="0.25">
      <c r="A1923" t="s">
        <v>619</v>
      </c>
      <c r="B1923">
        <v>1410</v>
      </c>
      <c r="C1923" s="3">
        <v>390</v>
      </c>
      <c r="D1923" s="6">
        <v>44512</v>
      </c>
      <c r="E1923" t="str">
        <f>"C97202111097073"</f>
        <v>C97202111097073</v>
      </c>
      <c r="F1923" t="str">
        <f>"0008314890"</f>
        <v>0008314890</v>
      </c>
      <c r="G1923" s="3">
        <v>390</v>
      </c>
      <c r="H1923" t="str">
        <f>"0008314890"</f>
        <v>0008314890</v>
      </c>
    </row>
    <row r="1924" spans="1:8" x14ac:dyDescent="0.25">
      <c r="A1924" t="s">
        <v>619</v>
      </c>
      <c r="B1924">
        <v>1418</v>
      </c>
      <c r="C1924" s="3">
        <v>390</v>
      </c>
      <c r="D1924" s="6">
        <v>44524</v>
      </c>
      <c r="E1924" t="str">
        <f>"C97202111227341"</f>
        <v>C97202111227341</v>
      </c>
      <c r="F1924" t="str">
        <f>"0008314890"</f>
        <v>0008314890</v>
      </c>
      <c r="G1924" s="3">
        <v>390</v>
      </c>
      <c r="H1924" t="str">
        <f>"0008314890"</f>
        <v>0008314890</v>
      </c>
    </row>
    <row r="1925" spans="1:8" x14ac:dyDescent="0.25">
      <c r="A1925" t="s">
        <v>620</v>
      </c>
      <c r="B1925">
        <v>1409</v>
      </c>
      <c r="C1925" s="3">
        <v>3828</v>
      </c>
      <c r="D1925" s="6">
        <v>44508</v>
      </c>
      <c r="E1925" t="str">
        <f>"T3 202111047024"</f>
        <v>T3 202111047024</v>
      </c>
      <c r="F1925" t="str">
        <f>"SOCIAL SECURITY TAXES"</f>
        <v>SOCIAL SECURITY TAXES</v>
      </c>
      <c r="G1925" s="3">
        <v>1551.21</v>
      </c>
      <c r="H1925" t="str">
        <f>"SOCIAL SECURITY TAXES"</f>
        <v>SOCIAL SECURITY TAXES</v>
      </c>
    </row>
    <row r="1926" spans="1:8" x14ac:dyDescent="0.25">
      <c r="E1926" t="str">
        <f>""</f>
        <v/>
      </c>
      <c r="F1926" t="str">
        <f>""</f>
        <v/>
      </c>
      <c r="G1926" s="3">
        <v>1551.21</v>
      </c>
      <c r="H1926" t="str">
        <f>"SOCIAL SECURITY TAXES"</f>
        <v>SOCIAL SECURITY TAXES</v>
      </c>
    </row>
    <row r="1927" spans="1:8" x14ac:dyDescent="0.25">
      <c r="E1927" t="str">
        <f>"T4 202111047024"</f>
        <v>T4 202111047024</v>
      </c>
      <c r="F1927" t="str">
        <f>"MEDICARE TAXES"</f>
        <v>MEDICARE TAXES</v>
      </c>
      <c r="G1927" s="3">
        <v>362.79</v>
      </c>
      <c r="H1927" t="str">
        <f>"MEDICARE TAXES"</f>
        <v>MEDICARE TAXES</v>
      </c>
    </row>
    <row r="1928" spans="1:8" x14ac:dyDescent="0.25">
      <c r="E1928" t="str">
        <f>""</f>
        <v/>
      </c>
      <c r="F1928" t="str">
        <f>""</f>
        <v/>
      </c>
      <c r="G1928" s="3">
        <v>362.79</v>
      </c>
      <c r="H1928" t="str">
        <f>"MEDICARE TAXES"</f>
        <v>MEDICARE TAXES</v>
      </c>
    </row>
    <row r="1929" spans="1:8" x14ac:dyDescent="0.25">
      <c r="A1929" t="s">
        <v>620</v>
      </c>
      <c r="B1929">
        <v>1411</v>
      </c>
      <c r="C1929" s="3">
        <v>253429.02</v>
      </c>
      <c r="D1929" s="6">
        <v>44512</v>
      </c>
      <c r="E1929" t="str">
        <f>"T1 202111097073"</f>
        <v>T1 202111097073</v>
      </c>
      <c r="F1929" t="str">
        <f>"FEDERAL WITHHOLDING"</f>
        <v>FEDERAL WITHHOLDING</v>
      </c>
      <c r="G1929" s="3">
        <v>86773.26</v>
      </c>
      <c r="H1929" t="str">
        <f>"FEDERAL WITHHOLDING"</f>
        <v>FEDERAL WITHHOLDING</v>
      </c>
    </row>
    <row r="1930" spans="1:8" x14ac:dyDescent="0.25">
      <c r="E1930" t="str">
        <f>"T1 202111097074"</f>
        <v>T1 202111097074</v>
      </c>
      <c r="F1930" t="str">
        <f>"FEDERAL WITHHOLDING"</f>
        <v>FEDERAL WITHHOLDING</v>
      </c>
      <c r="G1930" s="3">
        <v>2877.25</v>
      </c>
      <c r="H1930" t="str">
        <f>"FEDERAL WITHHOLDING"</f>
        <v>FEDERAL WITHHOLDING</v>
      </c>
    </row>
    <row r="1931" spans="1:8" x14ac:dyDescent="0.25">
      <c r="E1931" t="str">
        <f>"T1 202111097075"</f>
        <v>T1 202111097075</v>
      </c>
      <c r="F1931" t="str">
        <f>"FEDERAL WITHHOLDING"</f>
        <v>FEDERAL WITHHOLDING</v>
      </c>
      <c r="G1931" s="3">
        <v>3020.75</v>
      </c>
      <c r="H1931" t="str">
        <f>"FEDERAL WITHHOLDING"</f>
        <v>FEDERAL WITHHOLDING</v>
      </c>
    </row>
    <row r="1932" spans="1:8" x14ac:dyDescent="0.25">
      <c r="E1932" t="str">
        <f>"T3 202111097073"</f>
        <v>T3 202111097073</v>
      </c>
      <c r="F1932" t="str">
        <f>"SOCIAL SECURITY TAXES"</f>
        <v>SOCIAL SECURITY TAXES</v>
      </c>
      <c r="G1932" s="3">
        <v>531.22</v>
      </c>
      <c r="H1932" t="str">
        <f t="shared" ref="H1932:H1963" si="29">"SOCIAL SECURITY TAXES"</f>
        <v>SOCIAL SECURITY TAXES</v>
      </c>
    </row>
    <row r="1933" spans="1:8" x14ac:dyDescent="0.25">
      <c r="E1933" t="str">
        <f>""</f>
        <v/>
      </c>
      <c r="F1933" t="str">
        <f>""</f>
        <v/>
      </c>
      <c r="G1933" s="3">
        <v>385.58</v>
      </c>
      <c r="H1933" t="str">
        <f t="shared" si="29"/>
        <v>SOCIAL SECURITY TAXES</v>
      </c>
    </row>
    <row r="1934" spans="1:8" x14ac:dyDescent="0.25">
      <c r="E1934" t="str">
        <f>""</f>
        <v/>
      </c>
      <c r="F1934" t="str">
        <f>""</f>
        <v/>
      </c>
      <c r="G1934" s="3">
        <v>985</v>
      </c>
      <c r="H1934" t="str">
        <f t="shared" si="29"/>
        <v>SOCIAL SECURITY TAXES</v>
      </c>
    </row>
    <row r="1935" spans="1:8" x14ac:dyDescent="0.25">
      <c r="E1935" t="str">
        <f>""</f>
        <v/>
      </c>
      <c r="F1935" t="str">
        <f>""</f>
        <v/>
      </c>
      <c r="G1935" s="3">
        <v>413.29</v>
      </c>
      <c r="H1935" t="str">
        <f t="shared" si="29"/>
        <v>SOCIAL SECURITY TAXES</v>
      </c>
    </row>
    <row r="1936" spans="1:8" x14ac:dyDescent="0.25">
      <c r="E1936" t="str">
        <f>""</f>
        <v/>
      </c>
      <c r="F1936" t="str">
        <f>""</f>
        <v/>
      </c>
      <c r="G1936" s="3">
        <v>115.67</v>
      </c>
      <c r="H1936" t="str">
        <f t="shared" si="29"/>
        <v>SOCIAL SECURITY TAXES</v>
      </c>
    </row>
    <row r="1937" spans="5:8" x14ac:dyDescent="0.25">
      <c r="E1937" t="str">
        <f>""</f>
        <v/>
      </c>
      <c r="F1937" t="str">
        <f>""</f>
        <v/>
      </c>
      <c r="G1937" s="3">
        <v>778.65</v>
      </c>
      <c r="H1937" t="str">
        <f t="shared" si="29"/>
        <v>SOCIAL SECURITY TAXES</v>
      </c>
    </row>
    <row r="1938" spans="5:8" x14ac:dyDescent="0.25">
      <c r="E1938" t="str">
        <f>""</f>
        <v/>
      </c>
      <c r="F1938" t="str">
        <f>""</f>
        <v/>
      </c>
      <c r="G1938" s="3">
        <v>2418.1799999999998</v>
      </c>
      <c r="H1938" t="str">
        <f t="shared" si="29"/>
        <v>SOCIAL SECURITY TAXES</v>
      </c>
    </row>
    <row r="1939" spans="5:8" x14ac:dyDescent="0.25">
      <c r="E1939" t="str">
        <f>""</f>
        <v/>
      </c>
      <c r="F1939" t="str">
        <f>""</f>
        <v/>
      </c>
      <c r="G1939" s="3">
        <v>461.1</v>
      </c>
      <c r="H1939" t="str">
        <f t="shared" si="29"/>
        <v>SOCIAL SECURITY TAXES</v>
      </c>
    </row>
    <row r="1940" spans="5:8" x14ac:dyDescent="0.25">
      <c r="E1940" t="str">
        <f>""</f>
        <v/>
      </c>
      <c r="F1940" t="str">
        <f>""</f>
        <v/>
      </c>
      <c r="G1940" s="3">
        <v>834.95</v>
      </c>
      <c r="H1940" t="str">
        <f t="shared" si="29"/>
        <v>SOCIAL SECURITY TAXES</v>
      </c>
    </row>
    <row r="1941" spans="5:8" x14ac:dyDescent="0.25">
      <c r="E1941" t="str">
        <f>""</f>
        <v/>
      </c>
      <c r="F1941" t="str">
        <f>""</f>
        <v/>
      </c>
      <c r="G1941" s="3">
        <v>1521.54</v>
      </c>
      <c r="H1941" t="str">
        <f t="shared" si="29"/>
        <v>SOCIAL SECURITY TAXES</v>
      </c>
    </row>
    <row r="1942" spans="5:8" x14ac:dyDescent="0.25">
      <c r="E1942" t="str">
        <f>""</f>
        <v/>
      </c>
      <c r="F1942" t="str">
        <f>""</f>
        <v/>
      </c>
      <c r="G1942" s="3">
        <v>455.1</v>
      </c>
      <c r="H1942" t="str">
        <f t="shared" si="29"/>
        <v>SOCIAL SECURITY TAXES</v>
      </c>
    </row>
    <row r="1943" spans="5:8" x14ac:dyDescent="0.25">
      <c r="E1943" t="str">
        <f>""</f>
        <v/>
      </c>
      <c r="F1943" t="str">
        <f>""</f>
        <v/>
      </c>
      <c r="G1943" s="3">
        <v>469.52</v>
      </c>
      <c r="H1943" t="str">
        <f t="shared" si="29"/>
        <v>SOCIAL SECURITY TAXES</v>
      </c>
    </row>
    <row r="1944" spans="5:8" x14ac:dyDescent="0.25">
      <c r="E1944" t="str">
        <f>""</f>
        <v/>
      </c>
      <c r="F1944" t="str">
        <f>""</f>
        <v/>
      </c>
      <c r="G1944" s="3">
        <v>392.13</v>
      </c>
      <c r="H1944" t="str">
        <f t="shared" si="29"/>
        <v>SOCIAL SECURITY TAXES</v>
      </c>
    </row>
    <row r="1945" spans="5:8" x14ac:dyDescent="0.25">
      <c r="E1945" t="str">
        <f>""</f>
        <v/>
      </c>
      <c r="F1945" t="str">
        <f>""</f>
        <v/>
      </c>
      <c r="G1945" s="3">
        <v>409.09</v>
      </c>
      <c r="H1945" t="str">
        <f t="shared" si="29"/>
        <v>SOCIAL SECURITY TAXES</v>
      </c>
    </row>
    <row r="1946" spans="5:8" x14ac:dyDescent="0.25">
      <c r="E1946" t="str">
        <f>""</f>
        <v/>
      </c>
      <c r="F1946" t="str">
        <f>""</f>
        <v/>
      </c>
      <c r="G1946" s="3">
        <v>225.39</v>
      </c>
      <c r="H1946" t="str">
        <f t="shared" si="29"/>
        <v>SOCIAL SECURITY TAXES</v>
      </c>
    </row>
    <row r="1947" spans="5:8" x14ac:dyDescent="0.25">
      <c r="E1947" t="str">
        <f>""</f>
        <v/>
      </c>
      <c r="F1947" t="str">
        <f>""</f>
        <v/>
      </c>
      <c r="G1947" s="3">
        <v>2697.59</v>
      </c>
      <c r="H1947" t="str">
        <f t="shared" si="29"/>
        <v>SOCIAL SECURITY TAXES</v>
      </c>
    </row>
    <row r="1948" spans="5:8" x14ac:dyDescent="0.25">
      <c r="E1948" t="str">
        <f>""</f>
        <v/>
      </c>
      <c r="F1948" t="str">
        <f>""</f>
        <v/>
      </c>
      <c r="G1948" s="3">
        <v>1132.92</v>
      </c>
      <c r="H1948" t="str">
        <f t="shared" si="29"/>
        <v>SOCIAL SECURITY TAXES</v>
      </c>
    </row>
    <row r="1949" spans="5:8" x14ac:dyDescent="0.25">
      <c r="E1949" t="str">
        <f>""</f>
        <v/>
      </c>
      <c r="F1949" t="str">
        <f>""</f>
        <v/>
      </c>
      <c r="G1949" s="3">
        <v>497.27</v>
      </c>
      <c r="H1949" t="str">
        <f t="shared" si="29"/>
        <v>SOCIAL SECURITY TAXES</v>
      </c>
    </row>
    <row r="1950" spans="5:8" x14ac:dyDescent="0.25">
      <c r="E1950" t="str">
        <f>""</f>
        <v/>
      </c>
      <c r="F1950" t="str">
        <f>""</f>
        <v/>
      </c>
      <c r="G1950" s="3">
        <v>485.22</v>
      </c>
      <c r="H1950" t="str">
        <f t="shared" si="29"/>
        <v>SOCIAL SECURITY TAXES</v>
      </c>
    </row>
    <row r="1951" spans="5:8" x14ac:dyDescent="0.25">
      <c r="E1951" t="str">
        <f>""</f>
        <v/>
      </c>
      <c r="F1951" t="str">
        <f>""</f>
        <v/>
      </c>
      <c r="G1951" s="3">
        <v>1896.43</v>
      </c>
      <c r="H1951" t="str">
        <f t="shared" si="29"/>
        <v>SOCIAL SECURITY TAXES</v>
      </c>
    </row>
    <row r="1952" spans="5:8" x14ac:dyDescent="0.25">
      <c r="E1952" t="str">
        <f>""</f>
        <v/>
      </c>
      <c r="F1952" t="str">
        <f>""</f>
        <v/>
      </c>
      <c r="G1952" s="3">
        <v>735.44</v>
      </c>
      <c r="H1952" t="str">
        <f t="shared" si="29"/>
        <v>SOCIAL SECURITY TAXES</v>
      </c>
    </row>
    <row r="1953" spans="5:8" x14ac:dyDescent="0.25">
      <c r="E1953" t="str">
        <f>""</f>
        <v/>
      </c>
      <c r="F1953" t="str">
        <f>""</f>
        <v/>
      </c>
      <c r="G1953" s="3">
        <v>1802.09</v>
      </c>
      <c r="H1953" t="str">
        <f t="shared" si="29"/>
        <v>SOCIAL SECURITY TAXES</v>
      </c>
    </row>
    <row r="1954" spans="5:8" x14ac:dyDescent="0.25">
      <c r="E1954" t="str">
        <f>""</f>
        <v/>
      </c>
      <c r="F1954" t="str">
        <f>""</f>
        <v/>
      </c>
      <c r="G1954" s="3">
        <v>1233.23</v>
      </c>
      <c r="H1954" t="str">
        <f t="shared" si="29"/>
        <v>SOCIAL SECURITY TAXES</v>
      </c>
    </row>
    <row r="1955" spans="5:8" x14ac:dyDescent="0.25">
      <c r="E1955" t="str">
        <f>""</f>
        <v/>
      </c>
      <c r="F1955" t="str">
        <f>""</f>
        <v/>
      </c>
      <c r="G1955" s="3">
        <v>2495.31</v>
      </c>
      <c r="H1955" t="str">
        <f t="shared" si="29"/>
        <v>SOCIAL SECURITY TAXES</v>
      </c>
    </row>
    <row r="1956" spans="5:8" x14ac:dyDescent="0.25">
      <c r="E1956" t="str">
        <f>""</f>
        <v/>
      </c>
      <c r="F1956" t="str">
        <f>""</f>
        <v/>
      </c>
      <c r="G1956" s="3">
        <v>127.07</v>
      </c>
      <c r="H1956" t="str">
        <f t="shared" si="29"/>
        <v>SOCIAL SECURITY TAXES</v>
      </c>
    </row>
    <row r="1957" spans="5:8" x14ac:dyDescent="0.25">
      <c r="E1957" t="str">
        <f>""</f>
        <v/>
      </c>
      <c r="F1957" t="str">
        <f>""</f>
        <v/>
      </c>
      <c r="G1957" s="3">
        <v>140.62</v>
      </c>
      <c r="H1957" t="str">
        <f t="shared" si="29"/>
        <v>SOCIAL SECURITY TAXES</v>
      </c>
    </row>
    <row r="1958" spans="5:8" x14ac:dyDescent="0.25">
      <c r="E1958" t="str">
        <f>""</f>
        <v/>
      </c>
      <c r="F1958" t="str">
        <f>""</f>
        <v/>
      </c>
      <c r="G1958" s="3">
        <v>133.58000000000001</v>
      </c>
      <c r="H1958" t="str">
        <f t="shared" si="29"/>
        <v>SOCIAL SECURITY TAXES</v>
      </c>
    </row>
    <row r="1959" spans="5:8" x14ac:dyDescent="0.25">
      <c r="E1959" t="str">
        <f>""</f>
        <v/>
      </c>
      <c r="F1959" t="str">
        <f>""</f>
        <v/>
      </c>
      <c r="G1959" s="3">
        <v>129.66</v>
      </c>
      <c r="H1959" t="str">
        <f t="shared" si="29"/>
        <v>SOCIAL SECURITY TAXES</v>
      </c>
    </row>
    <row r="1960" spans="5:8" x14ac:dyDescent="0.25">
      <c r="E1960" t="str">
        <f>""</f>
        <v/>
      </c>
      <c r="F1960" t="str">
        <f>""</f>
        <v/>
      </c>
      <c r="G1960" s="3">
        <v>13381.19</v>
      </c>
      <c r="H1960" t="str">
        <f t="shared" si="29"/>
        <v>SOCIAL SECURITY TAXES</v>
      </c>
    </row>
    <row r="1961" spans="5:8" x14ac:dyDescent="0.25">
      <c r="E1961" t="str">
        <f>""</f>
        <v/>
      </c>
      <c r="F1961" t="str">
        <f>""</f>
        <v/>
      </c>
      <c r="G1961" s="3">
        <v>543.23</v>
      </c>
      <c r="H1961" t="str">
        <f t="shared" si="29"/>
        <v>SOCIAL SECURITY TAXES</v>
      </c>
    </row>
    <row r="1962" spans="5:8" x14ac:dyDescent="0.25">
      <c r="E1962" t="str">
        <f>""</f>
        <v/>
      </c>
      <c r="F1962" t="str">
        <f>""</f>
        <v/>
      </c>
      <c r="G1962" s="3">
        <v>10742.18</v>
      </c>
      <c r="H1962" t="str">
        <f t="shared" si="29"/>
        <v>SOCIAL SECURITY TAXES</v>
      </c>
    </row>
    <row r="1963" spans="5:8" x14ac:dyDescent="0.25">
      <c r="E1963" t="str">
        <f>""</f>
        <v/>
      </c>
      <c r="F1963" t="str">
        <f>""</f>
        <v/>
      </c>
      <c r="G1963" s="3">
        <v>1699.03</v>
      </c>
      <c r="H1963" t="str">
        <f t="shared" si="29"/>
        <v>SOCIAL SECURITY TAXES</v>
      </c>
    </row>
    <row r="1964" spans="5:8" x14ac:dyDescent="0.25">
      <c r="E1964" t="str">
        <f>""</f>
        <v/>
      </c>
      <c r="F1964" t="str">
        <f>""</f>
        <v/>
      </c>
      <c r="G1964" s="3">
        <v>123.63</v>
      </c>
      <c r="H1964" t="str">
        <f t="shared" ref="H1964:H1986" si="30">"SOCIAL SECURITY TAXES"</f>
        <v>SOCIAL SECURITY TAXES</v>
      </c>
    </row>
    <row r="1965" spans="5:8" x14ac:dyDescent="0.25">
      <c r="E1965" t="str">
        <f>""</f>
        <v/>
      </c>
      <c r="F1965" t="str">
        <f>""</f>
        <v/>
      </c>
      <c r="G1965" s="3">
        <v>510.91</v>
      </c>
      <c r="H1965" t="str">
        <f t="shared" si="30"/>
        <v>SOCIAL SECURITY TAXES</v>
      </c>
    </row>
    <row r="1966" spans="5:8" x14ac:dyDescent="0.25">
      <c r="E1966" t="str">
        <f>""</f>
        <v/>
      </c>
      <c r="F1966" t="str">
        <f>""</f>
        <v/>
      </c>
      <c r="G1966" s="3">
        <v>34.619999999999997</v>
      </c>
      <c r="H1966" t="str">
        <f t="shared" si="30"/>
        <v>SOCIAL SECURITY TAXES</v>
      </c>
    </row>
    <row r="1967" spans="5:8" x14ac:dyDescent="0.25">
      <c r="E1967" t="str">
        <f>""</f>
        <v/>
      </c>
      <c r="F1967" t="str">
        <f>""</f>
        <v/>
      </c>
      <c r="G1967" s="3">
        <v>249.35</v>
      </c>
      <c r="H1967" t="str">
        <f t="shared" si="30"/>
        <v>SOCIAL SECURITY TAXES</v>
      </c>
    </row>
    <row r="1968" spans="5:8" x14ac:dyDescent="0.25">
      <c r="E1968" t="str">
        <f>""</f>
        <v/>
      </c>
      <c r="F1968" t="str">
        <f>""</f>
        <v/>
      </c>
      <c r="G1968" s="3">
        <v>118.44</v>
      </c>
      <c r="H1968" t="str">
        <f t="shared" si="30"/>
        <v>SOCIAL SECURITY TAXES</v>
      </c>
    </row>
    <row r="1969" spans="5:8" x14ac:dyDescent="0.25">
      <c r="E1969" t="str">
        <f>""</f>
        <v/>
      </c>
      <c r="F1969" t="str">
        <f>""</f>
        <v/>
      </c>
      <c r="G1969" s="3">
        <v>447.71</v>
      </c>
      <c r="H1969" t="str">
        <f t="shared" si="30"/>
        <v>SOCIAL SECURITY TAXES</v>
      </c>
    </row>
    <row r="1970" spans="5:8" x14ac:dyDescent="0.25">
      <c r="E1970" t="str">
        <f>""</f>
        <v/>
      </c>
      <c r="F1970" t="str">
        <f>""</f>
        <v/>
      </c>
      <c r="G1970" s="3">
        <v>306.87</v>
      </c>
      <c r="H1970" t="str">
        <f t="shared" si="30"/>
        <v>SOCIAL SECURITY TAXES</v>
      </c>
    </row>
    <row r="1971" spans="5:8" x14ac:dyDescent="0.25">
      <c r="E1971" t="str">
        <f>""</f>
        <v/>
      </c>
      <c r="F1971" t="str">
        <f>""</f>
        <v/>
      </c>
      <c r="G1971" s="3">
        <v>111.44</v>
      </c>
      <c r="H1971" t="str">
        <f t="shared" si="30"/>
        <v>SOCIAL SECURITY TAXES</v>
      </c>
    </row>
    <row r="1972" spans="5:8" x14ac:dyDescent="0.25">
      <c r="E1972" t="str">
        <f>""</f>
        <v/>
      </c>
      <c r="F1972" t="str">
        <f>""</f>
        <v/>
      </c>
      <c r="G1972" s="3">
        <v>1583.18</v>
      </c>
      <c r="H1972" t="str">
        <f t="shared" si="30"/>
        <v>SOCIAL SECURITY TAXES</v>
      </c>
    </row>
    <row r="1973" spans="5:8" x14ac:dyDescent="0.25">
      <c r="E1973" t="str">
        <f>""</f>
        <v/>
      </c>
      <c r="F1973" t="str">
        <f>""</f>
        <v/>
      </c>
      <c r="G1973" s="3">
        <v>2687.03</v>
      </c>
      <c r="H1973" t="str">
        <f t="shared" si="30"/>
        <v>SOCIAL SECURITY TAXES</v>
      </c>
    </row>
    <row r="1974" spans="5:8" x14ac:dyDescent="0.25">
      <c r="E1974" t="str">
        <f>""</f>
        <v/>
      </c>
      <c r="F1974" t="str">
        <f>""</f>
        <v/>
      </c>
      <c r="G1974" s="3">
        <v>1688.44</v>
      </c>
      <c r="H1974" t="str">
        <f t="shared" si="30"/>
        <v>SOCIAL SECURITY TAXES</v>
      </c>
    </row>
    <row r="1975" spans="5:8" x14ac:dyDescent="0.25">
      <c r="E1975" t="str">
        <f>""</f>
        <v/>
      </c>
      <c r="F1975" t="str">
        <f>""</f>
        <v/>
      </c>
      <c r="G1975" s="3">
        <v>1977.92</v>
      </c>
      <c r="H1975" t="str">
        <f t="shared" si="30"/>
        <v>SOCIAL SECURITY TAXES</v>
      </c>
    </row>
    <row r="1976" spans="5:8" x14ac:dyDescent="0.25">
      <c r="E1976" t="str">
        <f>""</f>
        <v/>
      </c>
      <c r="F1976" t="str">
        <f>""</f>
        <v/>
      </c>
      <c r="G1976" s="3">
        <v>232.98</v>
      </c>
      <c r="H1976" t="str">
        <f t="shared" si="30"/>
        <v>SOCIAL SECURITY TAXES</v>
      </c>
    </row>
    <row r="1977" spans="5:8" x14ac:dyDescent="0.25">
      <c r="E1977" t="str">
        <f>""</f>
        <v/>
      </c>
      <c r="F1977" t="str">
        <f>""</f>
        <v/>
      </c>
      <c r="G1977" s="3">
        <v>14.9</v>
      </c>
      <c r="H1977" t="str">
        <f t="shared" si="30"/>
        <v>SOCIAL SECURITY TAXES</v>
      </c>
    </row>
    <row r="1978" spans="5:8" x14ac:dyDescent="0.25">
      <c r="E1978" t="str">
        <f>""</f>
        <v/>
      </c>
      <c r="F1978" t="str">
        <f>""</f>
        <v/>
      </c>
      <c r="G1978" s="3">
        <v>7.16</v>
      </c>
      <c r="H1978" t="str">
        <f t="shared" si="30"/>
        <v>SOCIAL SECURITY TAXES</v>
      </c>
    </row>
    <row r="1979" spans="5:8" x14ac:dyDescent="0.25">
      <c r="E1979" t="str">
        <f>""</f>
        <v/>
      </c>
      <c r="F1979" t="str">
        <f>""</f>
        <v/>
      </c>
      <c r="G1979" s="3">
        <v>15.03</v>
      </c>
      <c r="H1979" t="str">
        <f t="shared" si="30"/>
        <v>SOCIAL SECURITY TAXES</v>
      </c>
    </row>
    <row r="1980" spans="5:8" x14ac:dyDescent="0.25">
      <c r="E1980" t="str">
        <f>""</f>
        <v/>
      </c>
      <c r="F1980" t="str">
        <f>""</f>
        <v/>
      </c>
      <c r="G1980" s="3">
        <v>20.71</v>
      </c>
      <c r="H1980" t="str">
        <f t="shared" si="30"/>
        <v>SOCIAL SECURITY TAXES</v>
      </c>
    </row>
    <row r="1981" spans="5:8" x14ac:dyDescent="0.25">
      <c r="E1981" t="str">
        <f>""</f>
        <v/>
      </c>
      <c r="F1981" t="str">
        <f>""</f>
        <v/>
      </c>
      <c r="G1981" s="3">
        <v>377.6</v>
      </c>
      <c r="H1981" t="str">
        <f t="shared" si="30"/>
        <v>SOCIAL SECURITY TAXES</v>
      </c>
    </row>
    <row r="1982" spans="5:8" x14ac:dyDescent="0.25">
      <c r="E1982" t="str">
        <f>""</f>
        <v/>
      </c>
      <c r="F1982" t="str">
        <f>""</f>
        <v/>
      </c>
      <c r="G1982" s="3">
        <v>60776.39</v>
      </c>
      <c r="H1982" t="str">
        <f t="shared" si="30"/>
        <v>SOCIAL SECURITY TAXES</v>
      </c>
    </row>
    <row r="1983" spans="5:8" x14ac:dyDescent="0.25">
      <c r="E1983" t="str">
        <f>"T3 202111097074"</f>
        <v>T3 202111097074</v>
      </c>
      <c r="F1983" t="str">
        <f>"SOCIAL SECURITY TAXES"</f>
        <v>SOCIAL SECURITY TAXES</v>
      </c>
      <c r="G1983" s="3">
        <v>2019.71</v>
      </c>
      <c r="H1983" t="str">
        <f t="shared" si="30"/>
        <v>SOCIAL SECURITY TAXES</v>
      </c>
    </row>
    <row r="1984" spans="5:8" x14ac:dyDescent="0.25">
      <c r="E1984" t="str">
        <f>""</f>
        <v/>
      </c>
      <c r="F1984" t="str">
        <f>""</f>
        <v/>
      </c>
      <c r="G1984" s="3">
        <v>2019.71</v>
      </c>
      <c r="H1984" t="str">
        <f t="shared" si="30"/>
        <v>SOCIAL SECURITY TAXES</v>
      </c>
    </row>
    <row r="1985" spans="5:8" x14ac:dyDescent="0.25">
      <c r="E1985" t="str">
        <f>"T3 202111097075"</f>
        <v>T3 202111097075</v>
      </c>
      <c r="F1985" t="str">
        <f>"SOCIAL SECURITY TAXES"</f>
        <v>SOCIAL SECURITY TAXES</v>
      </c>
      <c r="G1985" s="3">
        <v>2267.77</v>
      </c>
      <c r="H1985" t="str">
        <f t="shared" si="30"/>
        <v>SOCIAL SECURITY TAXES</v>
      </c>
    </row>
    <row r="1986" spans="5:8" x14ac:dyDescent="0.25">
      <c r="E1986" t="str">
        <f>""</f>
        <v/>
      </c>
      <c r="F1986" t="str">
        <f>""</f>
        <v/>
      </c>
      <c r="G1986" s="3">
        <v>2267.77</v>
      </c>
      <c r="H1986" t="str">
        <f t="shared" si="30"/>
        <v>SOCIAL SECURITY TAXES</v>
      </c>
    </row>
    <row r="1987" spans="5:8" x14ac:dyDescent="0.25">
      <c r="E1987" t="str">
        <f>"T4 202111097073"</f>
        <v>T4 202111097073</v>
      </c>
      <c r="F1987" t="str">
        <f>"MEDICARE TAXES"</f>
        <v>MEDICARE TAXES</v>
      </c>
      <c r="G1987" s="3">
        <v>124.24</v>
      </c>
      <c r="H1987" t="str">
        <f t="shared" ref="H1987:H2018" si="31">"MEDICARE TAXES"</f>
        <v>MEDICARE TAXES</v>
      </c>
    </row>
    <row r="1988" spans="5:8" x14ac:dyDescent="0.25">
      <c r="E1988" t="str">
        <f>""</f>
        <v/>
      </c>
      <c r="F1988" t="str">
        <f>""</f>
        <v/>
      </c>
      <c r="G1988" s="3">
        <v>90.19</v>
      </c>
      <c r="H1988" t="str">
        <f t="shared" si="31"/>
        <v>MEDICARE TAXES</v>
      </c>
    </row>
    <row r="1989" spans="5:8" x14ac:dyDescent="0.25">
      <c r="E1989" t="str">
        <f>""</f>
        <v/>
      </c>
      <c r="F1989" t="str">
        <f>""</f>
        <v/>
      </c>
      <c r="G1989" s="3">
        <v>230.36</v>
      </c>
      <c r="H1989" t="str">
        <f t="shared" si="31"/>
        <v>MEDICARE TAXES</v>
      </c>
    </row>
    <row r="1990" spans="5:8" x14ac:dyDescent="0.25">
      <c r="E1990" t="str">
        <f>""</f>
        <v/>
      </c>
      <c r="F1990" t="str">
        <f>""</f>
        <v/>
      </c>
      <c r="G1990" s="3">
        <v>96.66</v>
      </c>
      <c r="H1990" t="str">
        <f t="shared" si="31"/>
        <v>MEDICARE TAXES</v>
      </c>
    </row>
    <row r="1991" spans="5:8" x14ac:dyDescent="0.25">
      <c r="E1991" t="str">
        <f>""</f>
        <v/>
      </c>
      <c r="F1991" t="str">
        <f>""</f>
        <v/>
      </c>
      <c r="G1991" s="3">
        <v>27.05</v>
      </c>
      <c r="H1991" t="str">
        <f t="shared" si="31"/>
        <v>MEDICARE TAXES</v>
      </c>
    </row>
    <row r="1992" spans="5:8" x14ac:dyDescent="0.25">
      <c r="E1992" t="str">
        <f>""</f>
        <v/>
      </c>
      <c r="F1992" t="str">
        <f>""</f>
        <v/>
      </c>
      <c r="G1992" s="3">
        <v>182.1</v>
      </c>
      <c r="H1992" t="str">
        <f t="shared" si="31"/>
        <v>MEDICARE TAXES</v>
      </c>
    </row>
    <row r="1993" spans="5:8" x14ac:dyDescent="0.25">
      <c r="E1993" t="str">
        <f>""</f>
        <v/>
      </c>
      <c r="F1993" t="str">
        <f>""</f>
        <v/>
      </c>
      <c r="G1993" s="3">
        <v>565.54999999999995</v>
      </c>
      <c r="H1993" t="str">
        <f t="shared" si="31"/>
        <v>MEDICARE TAXES</v>
      </c>
    </row>
    <row r="1994" spans="5:8" x14ac:dyDescent="0.25">
      <c r="E1994" t="str">
        <f>""</f>
        <v/>
      </c>
      <c r="F1994" t="str">
        <f>""</f>
        <v/>
      </c>
      <c r="G1994" s="3">
        <v>206.26</v>
      </c>
      <c r="H1994" t="str">
        <f t="shared" si="31"/>
        <v>MEDICARE TAXES</v>
      </c>
    </row>
    <row r="1995" spans="5:8" x14ac:dyDescent="0.25">
      <c r="E1995" t="str">
        <f>""</f>
        <v/>
      </c>
      <c r="F1995" t="str">
        <f>""</f>
        <v/>
      </c>
      <c r="G1995" s="3">
        <v>195.27</v>
      </c>
      <c r="H1995" t="str">
        <f t="shared" si="31"/>
        <v>MEDICARE TAXES</v>
      </c>
    </row>
    <row r="1996" spans="5:8" x14ac:dyDescent="0.25">
      <c r="E1996" t="str">
        <f>""</f>
        <v/>
      </c>
      <c r="F1996" t="str">
        <f>""</f>
        <v/>
      </c>
      <c r="G1996" s="3">
        <v>355.83</v>
      </c>
      <c r="H1996" t="str">
        <f t="shared" si="31"/>
        <v>MEDICARE TAXES</v>
      </c>
    </row>
    <row r="1997" spans="5:8" x14ac:dyDescent="0.25">
      <c r="E1997" t="str">
        <f>""</f>
        <v/>
      </c>
      <c r="F1997" t="str">
        <f>""</f>
        <v/>
      </c>
      <c r="G1997" s="3">
        <v>106.44</v>
      </c>
      <c r="H1997" t="str">
        <f t="shared" si="31"/>
        <v>MEDICARE TAXES</v>
      </c>
    </row>
    <row r="1998" spans="5:8" x14ac:dyDescent="0.25">
      <c r="E1998" t="str">
        <f>""</f>
        <v/>
      </c>
      <c r="F1998" t="str">
        <f>""</f>
        <v/>
      </c>
      <c r="G1998" s="3">
        <v>109.8</v>
      </c>
      <c r="H1998" t="str">
        <f t="shared" si="31"/>
        <v>MEDICARE TAXES</v>
      </c>
    </row>
    <row r="1999" spans="5:8" x14ac:dyDescent="0.25">
      <c r="E1999" t="str">
        <f>""</f>
        <v/>
      </c>
      <c r="F1999" t="str">
        <f>""</f>
        <v/>
      </c>
      <c r="G1999" s="3">
        <v>91.72</v>
      </c>
      <c r="H1999" t="str">
        <f t="shared" si="31"/>
        <v>MEDICARE TAXES</v>
      </c>
    </row>
    <row r="2000" spans="5:8" x14ac:dyDescent="0.25">
      <c r="E2000" t="str">
        <f>""</f>
        <v/>
      </c>
      <c r="F2000" t="str">
        <f>""</f>
        <v/>
      </c>
      <c r="G2000" s="3">
        <v>95.67</v>
      </c>
      <c r="H2000" t="str">
        <f t="shared" si="31"/>
        <v>MEDICARE TAXES</v>
      </c>
    </row>
    <row r="2001" spans="5:8" x14ac:dyDescent="0.25">
      <c r="E2001" t="str">
        <f>""</f>
        <v/>
      </c>
      <c r="F2001" t="str">
        <f>""</f>
        <v/>
      </c>
      <c r="G2001" s="3">
        <v>52.72</v>
      </c>
      <c r="H2001" t="str">
        <f t="shared" si="31"/>
        <v>MEDICARE TAXES</v>
      </c>
    </row>
    <row r="2002" spans="5:8" x14ac:dyDescent="0.25">
      <c r="E2002" t="str">
        <f>""</f>
        <v/>
      </c>
      <c r="F2002" t="str">
        <f>""</f>
        <v/>
      </c>
      <c r="G2002" s="3">
        <v>630.91</v>
      </c>
      <c r="H2002" t="str">
        <f t="shared" si="31"/>
        <v>MEDICARE TAXES</v>
      </c>
    </row>
    <row r="2003" spans="5:8" x14ac:dyDescent="0.25">
      <c r="E2003" t="str">
        <f>""</f>
        <v/>
      </c>
      <c r="F2003" t="str">
        <f>""</f>
        <v/>
      </c>
      <c r="G2003" s="3">
        <v>264.97000000000003</v>
      </c>
      <c r="H2003" t="str">
        <f t="shared" si="31"/>
        <v>MEDICARE TAXES</v>
      </c>
    </row>
    <row r="2004" spans="5:8" x14ac:dyDescent="0.25">
      <c r="E2004" t="str">
        <f>""</f>
        <v/>
      </c>
      <c r="F2004" t="str">
        <f>""</f>
        <v/>
      </c>
      <c r="G2004" s="3">
        <v>116.29</v>
      </c>
      <c r="H2004" t="str">
        <f t="shared" si="31"/>
        <v>MEDICARE TAXES</v>
      </c>
    </row>
    <row r="2005" spans="5:8" x14ac:dyDescent="0.25">
      <c r="E2005" t="str">
        <f>""</f>
        <v/>
      </c>
      <c r="F2005" t="str">
        <f>""</f>
        <v/>
      </c>
      <c r="G2005" s="3">
        <v>113.48</v>
      </c>
      <c r="H2005" t="str">
        <f t="shared" si="31"/>
        <v>MEDICARE TAXES</v>
      </c>
    </row>
    <row r="2006" spans="5:8" x14ac:dyDescent="0.25">
      <c r="E2006" t="str">
        <f>""</f>
        <v/>
      </c>
      <c r="F2006" t="str">
        <f>""</f>
        <v/>
      </c>
      <c r="G2006" s="3">
        <v>443.52</v>
      </c>
      <c r="H2006" t="str">
        <f t="shared" si="31"/>
        <v>MEDICARE TAXES</v>
      </c>
    </row>
    <row r="2007" spans="5:8" x14ac:dyDescent="0.25">
      <c r="E2007" t="str">
        <f>""</f>
        <v/>
      </c>
      <c r="F2007" t="str">
        <f>""</f>
        <v/>
      </c>
      <c r="G2007" s="3">
        <v>172</v>
      </c>
      <c r="H2007" t="str">
        <f t="shared" si="31"/>
        <v>MEDICARE TAXES</v>
      </c>
    </row>
    <row r="2008" spans="5:8" x14ac:dyDescent="0.25">
      <c r="E2008" t="str">
        <f>""</f>
        <v/>
      </c>
      <c r="F2008" t="str">
        <f>""</f>
        <v/>
      </c>
      <c r="G2008" s="3">
        <v>421.46</v>
      </c>
      <c r="H2008" t="str">
        <f t="shared" si="31"/>
        <v>MEDICARE TAXES</v>
      </c>
    </row>
    <row r="2009" spans="5:8" x14ac:dyDescent="0.25">
      <c r="E2009" t="str">
        <f>""</f>
        <v/>
      </c>
      <c r="F2009" t="str">
        <f>""</f>
        <v/>
      </c>
      <c r="G2009" s="3">
        <v>288.42</v>
      </c>
      <c r="H2009" t="str">
        <f t="shared" si="31"/>
        <v>MEDICARE TAXES</v>
      </c>
    </row>
    <row r="2010" spans="5:8" x14ac:dyDescent="0.25">
      <c r="E2010" t="str">
        <f>""</f>
        <v/>
      </c>
      <c r="F2010" t="str">
        <f>""</f>
        <v/>
      </c>
      <c r="G2010" s="3">
        <v>583.57000000000005</v>
      </c>
      <c r="H2010" t="str">
        <f t="shared" si="31"/>
        <v>MEDICARE TAXES</v>
      </c>
    </row>
    <row r="2011" spans="5:8" x14ac:dyDescent="0.25">
      <c r="E2011" t="str">
        <f>""</f>
        <v/>
      </c>
      <c r="F2011" t="str">
        <f>""</f>
        <v/>
      </c>
      <c r="G2011" s="3">
        <v>29.72</v>
      </c>
      <c r="H2011" t="str">
        <f t="shared" si="31"/>
        <v>MEDICARE TAXES</v>
      </c>
    </row>
    <row r="2012" spans="5:8" x14ac:dyDescent="0.25">
      <c r="E2012" t="str">
        <f>""</f>
        <v/>
      </c>
      <c r="F2012" t="str">
        <f>""</f>
        <v/>
      </c>
      <c r="G2012" s="3">
        <v>32.89</v>
      </c>
      <c r="H2012" t="str">
        <f t="shared" si="31"/>
        <v>MEDICARE TAXES</v>
      </c>
    </row>
    <row r="2013" spans="5:8" x14ac:dyDescent="0.25">
      <c r="E2013" t="str">
        <f>""</f>
        <v/>
      </c>
      <c r="F2013" t="str">
        <f>""</f>
        <v/>
      </c>
      <c r="G2013" s="3">
        <v>31.24</v>
      </c>
      <c r="H2013" t="str">
        <f t="shared" si="31"/>
        <v>MEDICARE TAXES</v>
      </c>
    </row>
    <row r="2014" spans="5:8" x14ac:dyDescent="0.25">
      <c r="E2014" t="str">
        <f>""</f>
        <v/>
      </c>
      <c r="F2014" t="str">
        <f>""</f>
        <v/>
      </c>
      <c r="G2014" s="3">
        <v>30.32</v>
      </c>
      <c r="H2014" t="str">
        <f t="shared" si="31"/>
        <v>MEDICARE TAXES</v>
      </c>
    </row>
    <row r="2015" spans="5:8" x14ac:dyDescent="0.25">
      <c r="E2015" t="str">
        <f>""</f>
        <v/>
      </c>
      <c r="F2015" t="str">
        <f>""</f>
        <v/>
      </c>
      <c r="G2015" s="3">
        <v>3129.34</v>
      </c>
      <c r="H2015" t="str">
        <f t="shared" si="31"/>
        <v>MEDICARE TAXES</v>
      </c>
    </row>
    <row r="2016" spans="5:8" x14ac:dyDescent="0.25">
      <c r="E2016" t="str">
        <f>""</f>
        <v/>
      </c>
      <c r="F2016" t="str">
        <f>""</f>
        <v/>
      </c>
      <c r="G2016" s="3">
        <v>127.04</v>
      </c>
      <c r="H2016" t="str">
        <f t="shared" si="31"/>
        <v>MEDICARE TAXES</v>
      </c>
    </row>
    <row r="2017" spans="5:8" x14ac:dyDescent="0.25">
      <c r="E2017" t="str">
        <f>""</f>
        <v/>
      </c>
      <c r="F2017" t="str">
        <f>""</f>
        <v/>
      </c>
      <c r="G2017" s="3">
        <v>2512.41</v>
      </c>
      <c r="H2017" t="str">
        <f t="shared" si="31"/>
        <v>MEDICARE TAXES</v>
      </c>
    </row>
    <row r="2018" spans="5:8" x14ac:dyDescent="0.25">
      <c r="E2018" t="str">
        <f>""</f>
        <v/>
      </c>
      <c r="F2018" t="str">
        <f>""</f>
        <v/>
      </c>
      <c r="G2018" s="3">
        <v>397.36</v>
      </c>
      <c r="H2018" t="str">
        <f t="shared" si="31"/>
        <v>MEDICARE TAXES</v>
      </c>
    </row>
    <row r="2019" spans="5:8" x14ac:dyDescent="0.25">
      <c r="E2019" t="str">
        <f>""</f>
        <v/>
      </c>
      <c r="F2019" t="str">
        <f>""</f>
        <v/>
      </c>
      <c r="G2019" s="3">
        <v>28.91</v>
      </c>
      <c r="H2019" t="str">
        <f t="shared" ref="H2019:H2041" si="32">"MEDICARE TAXES"</f>
        <v>MEDICARE TAXES</v>
      </c>
    </row>
    <row r="2020" spans="5:8" x14ac:dyDescent="0.25">
      <c r="E2020" t="str">
        <f>""</f>
        <v/>
      </c>
      <c r="F2020" t="str">
        <f>""</f>
        <v/>
      </c>
      <c r="G2020" s="3">
        <v>119.48</v>
      </c>
      <c r="H2020" t="str">
        <f t="shared" si="32"/>
        <v>MEDICARE TAXES</v>
      </c>
    </row>
    <row r="2021" spans="5:8" x14ac:dyDescent="0.25">
      <c r="E2021" t="str">
        <f>""</f>
        <v/>
      </c>
      <c r="F2021" t="str">
        <f>""</f>
        <v/>
      </c>
      <c r="G2021" s="3">
        <v>8.09</v>
      </c>
      <c r="H2021" t="str">
        <f t="shared" si="32"/>
        <v>MEDICARE TAXES</v>
      </c>
    </row>
    <row r="2022" spans="5:8" x14ac:dyDescent="0.25">
      <c r="E2022" t="str">
        <f>""</f>
        <v/>
      </c>
      <c r="F2022" t="str">
        <f>""</f>
        <v/>
      </c>
      <c r="G2022" s="3">
        <v>58.32</v>
      </c>
      <c r="H2022" t="str">
        <f t="shared" si="32"/>
        <v>MEDICARE TAXES</v>
      </c>
    </row>
    <row r="2023" spans="5:8" x14ac:dyDescent="0.25">
      <c r="E2023" t="str">
        <f>""</f>
        <v/>
      </c>
      <c r="F2023" t="str">
        <f>""</f>
        <v/>
      </c>
      <c r="G2023" s="3">
        <v>27.7</v>
      </c>
      <c r="H2023" t="str">
        <f t="shared" si="32"/>
        <v>MEDICARE TAXES</v>
      </c>
    </row>
    <row r="2024" spans="5:8" x14ac:dyDescent="0.25">
      <c r="E2024" t="str">
        <f>""</f>
        <v/>
      </c>
      <c r="F2024" t="str">
        <f>""</f>
        <v/>
      </c>
      <c r="G2024" s="3">
        <v>104.71</v>
      </c>
      <c r="H2024" t="str">
        <f t="shared" si="32"/>
        <v>MEDICARE TAXES</v>
      </c>
    </row>
    <row r="2025" spans="5:8" x14ac:dyDescent="0.25">
      <c r="E2025" t="str">
        <f>""</f>
        <v/>
      </c>
      <c r="F2025" t="str">
        <f>""</f>
        <v/>
      </c>
      <c r="G2025" s="3">
        <v>71.77</v>
      </c>
      <c r="H2025" t="str">
        <f t="shared" si="32"/>
        <v>MEDICARE TAXES</v>
      </c>
    </row>
    <row r="2026" spans="5:8" x14ac:dyDescent="0.25">
      <c r="E2026" t="str">
        <f>""</f>
        <v/>
      </c>
      <c r="F2026" t="str">
        <f>""</f>
        <v/>
      </c>
      <c r="G2026" s="3">
        <v>26.07</v>
      </c>
      <c r="H2026" t="str">
        <f t="shared" si="32"/>
        <v>MEDICARE TAXES</v>
      </c>
    </row>
    <row r="2027" spans="5:8" x14ac:dyDescent="0.25">
      <c r="E2027" t="str">
        <f>""</f>
        <v/>
      </c>
      <c r="F2027" t="str">
        <f>""</f>
        <v/>
      </c>
      <c r="G2027" s="3">
        <v>370.26</v>
      </c>
      <c r="H2027" t="str">
        <f t="shared" si="32"/>
        <v>MEDICARE TAXES</v>
      </c>
    </row>
    <row r="2028" spans="5:8" x14ac:dyDescent="0.25">
      <c r="E2028" t="str">
        <f>""</f>
        <v/>
      </c>
      <c r="F2028" t="str">
        <f>""</f>
        <v/>
      </c>
      <c r="G2028" s="3">
        <v>628.41999999999996</v>
      </c>
      <c r="H2028" t="str">
        <f t="shared" si="32"/>
        <v>MEDICARE TAXES</v>
      </c>
    </row>
    <row r="2029" spans="5:8" x14ac:dyDescent="0.25">
      <c r="E2029" t="str">
        <f>""</f>
        <v/>
      </c>
      <c r="F2029" t="str">
        <f>""</f>
        <v/>
      </c>
      <c r="G2029" s="3">
        <v>394.85</v>
      </c>
      <c r="H2029" t="str">
        <f t="shared" si="32"/>
        <v>MEDICARE TAXES</v>
      </c>
    </row>
    <row r="2030" spans="5:8" x14ac:dyDescent="0.25">
      <c r="E2030" t="str">
        <f>""</f>
        <v/>
      </c>
      <c r="F2030" t="str">
        <f>""</f>
        <v/>
      </c>
      <c r="G2030" s="3">
        <v>462.58</v>
      </c>
      <c r="H2030" t="str">
        <f t="shared" si="32"/>
        <v>MEDICARE TAXES</v>
      </c>
    </row>
    <row r="2031" spans="5:8" x14ac:dyDescent="0.25">
      <c r="E2031" t="str">
        <f>""</f>
        <v/>
      </c>
      <c r="F2031" t="str">
        <f>""</f>
        <v/>
      </c>
      <c r="G2031" s="3">
        <v>54.5</v>
      </c>
      <c r="H2031" t="str">
        <f t="shared" si="32"/>
        <v>MEDICARE TAXES</v>
      </c>
    </row>
    <row r="2032" spans="5:8" x14ac:dyDescent="0.25">
      <c r="E2032" t="str">
        <f>""</f>
        <v/>
      </c>
      <c r="F2032" t="str">
        <f>""</f>
        <v/>
      </c>
      <c r="G2032" s="3">
        <v>3.48</v>
      </c>
      <c r="H2032" t="str">
        <f t="shared" si="32"/>
        <v>MEDICARE TAXES</v>
      </c>
    </row>
    <row r="2033" spans="1:8" x14ac:dyDescent="0.25">
      <c r="E2033" t="str">
        <f>""</f>
        <v/>
      </c>
      <c r="F2033" t="str">
        <f>""</f>
        <v/>
      </c>
      <c r="G2033" s="3">
        <v>1.67</v>
      </c>
      <c r="H2033" t="str">
        <f t="shared" si="32"/>
        <v>MEDICARE TAXES</v>
      </c>
    </row>
    <row r="2034" spans="1:8" x14ac:dyDescent="0.25">
      <c r="E2034" t="str">
        <f>""</f>
        <v/>
      </c>
      <c r="F2034" t="str">
        <f>""</f>
        <v/>
      </c>
      <c r="G2034" s="3">
        <v>3.52</v>
      </c>
      <c r="H2034" t="str">
        <f t="shared" si="32"/>
        <v>MEDICARE TAXES</v>
      </c>
    </row>
    <row r="2035" spans="1:8" x14ac:dyDescent="0.25">
      <c r="E2035" t="str">
        <f>""</f>
        <v/>
      </c>
      <c r="F2035" t="str">
        <f>""</f>
        <v/>
      </c>
      <c r="G2035" s="3">
        <v>4.84</v>
      </c>
      <c r="H2035" t="str">
        <f t="shared" si="32"/>
        <v>MEDICARE TAXES</v>
      </c>
    </row>
    <row r="2036" spans="1:8" x14ac:dyDescent="0.25">
      <c r="E2036" t="str">
        <f>""</f>
        <v/>
      </c>
      <c r="F2036" t="str">
        <f>""</f>
        <v/>
      </c>
      <c r="G2036" s="3">
        <v>88.31</v>
      </c>
      <c r="H2036" t="str">
        <f t="shared" si="32"/>
        <v>MEDICARE TAXES</v>
      </c>
    </row>
    <row r="2037" spans="1:8" x14ac:dyDescent="0.25">
      <c r="E2037" t="str">
        <f>""</f>
        <v/>
      </c>
      <c r="F2037" t="str">
        <f>""</f>
        <v/>
      </c>
      <c r="G2037" s="3">
        <v>14312.28</v>
      </c>
      <c r="H2037" t="str">
        <f t="shared" si="32"/>
        <v>MEDICARE TAXES</v>
      </c>
    </row>
    <row r="2038" spans="1:8" x14ac:dyDescent="0.25">
      <c r="E2038" t="str">
        <f>"T4 202111097074"</f>
        <v>T4 202111097074</v>
      </c>
      <c r="F2038" t="str">
        <f>"MEDICARE TAXES"</f>
        <v>MEDICARE TAXES</v>
      </c>
      <c r="G2038" s="3">
        <v>472.34</v>
      </c>
      <c r="H2038" t="str">
        <f t="shared" si="32"/>
        <v>MEDICARE TAXES</v>
      </c>
    </row>
    <row r="2039" spans="1:8" x14ac:dyDescent="0.25">
      <c r="E2039" t="str">
        <f>""</f>
        <v/>
      </c>
      <c r="F2039" t="str">
        <f>""</f>
        <v/>
      </c>
      <c r="G2039" s="3">
        <v>472.34</v>
      </c>
      <c r="H2039" t="str">
        <f t="shared" si="32"/>
        <v>MEDICARE TAXES</v>
      </c>
    </row>
    <row r="2040" spans="1:8" x14ac:dyDescent="0.25">
      <c r="E2040" t="str">
        <f>"T4 202111097075"</f>
        <v>T4 202111097075</v>
      </c>
      <c r="F2040" t="str">
        <f>"MEDICARE TAXES"</f>
        <v>MEDICARE TAXES</v>
      </c>
      <c r="G2040" s="3">
        <v>530.39</v>
      </c>
      <c r="H2040" t="str">
        <f t="shared" si="32"/>
        <v>MEDICARE TAXES</v>
      </c>
    </row>
    <row r="2041" spans="1:8" x14ac:dyDescent="0.25">
      <c r="E2041" t="str">
        <f>""</f>
        <v/>
      </c>
      <c r="F2041" t="str">
        <f>""</f>
        <v/>
      </c>
      <c r="G2041" s="3">
        <v>530.39</v>
      </c>
      <c r="H2041" t="str">
        <f t="shared" si="32"/>
        <v>MEDICARE TAXES</v>
      </c>
    </row>
    <row r="2042" spans="1:8" x14ac:dyDescent="0.25">
      <c r="A2042" t="s">
        <v>620</v>
      </c>
      <c r="B2042">
        <v>1417</v>
      </c>
      <c r="C2042" s="3">
        <v>153152.60999999999</v>
      </c>
      <c r="D2042" s="6">
        <v>44519</v>
      </c>
      <c r="E2042" t="str">
        <f>"T1 202111167178"</f>
        <v>T1 202111167178</v>
      </c>
      <c r="F2042" t="str">
        <f>"FEDERAL WITHHOLDING"</f>
        <v>FEDERAL WITHHOLDING</v>
      </c>
      <c r="G2042" s="3">
        <v>54830.57</v>
      </c>
      <c r="H2042" t="str">
        <f>"FEDERAL WITHHOLDING"</f>
        <v>FEDERAL WITHHOLDING</v>
      </c>
    </row>
    <row r="2043" spans="1:8" x14ac:dyDescent="0.25">
      <c r="E2043" t="str">
        <f>"T1 202111167179"</f>
        <v>T1 202111167179</v>
      </c>
      <c r="F2043" t="str">
        <f>"FEDERAL WITHHOLDING"</f>
        <v>FEDERAL WITHHOLDING</v>
      </c>
      <c r="G2043" s="3">
        <v>4016.9</v>
      </c>
      <c r="H2043" t="str">
        <f>"FEDERAL WITHHOLDING"</f>
        <v>FEDERAL WITHHOLDING</v>
      </c>
    </row>
    <row r="2044" spans="1:8" x14ac:dyDescent="0.25">
      <c r="E2044" t="str">
        <f>"T1 202111167180"</f>
        <v>T1 202111167180</v>
      </c>
      <c r="F2044" t="str">
        <f>"FEDERAL WITHHOLDING"</f>
        <v>FEDERAL WITHHOLDING</v>
      </c>
      <c r="G2044" s="3">
        <v>1753.68</v>
      </c>
      <c r="H2044" t="str">
        <f>"FEDERAL WITHHOLDING"</f>
        <v>FEDERAL WITHHOLDING</v>
      </c>
    </row>
    <row r="2045" spans="1:8" x14ac:dyDescent="0.25">
      <c r="E2045" t="str">
        <f>"T3 202111167178"</f>
        <v>T3 202111167178</v>
      </c>
      <c r="F2045" t="str">
        <f>"SOCIAL SECURITY TAXES"</f>
        <v>SOCIAL SECURITY TAXES</v>
      </c>
      <c r="G2045" s="3">
        <v>159.96</v>
      </c>
      <c r="H2045" t="str">
        <f t="shared" ref="H2045:H2092" si="33">"SOCIAL SECURITY TAXES"</f>
        <v>SOCIAL SECURITY TAXES</v>
      </c>
    </row>
    <row r="2046" spans="1:8" x14ac:dyDescent="0.25">
      <c r="E2046" t="str">
        <f>""</f>
        <v/>
      </c>
      <c r="F2046" t="str">
        <f>""</f>
        <v/>
      </c>
      <c r="G2046" s="3">
        <v>157.72999999999999</v>
      </c>
      <c r="H2046" t="str">
        <f t="shared" si="33"/>
        <v>SOCIAL SECURITY TAXES</v>
      </c>
    </row>
    <row r="2047" spans="1:8" x14ac:dyDescent="0.25">
      <c r="E2047" t="str">
        <f>""</f>
        <v/>
      </c>
      <c r="F2047" t="str">
        <f>""</f>
        <v/>
      </c>
      <c r="G2047" s="3">
        <v>1425.63</v>
      </c>
      <c r="H2047" t="str">
        <f t="shared" si="33"/>
        <v>SOCIAL SECURITY TAXES</v>
      </c>
    </row>
    <row r="2048" spans="1:8" x14ac:dyDescent="0.25">
      <c r="E2048" t="str">
        <f>""</f>
        <v/>
      </c>
      <c r="F2048" t="str">
        <f>""</f>
        <v/>
      </c>
      <c r="G2048" s="3">
        <v>194.43</v>
      </c>
      <c r="H2048" t="str">
        <f t="shared" si="33"/>
        <v>SOCIAL SECURITY TAXES</v>
      </c>
    </row>
    <row r="2049" spans="5:8" x14ac:dyDescent="0.25">
      <c r="E2049" t="str">
        <f>""</f>
        <v/>
      </c>
      <c r="F2049" t="str">
        <f>""</f>
        <v/>
      </c>
      <c r="G2049" s="3">
        <v>643.07000000000005</v>
      </c>
      <c r="H2049" t="str">
        <f t="shared" si="33"/>
        <v>SOCIAL SECURITY TAXES</v>
      </c>
    </row>
    <row r="2050" spans="5:8" x14ac:dyDescent="0.25">
      <c r="E2050" t="str">
        <f>""</f>
        <v/>
      </c>
      <c r="F2050" t="str">
        <f>""</f>
        <v/>
      </c>
      <c r="G2050" s="3">
        <v>263.87</v>
      </c>
      <c r="H2050" t="str">
        <f t="shared" si="33"/>
        <v>SOCIAL SECURITY TAXES</v>
      </c>
    </row>
    <row r="2051" spans="5:8" x14ac:dyDescent="0.25">
      <c r="E2051" t="str">
        <f>""</f>
        <v/>
      </c>
      <c r="F2051" t="str">
        <f>""</f>
        <v/>
      </c>
      <c r="G2051" s="3">
        <v>1694.22</v>
      </c>
      <c r="H2051" t="str">
        <f t="shared" si="33"/>
        <v>SOCIAL SECURITY TAXES</v>
      </c>
    </row>
    <row r="2052" spans="5:8" x14ac:dyDescent="0.25">
      <c r="E2052" t="str">
        <f>""</f>
        <v/>
      </c>
      <c r="F2052" t="str">
        <f>""</f>
        <v/>
      </c>
      <c r="G2052" s="3">
        <v>1154.19</v>
      </c>
      <c r="H2052" t="str">
        <f t="shared" si="33"/>
        <v>SOCIAL SECURITY TAXES</v>
      </c>
    </row>
    <row r="2053" spans="5:8" x14ac:dyDescent="0.25">
      <c r="E2053" t="str">
        <f>""</f>
        <v/>
      </c>
      <c r="F2053" t="str">
        <f>""</f>
        <v/>
      </c>
      <c r="G2053" s="3">
        <v>110.85</v>
      </c>
      <c r="H2053" t="str">
        <f t="shared" si="33"/>
        <v>SOCIAL SECURITY TAXES</v>
      </c>
    </row>
    <row r="2054" spans="5:8" x14ac:dyDescent="0.25">
      <c r="E2054" t="str">
        <f>""</f>
        <v/>
      </c>
      <c r="F2054" t="str">
        <f>""</f>
        <v/>
      </c>
      <c r="G2054" s="3">
        <v>1165.0999999999999</v>
      </c>
      <c r="H2054" t="str">
        <f t="shared" si="33"/>
        <v>SOCIAL SECURITY TAXES</v>
      </c>
    </row>
    <row r="2055" spans="5:8" x14ac:dyDescent="0.25">
      <c r="E2055" t="str">
        <f>""</f>
        <v/>
      </c>
      <c r="F2055" t="str">
        <f>""</f>
        <v/>
      </c>
      <c r="G2055" s="3">
        <v>536.91</v>
      </c>
      <c r="H2055" t="str">
        <f t="shared" si="33"/>
        <v>SOCIAL SECURITY TAXES</v>
      </c>
    </row>
    <row r="2056" spans="5:8" x14ac:dyDescent="0.25">
      <c r="E2056" t="str">
        <f>""</f>
        <v/>
      </c>
      <c r="F2056" t="str">
        <f>""</f>
        <v/>
      </c>
      <c r="G2056" s="3">
        <v>554.78</v>
      </c>
      <c r="H2056" t="str">
        <f t="shared" si="33"/>
        <v>SOCIAL SECURITY TAXES</v>
      </c>
    </row>
    <row r="2057" spans="5:8" x14ac:dyDescent="0.25">
      <c r="E2057" t="str">
        <f>""</f>
        <v/>
      </c>
      <c r="F2057" t="str">
        <f>""</f>
        <v/>
      </c>
      <c r="G2057" s="3">
        <v>145.44999999999999</v>
      </c>
      <c r="H2057" t="str">
        <f t="shared" si="33"/>
        <v>SOCIAL SECURITY TAXES</v>
      </c>
    </row>
    <row r="2058" spans="5:8" x14ac:dyDescent="0.25">
      <c r="E2058" t="str">
        <f>""</f>
        <v/>
      </c>
      <c r="F2058" t="str">
        <f>""</f>
        <v/>
      </c>
      <c r="G2058" s="3">
        <v>1611.25</v>
      </c>
      <c r="H2058" t="str">
        <f t="shared" si="33"/>
        <v>SOCIAL SECURITY TAXES</v>
      </c>
    </row>
    <row r="2059" spans="5:8" x14ac:dyDescent="0.25">
      <c r="E2059" t="str">
        <f>""</f>
        <v/>
      </c>
      <c r="F2059" t="str">
        <f>""</f>
        <v/>
      </c>
      <c r="G2059" s="3">
        <v>778.72</v>
      </c>
      <c r="H2059" t="str">
        <f t="shared" si="33"/>
        <v>SOCIAL SECURITY TAXES</v>
      </c>
    </row>
    <row r="2060" spans="5:8" x14ac:dyDescent="0.25">
      <c r="E2060" t="str">
        <f>""</f>
        <v/>
      </c>
      <c r="F2060" t="str">
        <f>""</f>
        <v/>
      </c>
      <c r="G2060" s="3">
        <v>373.24</v>
      </c>
      <c r="H2060" t="str">
        <f t="shared" si="33"/>
        <v>SOCIAL SECURITY TAXES</v>
      </c>
    </row>
    <row r="2061" spans="5:8" x14ac:dyDescent="0.25">
      <c r="E2061" t="str">
        <f>""</f>
        <v/>
      </c>
      <c r="F2061" t="str">
        <f>""</f>
        <v/>
      </c>
      <c r="G2061" s="3">
        <v>114.57</v>
      </c>
      <c r="H2061" t="str">
        <f t="shared" si="33"/>
        <v>SOCIAL SECURITY TAXES</v>
      </c>
    </row>
    <row r="2062" spans="5:8" x14ac:dyDescent="0.25">
      <c r="E2062" t="str">
        <f>""</f>
        <v/>
      </c>
      <c r="F2062" t="str">
        <f>""</f>
        <v/>
      </c>
      <c r="G2062" s="3">
        <v>447.27</v>
      </c>
      <c r="H2062" t="str">
        <f t="shared" si="33"/>
        <v>SOCIAL SECURITY TAXES</v>
      </c>
    </row>
    <row r="2063" spans="5:8" x14ac:dyDescent="0.25">
      <c r="E2063" t="str">
        <f>""</f>
        <v/>
      </c>
      <c r="F2063" t="str">
        <f>""</f>
        <v/>
      </c>
      <c r="G2063" s="3">
        <v>974.02</v>
      </c>
      <c r="H2063" t="str">
        <f t="shared" si="33"/>
        <v>SOCIAL SECURITY TAXES</v>
      </c>
    </row>
    <row r="2064" spans="5:8" x14ac:dyDescent="0.25">
      <c r="E2064" t="str">
        <f>""</f>
        <v/>
      </c>
      <c r="F2064" t="str">
        <f>""</f>
        <v/>
      </c>
      <c r="G2064" s="3">
        <v>1028.1300000000001</v>
      </c>
      <c r="H2064" t="str">
        <f t="shared" si="33"/>
        <v>SOCIAL SECURITY TAXES</v>
      </c>
    </row>
    <row r="2065" spans="5:8" x14ac:dyDescent="0.25">
      <c r="E2065" t="str">
        <f>""</f>
        <v/>
      </c>
      <c r="F2065" t="str">
        <f>""</f>
        <v/>
      </c>
      <c r="G2065" s="3">
        <v>247.13</v>
      </c>
      <c r="H2065" t="str">
        <f t="shared" si="33"/>
        <v>SOCIAL SECURITY TAXES</v>
      </c>
    </row>
    <row r="2066" spans="5:8" x14ac:dyDescent="0.25">
      <c r="E2066" t="str">
        <f>""</f>
        <v/>
      </c>
      <c r="F2066" t="str">
        <f>""</f>
        <v/>
      </c>
      <c r="G2066" s="3">
        <v>1092.02</v>
      </c>
      <c r="H2066" t="str">
        <f t="shared" si="33"/>
        <v>SOCIAL SECURITY TAXES</v>
      </c>
    </row>
    <row r="2067" spans="5:8" x14ac:dyDescent="0.25">
      <c r="E2067" t="str">
        <f>""</f>
        <v/>
      </c>
      <c r="F2067" t="str">
        <f>""</f>
        <v/>
      </c>
      <c r="G2067" s="3">
        <v>229.15</v>
      </c>
      <c r="H2067" t="str">
        <f t="shared" si="33"/>
        <v>SOCIAL SECURITY TAXES</v>
      </c>
    </row>
    <row r="2068" spans="5:8" x14ac:dyDescent="0.25">
      <c r="E2068" t="str">
        <f>""</f>
        <v/>
      </c>
      <c r="F2068" t="str">
        <f>""</f>
        <v/>
      </c>
      <c r="G2068" s="3">
        <v>308.02</v>
      </c>
      <c r="H2068" t="str">
        <f t="shared" si="33"/>
        <v>SOCIAL SECURITY TAXES</v>
      </c>
    </row>
    <row r="2069" spans="5:8" x14ac:dyDescent="0.25">
      <c r="E2069" t="str">
        <f>""</f>
        <v/>
      </c>
      <c r="F2069" t="str">
        <f>""</f>
        <v/>
      </c>
      <c r="G2069" s="3">
        <v>291.27999999999997</v>
      </c>
      <c r="H2069" t="str">
        <f t="shared" si="33"/>
        <v>SOCIAL SECURITY TAXES</v>
      </c>
    </row>
    <row r="2070" spans="5:8" x14ac:dyDescent="0.25">
      <c r="E2070" t="str">
        <f>""</f>
        <v/>
      </c>
      <c r="F2070" t="str">
        <f>""</f>
        <v/>
      </c>
      <c r="G2070" s="3">
        <v>145.82</v>
      </c>
      <c r="H2070" t="str">
        <f t="shared" si="33"/>
        <v>SOCIAL SECURITY TAXES</v>
      </c>
    </row>
    <row r="2071" spans="5:8" x14ac:dyDescent="0.25">
      <c r="E2071" t="str">
        <f>""</f>
        <v/>
      </c>
      <c r="F2071" t="str">
        <f>""</f>
        <v/>
      </c>
      <c r="G2071" s="3">
        <v>6454.78</v>
      </c>
      <c r="H2071" t="str">
        <f t="shared" si="33"/>
        <v>SOCIAL SECURITY TAXES</v>
      </c>
    </row>
    <row r="2072" spans="5:8" x14ac:dyDescent="0.25">
      <c r="E2072" t="str">
        <f>""</f>
        <v/>
      </c>
      <c r="F2072" t="str">
        <f>""</f>
        <v/>
      </c>
      <c r="G2072" s="3">
        <v>594.34</v>
      </c>
      <c r="H2072" t="str">
        <f t="shared" si="33"/>
        <v>SOCIAL SECURITY TAXES</v>
      </c>
    </row>
    <row r="2073" spans="5:8" x14ac:dyDescent="0.25">
      <c r="E2073" t="str">
        <f>""</f>
        <v/>
      </c>
      <c r="F2073" t="str">
        <f>""</f>
        <v/>
      </c>
      <c r="G2073" s="3">
        <v>4601.13</v>
      </c>
      <c r="H2073" t="str">
        <f t="shared" si="33"/>
        <v>SOCIAL SECURITY TAXES</v>
      </c>
    </row>
    <row r="2074" spans="5:8" x14ac:dyDescent="0.25">
      <c r="E2074" t="str">
        <f>""</f>
        <v/>
      </c>
      <c r="F2074" t="str">
        <f>""</f>
        <v/>
      </c>
      <c r="G2074" s="3">
        <v>343.92</v>
      </c>
      <c r="H2074" t="str">
        <f t="shared" si="33"/>
        <v>SOCIAL SECURITY TAXES</v>
      </c>
    </row>
    <row r="2075" spans="5:8" x14ac:dyDescent="0.25">
      <c r="E2075" t="str">
        <f>""</f>
        <v/>
      </c>
      <c r="F2075" t="str">
        <f>""</f>
        <v/>
      </c>
      <c r="G2075" s="3">
        <v>310</v>
      </c>
      <c r="H2075" t="str">
        <f t="shared" si="33"/>
        <v>SOCIAL SECURITY TAXES</v>
      </c>
    </row>
    <row r="2076" spans="5:8" x14ac:dyDescent="0.25">
      <c r="E2076" t="str">
        <f>""</f>
        <v/>
      </c>
      <c r="F2076" t="str">
        <f>""</f>
        <v/>
      </c>
      <c r="G2076" s="3">
        <v>126.73</v>
      </c>
      <c r="H2076" t="str">
        <f t="shared" si="33"/>
        <v>SOCIAL SECURITY TAXES</v>
      </c>
    </row>
    <row r="2077" spans="5:8" x14ac:dyDescent="0.25">
      <c r="E2077" t="str">
        <f>""</f>
        <v/>
      </c>
      <c r="F2077" t="str">
        <f>""</f>
        <v/>
      </c>
      <c r="G2077" s="3">
        <v>614.29999999999995</v>
      </c>
      <c r="H2077" t="str">
        <f t="shared" si="33"/>
        <v>SOCIAL SECURITY TAXES</v>
      </c>
    </row>
    <row r="2078" spans="5:8" x14ac:dyDescent="0.25">
      <c r="E2078" t="str">
        <f>""</f>
        <v/>
      </c>
      <c r="F2078" t="str">
        <f>""</f>
        <v/>
      </c>
      <c r="G2078" s="3">
        <v>43.9</v>
      </c>
      <c r="H2078" t="str">
        <f t="shared" si="33"/>
        <v>SOCIAL SECURITY TAXES</v>
      </c>
    </row>
    <row r="2079" spans="5:8" x14ac:dyDescent="0.25">
      <c r="E2079" t="str">
        <f>""</f>
        <v/>
      </c>
      <c r="F2079" t="str">
        <f>""</f>
        <v/>
      </c>
      <c r="G2079" s="3">
        <v>225.43</v>
      </c>
      <c r="H2079" t="str">
        <f t="shared" si="33"/>
        <v>SOCIAL SECURITY TAXES</v>
      </c>
    </row>
    <row r="2080" spans="5:8" x14ac:dyDescent="0.25">
      <c r="E2080" t="str">
        <f>""</f>
        <v/>
      </c>
      <c r="F2080" t="str">
        <f>""</f>
        <v/>
      </c>
      <c r="G2080" s="3">
        <v>164.55</v>
      </c>
      <c r="H2080" t="str">
        <f t="shared" si="33"/>
        <v>SOCIAL SECURITY TAXES</v>
      </c>
    </row>
    <row r="2081" spans="5:8" x14ac:dyDescent="0.25">
      <c r="E2081" t="str">
        <f>""</f>
        <v/>
      </c>
      <c r="F2081" t="str">
        <f>""</f>
        <v/>
      </c>
      <c r="G2081" s="3">
        <v>274.54000000000002</v>
      </c>
      <c r="H2081" t="str">
        <f t="shared" si="33"/>
        <v>SOCIAL SECURITY TAXES</v>
      </c>
    </row>
    <row r="2082" spans="5:8" x14ac:dyDescent="0.25">
      <c r="E2082" t="str">
        <f>""</f>
        <v/>
      </c>
      <c r="F2082" t="str">
        <f>""</f>
        <v/>
      </c>
      <c r="G2082" s="3">
        <v>891.81</v>
      </c>
      <c r="H2082" t="str">
        <f t="shared" si="33"/>
        <v>SOCIAL SECURITY TAXES</v>
      </c>
    </row>
    <row r="2083" spans="5:8" x14ac:dyDescent="0.25">
      <c r="E2083" t="str">
        <f>""</f>
        <v/>
      </c>
      <c r="F2083" t="str">
        <f>""</f>
        <v/>
      </c>
      <c r="G2083" s="3">
        <v>1550.69</v>
      </c>
      <c r="H2083" t="str">
        <f t="shared" si="33"/>
        <v>SOCIAL SECURITY TAXES</v>
      </c>
    </row>
    <row r="2084" spans="5:8" x14ac:dyDescent="0.25">
      <c r="E2084" t="str">
        <f>""</f>
        <v/>
      </c>
      <c r="F2084" t="str">
        <f>""</f>
        <v/>
      </c>
      <c r="G2084" s="3">
        <v>735.83</v>
      </c>
      <c r="H2084" t="str">
        <f t="shared" si="33"/>
        <v>SOCIAL SECURITY TAXES</v>
      </c>
    </row>
    <row r="2085" spans="5:8" x14ac:dyDescent="0.25">
      <c r="E2085" t="str">
        <f>""</f>
        <v/>
      </c>
      <c r="F2085" t="str">
        <f>""</f>
        <v/>
      </c>
      <c r="G2085" s="3">
        <v>1114.76</v>
      </c>
      <c r="H2085" t="str">
        <f t="shared" si="33"/>
        <v>SOCIAL SECURITY TAXES</v>
      </c>
    </row>
    <row r="2086" spans="5:8" x14ac:dyDescent="0.25">
      <c r="E2086" t="str">
        <f>""</f>
        <v/>
      </c>
      <c r="F2086" t="str">
        <f>""</f>
        <v/>
      </c>
      <c r="G2086" s="3">
        <v>108.62</v>
      </c>
      <c r="H2086" t="str">
        <f t="shared" si="33"/>
        <v>SOCIAL SECURITY TAXES</v>
      </c>
    </row>
    <row r="2087" spans="5:8" x14ac:dyDescent="0.25">
      <c r="E2087" t="str">
        <f>""</f>
        <v/>
      </c>
      <c r="F2087" t="str">
        <f>""</f>
        <v/>
      </c>
      <c r="G2087" s="3">
        <v>29.02</v>
      </c>
      <c r="H2087" t="str">
        <f t="shared" si="33"/>
        <v>SOCIAL SECURITY TAXES</v>
      </c>
    </row>
    <row r="2088" spans="5:8" x14ac:dyDescent="0.25">
      <c r="E2088" t="str">
        <f>""</f>
        <v/>
      </c>
      <c r="F2088" t="str">
        <f>""</f>
        <v/>
      </c>
      <c r="G2088" s="3">
        <v>34031.160000000003</v>
      </c>
      <c r="H2088" t="str">
        <f t="shared" si="33"/>
        <v>SOCIAL SECURITY TAXES</v>
      </c>
    </row>
    <row r="2089" spans="5:8" x14ac:dyDescent="0.25">
      <c r="E2089" t="str">
        <f>"T3 202111167179"</f>
        <v>T3 202111167179</v>
      </c>
      <c r="F2089" t="str">
        <f>"SOCIAL SECURITY TAXES"</f>
        <v>SOCIAL SECURITY TAXES</v>
      </c>
      <c r="G2089" s="3">
        <v>2207.1999999999998</v>
      </c>
      <c r="H2089" t="str">
        <f t="shared" si="33"/>
        <v>SOCIAL SECURITY TAXES</v>
      </c>
    </row>
    <row r="2090" spans="5:8" x14ac:dyDescent="0.25">
      <c r="E2090" t="str">
        <f>""</f>
        <v/>
      </c>
      <c r="F2090" t="str">
        <f>""</f>
        <v/>
      </c>
      <c r="G2090" s="3">
        <v>2207.1999999999998</v>
      </c>
      <c r="H2090" t="str">
        <f t="shared" si="33"/>
        <v>SOCIAL SECURITY TAXES</v>
      </c>
    </row>
    <row r="2091" spans="5:8" x14ac:dyDescent="0.25">
      <c r="E2091" t="str">
        <f>"T3 202111167180"</f>
        <v>T3 202111167180</v>
      </c>
      <c r="F2091" t="str">
        <f>"SOCIAL SECURITY TAXES"</f>
        <v>SOCIAL SECURITY TAXES</v>
      </c>
      <c r="G2091" s="3">
        <v>1266.1600000000001</v>
      </c>
      <c r="H2091" t="str">
        <f t="shared" si="33"/>
        <v>SOCIAL SECURITY TAXES</v>
      </c>
    </row>
    <row r="2092" spans="5:8" x14ac:dyDescent="0.25">
      <c r="E2092" t="str">
        <f>""</f>
        <v/>
      </c>
      <c r="F2092" t="str">
        <f>""</f>
        <v/>
      </c>
      <c r="G2092" s="3">
        <v>1266.1600000000001</v>
      </c>
      <c r="H2092" t="str">
        <f t="shared" si="33"/>
        <v>SOCIAL SECURITY TAXES</v>
      </c>
    </row>
    <row r="2093" spans="5:8" x14ac:dyDescent="0.25">
      <c r="E2093" t="str">
        <f>"T4 202111167178"</f>
        <v>T4 202111167178</v>
      </c>
      <c r="F2093" t="str">
        <f>"MEDICARE TAXES"</f>
        <v>MEDICARE TAXES</v>
      </c>
      <c r="G2093" s="3">
        <v>37.409999999999997</v>
      </c>
      <c r="H2093" t="str">
        <f t="shared" ref="H2093:H2140" si="34">"MEDICARE TAXES"</f>
        <v>MEDICARE TAXES</v>
      </c>
    </row>
    <row r="2094" spans="5:8" x14ac:dyDescent="0.25">
      <c r="E2094" t="str">
        <f>""</f>
        <v/>
      </c>
      <c r="F2094" t="str">
        <f>""</f>
        <v/>
      </c>
      <c r="G2094" s="3">
        <v>36.89</v>
      </c>
      <c r="H2094" t="str">
        <f t="shared" si="34"/>
        <v>MEDICARE TAXES</v>
      </c>
    </row>
    <row r="2095" spans="5:8" x14ac:dyDescent="0.25">
      <c r="E2095" t="str">
        <f>""</f>
        <v/>
      </c>
      <c r="F2095" t="str">
        <f>""</f>
        <v/>
      </c>
      <c r="G2095" s="3">
        <v>333.42</v>
      </c>
      <c r="H2095" t="str">
        <f t="shared" si="34"/>
        <v>MEDICARE TAXES</v>
      </c>
    </row>
    <row r="2096" spans="5:8" x14ac:dyDescent="0.25">
      <c r="E2096" t="str">
        <f>""</f>
        <v/>
      </c>
      <c r="F2096" t="str">
        <f>""</f>
        <v/>
      </c>
      <c r="G2096" s="3">
        <v>45.47</v>
      </c>
      <c r="H2096" t="str">
        <f t="shared" si="34"/>
        <v>MEDICARE TAXES</v>
      </c>
    </row>
    <row r="2097" spans="5:8" x14ac:dyDescent="0.25">
      <c r="E2097" t="str">
        <f>""</f>
        <v/>
      </c>
      <c r="F2097" t="str">
        <f>""</f>
        <v/>
      </c>
      <c r="G2097" s="3">
        <v>150.38999999999999</v>
      </c>
      <c r="H2097" t="str">
        <f t="shared" si="34"/>
        <v>MEDICARE TAXES</v>
      </c>
    </row>
    <row r="2098" spans="5:8" x14ac:dyDescent="0.25">
      <c r="E2098" t="str">
        <f>""</f>
        <v/>
      </c>
      <c r="F2098" t="str">
        <f>""</f>
        <v/>
      </c>
      <c r="G2098" s="3">
        <v>61.71</v>
      </c>
      <c r="H2098" t="str">
        <f t="shared" si="34"/>
        <v>MEDICARE TAXES</v>
      </c>
    </row>
    <row r="2099" spans="5:8" x14ac:dyDescent="0.25">
      <c r="E2099" t="str">
        <f>""</f>
        <v/>
      </c>
      <c r="F2099" t="str">
        <f>""</f>
        <v/>
      </c>
      <c r="G2099" s="3">
        <v>396.23</v>
      </c>
      <c r="H2099" t="str">
        <f t="shared" si="34"/>
        <v>MEDICARE TAXES</v>
      </c>
    </row>
    <row r="2100" spans="5:8" x14ac:dyDescent="0.25">
      <c r="E2100" t="str">
        <f>""</f>
        <v/>
      </c>
      <c r="F2100" t="str">
        <f>""</f>
        <v/>
      </c>
      <c r="G2100" s="3">
        <v>269.93</v>
      </c>
      <c r="H2100" t="str">
        <f t="shared" si="34"/>
        <v>MEDICARE TAXES</v>
      </c>
    </row>
    <row r="2101" spans="5:8" x14ac:dyDescent="0.25">
      <c r="E2101" t="str">
        <f>""</f>
        <v/>
      </c>
      <c r="F2101" t="str">
        <f>""</f>
        <v/>
      </c>
      <c r="G2101" s="3">
        <v>25.92</v>
      </c>
      <c r="H2101" t="str">
        <f t="shared" si="34"/>
        <v>MEDICARE TAXES</v>
      </c>
    </row>
    <row r="2102" spans="5:8" x14ac:dyDescent="0.25">
      <c r="E2102" t="str">
        <f>""</f>
        <v/>
      </c>
      <c r="F2102" t="str">
        <f>""</f>
        <v/>
      </c>
      <c r="G2102" s="3">
        <v>272.48</v>
      </c>
      <c r="H2102" t="str">
        <f t="shared" si="34"/>
        <v>MEDICARE TAXES</v>
      </c>
    </row>
    <row r="2103" spans="5:8" x14ac:dyDescent="0.25">
      <c r="E2103" t="str">
        <f>""</f>
        <v/>
      </c>
      <c r="F2103" t="str">
        <f>""</f>
        <v/>
      </c>
      <c r="G2103" s="3">
        <v>125.57</v>
      </c>
      <c r="H2103" t="str">
        <f t="shared" si="34"/>
        <v>MEDICARE TAXES</v>
      </c>
    </row>
    <row r="2104" spans="5:8" x14ac:dyDescent="0.25">
      <c r="E2104" t="str">
        <f>""</f>
        <v/>
      </c>
      <c r="F2104" t="str">
        <f>""</f>
        <v/>
      </c>
      <c r="G2104" s="3">
        <v>129.75</v>
      </c>
      <c r="H2104" t="str">
        <f t="shared" si="34"/>
        <v>MEDICARE TAXES</v>
      </c>
    </row>
    <row r="2105" spans="5:8" x14ac:dyDescent="0.25">
      <c r="E2105" t="str">
        <f>""</f>
        <v/>
      </c>
      <c r="F2105" t="str">
        <f>""</f>
        <v/>
      </c>
      <c r="G2105" s="3">
        <v>34.020000000000003</v>
      </c>
      <c r="H2105" t="str">
        <f t="shared" si="34"/>
        <v>MEDICARE TAXES</v>
      </c>
    </row>
    <row r="2106" spans="5:8" x14ac:dyDescent="0.25">
      <c r="E2106" t="str">
        <f>""</f>
        <v/>
      </c>
      <c r="F2106" t="str">
        <f>""</f>
        <v/>
      </c>
      <c r="G2106" s="3">
        <v>376.82</v>
      </c>
      <c r="H2106" t="str">
        <f t="shared" si="34"/>
        <v>MEDICARE TAXES</v>
      </c>
    </row>
    <row r="2107" spans="5:8" x14ac:dyDescent="0.25">
      <c r="E2107" t="str">
        <f>""</f>
        <v/>
      </c>
      <c r="F2107" t="str">
        <f>""</f>
        <v/>
      </c>
      <c r="G2107" s="3">
        <v>182.13</v>
      </c>
      <c r="H2107" t="str">
        <f t="shared" si="34"/>
        <v>MEDICARE TAXES</v>
      </c>
    </row>
    <row r="2108" spans="5:8" x14ac:dyDescent="0.25">
      <c r="E2108" t="str">
        <f>""</f>
        <v/>
      </c>
      <c r="F2108" t="str">
        <f>""</f>
        <v/>
      </c>
      <c r="G2108" s="3">
        <v>87.29</v>
      </c>
      <c r="H2108" t="str">
        <f t="shared" si="34"/>
        <v>MEDICARE TAXES</v>
      </c>
    </row>
    <row r="2109" spans="5:8" x14ac:dyDescent="0.25">
      <c r="E2109" t="str">
        <f>""</f>
        <v/>
      </c>
      <c r="F2109" t="str">
        <f>""</f>
        <v/>
      </c>
      <c r="G2109" s="3">
        <v>26.79</v>
      </c>
      <c r="H2109" t="str">
        <f t="shared" si="34"/>
        <v>MEDICARE TAXES</v>
      </c>
    </row>
    <row r="2110" spans="5:8" x14ac:dyDescent="0.25">
      <c r="E2110" t="str">
        <f>""</f>
        <v/>
      </c>
      <c r="F2110" t="str">
        <f>""</f>
        <v/>
      </c>
      <c r="G2110" s="3">
        <v>104.61</v>
      </c>
      <c r="H2110" t="str">
        <f t="shared" si="34"/>
        <v>MEDICARE TAXES</v>
      </c>
    </row>
    <row r="2111" spans="5:8" x14ac:dyDescent="0.25">
      <c r="E2111" t="str">
        <f>""</f>
        <v/>
      </c>
      <c r="F2111" t="str">
        <f>""</f>
        <v/>
      </c>
      <c r="G2111" s="3">
        <v>227.79</v>
      </c>
      <c r="H2111" t="str">
        <f t="shared" si="34"/>
        <v>MEDICARE TAXES</v>
      </c>
    </row>
    <row r="2112" spans="5:8" x14ac:dyDescent="0.25">
      <c r="E2112" t="str">
        <f>""</f>
        <v/>
      </c>
      <c r="F2112" t="str">
        <f>""</f>
        <v/>
      </c>
      <c r="G2112" s="3">
        <v>240.45</v>
      </c>
      <c r="H2112" t="str">
        <f t="shared" si="34"/>
        <v>MEDICARE TAXES</v>
      </c>
    </row>
    <row r="2113" spans="5:8" x14ac:dyDescent="0.25">
      <c r="E2113" t="str">
        <f>""</f>
        <v/>
      </c>
      <c r="F2113" t="str">
        <f>""</f>
        <v/>
      </c>
      <c r="G2113" s="3">
        <v>57.8</v>
      </c>
      <c r="H2113" t="str">
        <f t="shared" si="34"/>
        <v>MEDICARE TAXES</v>
      </c>
    </row>
    <row r="2114" spans="5:8" x14ac:dyDescent="0.25">
      <c r="E2114" t="str">
        <f>""</f>
        <v/>
      </c>
      <c r="F2114" t="str">
        <f>""</f>
        <v/>
      </c>
      <c r="G2114" s="3">
        <v>255.39</v>
      </c>
      <c r="H2114" t="str">
        <f t="shared" si="34"/>
        <v>MEDICARE TAXES</v>
      </c>
    </row>
    <row r="2115" spans="5:8" x14ac:dyDescent="0.25">
      <c r="E2115" t="str">
        <f>""</f>
        <v/>
      </c>
      <c r="F2115" t="str">
        <f>""</f>
        <v/>
      </c>
      <c r="G2115" s="3">
        <v>53.59</v>
      </c>
      <c r="H2115" t="str">
        <f t="shared" si="34"/>
        <v>MEDICARE TAXES</v>
      </c>
    </row>
    <row r="2116" spans="5:8" x14ac:dyDescent="0.25">
      <c r="E2116" t="str">
        <f>""</f>
        <v/>
      </c>
      <c r="F2116" t="str">
        <f>""</f>
        <v/>
      </c>
      <c r="G2116" s="3">
        <v>72.040000000000006</v>
      </c>
      <c r="H2116" t="str">
        <f t="shared" si="34"/>
        <v>MEDICARE TAXES</v>
      </c>
    </row>
    <row r="2117" spans="5:8" x14ac:dyDescent="0.25">
      <c r="E2117" t="str">
        <f>""</f>
        <v/>
      </c>
      <c r="F2117" t="str">
        <f>""</f>
        <v/>
      </c>
      <c r="G2117" s="3">
        <v>68.12</v>
      </c>
      <c r="H2117" t="str">
        <f t="shared" si="34"/>
        <v>MEDICARE TAXES</v>
      </c>
    </row>
    <row r="2118" spans="5:8" x14ac:dyDescent="0.25">
      <c r="E2118" t="str">
        <f>""</f>
        <v/>
      </c>
      <c r="F2118" t="str">
        <f>""</f>
        <v/>
      </c>
      <c r="G2118" s="3">
        <v>34.1</v>
      </c>
      <c r="H2118" t="str">
        <f t="shared" si="34"/>
        <v>MEDICARE TAXES</v>
      </c>
    </row>
    <row r="2119" spans="5:8" x14ac:dyDescent="0.25">
      <c r="E2119" t="str">
        <f>""</f>
        <v/>
      </c>
      <c r="F2119" t="str">
        <f>""</f>
        <v/>
      </c>
      <c r="G2119" s="3">
        <v>1509.57</v>
      </c>
      <c r="H2119" t="str">
        <f t="shared" si="34"/>
        <v>MEDICARE TAXES</v>
      </c>
    </row>
    <row r="2120" spans="5:8" x14ac:dyDescent="0.25">
      <c r="E2120" t="str">
        <f>""</f>
        <v/>
      </c>
      <c r="F2120" t="str">
        <f>""</f>
        <v/>
      </c>
      <c r="G2120" s="3">
        <v>139</v>
      </c>
      <c r="H2120" t="str">
        <f t="shared" si="34"/>
        <v>MEDICARE TAXES</v>
      </c>
    </row>
    <row r="2121" spans="5:8" x14ac:dyDescent="0.25">
      <c r="E2121" t="str">
        <f>""</f>
        <v/>
      </c>
      <c r="F2121" t="str">
        <f>""</f>
        <v/>
      </c>
      <c r="G2121" s="3">
        <v>1076.04</v>
      </c>
      <c r="H2121" t="str">
        <f t="shared" si="34"/>
        <v>MEDICARE TAXES</v>
      </c>
    </row>
    <row r="2122" spans="5:8" x14ac:dyDescent="0.25">
      <c r="E2122" t="str">
        <f>""</f>
        <v/>
      </c>
      <c r="F2122" t="str">
        <f>""</f>
        <v/>
      </c>
      <c r="G2122" s="3">
        <v>80.430000000000007</v>
      </c>
      <c r="H2122" t="str">
        <f t="shared" si="34"/>
        <v>MEDICARE TAXES</v>
      </c>
    </row>
    <row r="2123" spans="5:8" x14ac:dyDescent="0.25">
      <c r="E2123" t="str">
        <f>""</f>
        <v/>
      </c>
      <c r="F2123" t="str">
        <f>""</f>
        <v/>
      </c>
      <c r="G2123" s="3">
        <v>72.5</v>
      </c>
      <c r="H2123" t="str">
        <f t="shared" si="34"/>
        <v>MEDICARE TAXES</v>
      </c>
    </row>
    <row r="2124" spans="5:8" x14ac:dyDescent="0.25">
      <c r="E2124" t="str">
        <f>""</f>
        <v/>
      </c>
      <c r="F2124" t="str">
        <f>""</f>
        <v/>
      </c>
      <c r="G2124" s="3">
        <v>29.64</v>
      </c>
      <c r="H2124" t="str">
        <f t="shared" si="34"/>
        <v>MEDICARE TAXES</v>
      </c>
    </row>
    <row r="2125" spans="5:8" x14ac:dyDescent="0.25">
      <c r="E2125" t="str">
        <f>""</f>
        <v/>
      </c>
      <c r="F2125" t="str">
        <f>""</f>
        <v/>
      </c>
      <c r="G2125" s="3">
        <v>143.66999999999999</v>
      </c>
      <c r="H2125" t="str">
        <f t="shared" si="34"/>
        <v>MEDICARE TAXES</v>
      </c>
    </row>
    <row r="2126" spans="5:8" x14ac:dyDescent="0.25">
      <c r="E2126" t="str">
        <f>""</f>
        <v/>
      </c>
      <c r="F2126" t="str">
        <f>""</f>
        <v/>
      </c>
      <c r="G2126" s="3">
        <v>10.27</v>
      </c>
      <c r="H2126" t="str">
        <f t="shared" si="34"/>
        <v>MEDICARE TAXES</v>
      </c>
    </row>
    <row r="2127" spans="5:8" x14ac:dyDescent="0.25">
      <c r="E2127" t="str">
        <f>""</f>
        <v/>
      </c>
      <c r="F2127" t="str">
        <f>""</f>
        <v/>
      </c>
      <c r="G2127" s="3">
        <v>52.72</v>
      </c>
      <c r="H2127" t="str">
        <f t="shared" si="34"/>
        <v>MEDICARE TAXES</v>
      </c>
    </row>
    <row r="2128" spans="5:8" x14ac:dyDescent="0.25">
      <c r="E2128" t="str">
        <f>""</f>
        <v/>
      </c>
      <c r="F2128" t="str">
        <f>""</f>
        <v/>
      </c>
      <c r="G2128" s="3">
        <v>38.479999999999997</v>
      </c>
      <c r="H2128" t="str">
        <f t="shared" si="34"/>
        <v>MEDICARE TAXES</v>
      </c>
    </row>
    <row r="2129" spans="1:8" x14ac:dyDescent="0.25">
      <c r="E2129" t="str">
        <f>""</f>
        <v/>
      </c>
      <c r="F2129" t="str">
        <f>""</f>
        <v/>
      </c>
      <c r="G2129" s="3">
        <v>64.209999999999994</v>
      </c>
      <c r="H2129" t="str">
        <f t="shared" si="34"/>
        <v>MEDICARE TAXES</v>
      </c>
    </row>
    <row r="2130" spans="1:8" x14ac:dyDescent="0.25">
      <c r="E2130" t="str">
        <f>""</f>
        <v/>
      </c>
      <c r="F2130" t="str">
        <f>""</f>
        <v/>
      </c>
      <c r="G2130" s="3">
        <v>208.58</v>
      </c>
      <c r="H2130" t="str">
        <f t="shared" si="34"/>
        <v>MEDICARE TAXES</v>
      </c>
    </row>
    <row r="2131" spans="1:8" x14ac:dyDescent="0.25">
      <c r="E2131" t="str">
        <f>""</f>
        <v/>
      </c>
      <c r="F2131" t="str">
        <f>""</f>
        <v/>
      </c>
      <c r="G2131" s="3">
        <v>362.66</v>
      </c>
      <c r="H2131" t="str">
        <f t="shared" si="34"/>
        <v>MEDICARE TAXES</v>
      </c>
    </row>
    <row r="2132" spans="1:8" x14ac:dyDescent="0.25">
      <c r="E2132" t="str">
        <f>""</f>
        <v/>
      </c>
      <c r="F2132" t="str">
        <f>""</f>
        <v/>
      </c>
      <c r="G2132" s="3">
        <v>172.1</v>
      </c>
      <c r="H2132" t="str">
        <f t="shared" si="34"/>
        <v>MEDICARE TAXES</v>
      </c>
    </row>
    <row r="2133" spans="1:8" x14ac:dyDescent="0.25">
      <c r="E2133" t="str">
        <f>""</f>
        <v/>
      </c>
      <c r="F2133" t="str">
        <f>""</f>
        <v/>
      </c>
      <c r="G2133" s="3">
        <v>260.70999999999998</v>
      </c>
      <c r="H2133" t="str">
        <f t="shared" si="34"/>
        <v>MEDICARE TAXES</v>
      </c>
    </row>
    <row r="2134" spans="1:8" x14ac:dyDescent="0.25">
      <c r="E2134" t="str">
        <f>""</f>
        <v/>
      </c>
      <c r="F2134" t="str">
        <f>""</f>
        <v/>
      </c>
      <c r="G2134" s="3">
        <v>25.4</v>
      </c>
      <c r="H2134" t="str">
        <f t="shared" si="34"/>
        <v>MEDICARE TAXES</v>
      </c>
    </row>
    <row r="2135" spans="1:8" x14ac:dyDescent="0.25">
      <c r="E2135" t="str">
        <f>""</f>
        <v/>
      </c>
      <c r="F2135" t="str">
        <f>""</f>
        <v/>
      </c>
      <c r="G2135" s="3">
        <v>6.79</v>
      </c>
      <c r="H2135" t="str">
        <f t="shared" si="34"/>
        <v>MEDICARE TAXES</v>
      </c>
    </row>
    <row r="2136" spans="1:8" x14ac:dyDescent="0.25">
      <c r="E2136" t="str">
        <f>""</f>
        <v/>
      </c>
      <c r="F2136" t="str">
        <f>""</f>
        <v/>
      </c>
      <c r="G2136" s="3">
        <v>7958.88</v>
      </c>
      <c r="H2136" t="str">
        <f t="shared" si="34"/>
        <v>MEDICARE TAXES</v>
      </c>
    </row>
    <row r="2137" spans="1:8" x14ac:dyDescent="0.25">
      <c r="E2137" t="str">
        <f>"T4 202111167179"</f>
        <v>T4 202111167179</v>
      </c>
      <c r="F2137" t="str">
        <f>"MEDICARE TAXES"</f>
        <v>MEDICARE TAXES</v>
      </c>
      <c r="G2137" s="3">
        <v>516.20000000000005</v>
      </c>
      <c r="H2137" t="str">
        <f t="shared" si="34"/>
        <v>MEDICARE TAXES</v>
      </c>
    </row>
    <row r="2138" spans="1:8" x14ac:dyDescent="0.25">
      <c r="E2138" t="str">
        <f>""</f>
        <v/>
      </c>
      <c r="F2138" t="str">
        <f>""</f>
        <v/>
      </c>
      <c r="G2138" s="3">
        <v>516.20000000000005</v>
      </c>
      <c r="H2138" t="str">
        <f t="shared" si="34"/>
        <v>MEDICARE TAXES</v>
      </c>
    </row>
    <row r="2139" spans="1:8" x14ac:dyDescent="0.25">
      <c r="E2139" t="str">
        <f>"T4 202111167180"</f>
        <v>T4 202111167180</v>
      </c>
      <c r="F2139" t="str">
        <f>"MEDICARE TAXES"</f>
        <v>MEDICARE TAXES</v>
      </c>
      <c r="G2139" s="3">
        <v>296.13</v>
      </c>
      <c r="H2139" t="str">
        <f t="shared" si="34"/>
        <v>MEDICARE TAXES</v>
      </c>
    </row>
    <row r="2140" spans="1:8" x14ac:dyDescent="0.25">
      <c r="E2140" t="str">
        <f>""</f>
        <v/>
      </c>
      <c r="F2140" t="str">
        <f>""</f>
        <v/>
      </c>
      <c r="G2140" s="3">
        <v>296.13</v>
      </c>
      <c r="H2140" t="str">
        <f t="shared" si="34"/>
        <v>MEDICARE TAXES</v>
      </c>
    </row>
    <row r="2141" spans="1:8" x14ac:dyDescent="0.25">
      <c r="A2141" t="s">
        <v>620</v>
      </c>
      <c r="B2141">
        <v>1419</v>
      </c>
      <c r="C2141" s="3">
        <v>243582.92</v>
      </c>
      <c r="D2141" s="6">
        <v>44524</v>
      </c>
      <c r="E2141" t="str">
        <f>"T1 202111227341"</f>
        <v>T1 202111227341</v>
      </c>
      <c r="F2141" t="str">
        <f>"FEDERAL WITHHOLDING"</f>
        <v>FEDERAL WITHHOLDING</v>
      </c>
      <c r="G2141" s="3">
        <v>80390.97</v>
      </c>
      <c r="H2141" t="str">
        <f>"FEDERAL WITHHOLDING"</f>
        <v>FEDERAL WITHHOLDING</v>
      </c>
    </row>
    <row r="2142" spans="1:8" x14ac:dyDescent="0.25">
      <c r="E2142" t="str">
        <f>"T1 202111227342"</f>
        <v>T1 202111227342</v>
      </c>
      <c r="F2142" t="str">
        <f>"FEDERAL WITHHOLDING"</f>
        <v>FEDERAL WITHHOLDING</v>
      </c>
      <c r="G2142" s="3">
        <v>2894.1</v>
      </c>
      <c r="H2142" t="str">
        <f>"FEDERAL WITHHOLDING"</f>
        <v>FEDERAL WITHHOLDING</v>
      </c>
    </row>
    <row r="2143" spans="1:8" x14ac:dyDescent="0.25">
      <c r="E2143" t="str">
        <f>"T1 202111227343"</f>
        <v>T1 202111227343</v>
      </c>
      <c r="F2143" t="str">
        <f>"FEDERAL WITHHOLDING"</f>
        <v>FEDERAL WITHHOLDING</v>
      </c>
      <c r="G2143" s="3">
        <v>3020.83</v>
      </c>
      <c r="H2143" t="str">
        <f>"FEDERAL WITHHOLDING"</f>
        <v>FEDERAL WITHHOLDING</v>
      </c>
    </row>
    <row r="2144" spans="1:8" x14ac:dyDescent="0.25">
      <c r="E2144" t="str">
        <f>"T3 202111227341"</f>
        <v>T3 202111227341</v>
      </c>
      <c r="F2144" t="str">
        <f>"SOCIAL SECURITY TAXES"</f>
        <v>SOCIAL SECURITY TAXES</v>
      </c>
      <c r="G2144" s="3">
        <v>531.22</v>
      </c>
      <c r="H2144" t="str">
        <f t="shared" ref="H2144:H2175" si="35">"SOCIAL SECURITY TAXES"</f>
        <v>SOCIAL SECURITY TAXES</v>
      </c>
    </row>
    <row r="2145" spans="5:8" x14ac:dyDescent="0.25">
      <c r="E2145" t="str">
        <f>""</f>
        <v/>
      </c>
      <c r="F2145" t="str">
        <f>""</f>
        <v/>
      </c>
      <c r="G2145" s="3">
        <v>385.58</v>
      </c>
      <c r="H2145" t="str">
        <f t="shared" si="35"/>
        <v>SOCIAL SECURITY TAXES</v>
      </c>
    </row>
    <row r="2146" spans="5:8" x14ac:dyDescent="0.25">
      <c r="E2146" t="str">
        <f>""</f>
        <v/>
      </c>
      <c r="F2146" t="str">
        <f>""</f>
        <v/>
      </c>
      <c r="G2146" s="3">
        <v>985</v>
      </c>
      <c r="H2146" t="str">
        <f t="shared" si="35"/>
        <v>SOCIAL SECURITY TAXES</v>
      </c>
    </row>
    <row r="2147" spans="5:8" x14ac:dyDescent="0.25">
      <c r="E2147" t="str">
        <f>""</f>
        <v/>
      </c>
      <c r="F2147" t="str">
        <f>""</f>
        <v/>
      </c>
      <c r="G2147" s="3">
        <v>413.29</v>
      </c>
      <c r="H2147" t="str">
        <f t="shared" si="35"/>
        <v>SOCIAL SECURITY TAXES</v>
      </c>
    </row>
    <row r="2148" spans="5:8" x14ac:dyDescent="0.25">
      <c r="E2148" t="str">
        <f>""</f>
        <v/>
      </c>
      <c r="F2148" t="str">
        <f>""</f>
        <v/>
      </c>
      <c r="G2148" s="3">
        <v>46.82</v>
      </c>
      <c r="H2148" t="str">
        <f t="shared" si="35"/>
        <v>SOCIAL SECURITY TAXES</v>
      </c>
    </row>
    <row r="2149" spans="5:8" x14ac:dyDescent="0.25">
      <c r="E2149" t="str">
        <f>""</f>
        <v/>
      </c>
      <c r="F2149" t="str">
        <f>""</f>
        <v/>
      </c>
      <c r="G2149" s="3">
        <v>828.53</v>
      </c>
      <c r="H2149" t="str">
        <f t="shared" si="35"/>
        <v>SOCIAL SECURITY TAXES</v>
      </c>
    </row>
    <row r="2150" spans="5:8" x14ac:dyDescent="0.25">
      <c r="E2150" t="str">
        <f>""</f>
        <v/>
      </c>
      <c r="F2150" t="str">
        <f>""</f>
        <v/>
      </c>
      <c r="G2150" s="3">
        <v>2492.46</v>
      </c>
      <c r="H2150" t="str">
        <f t="shared" si="35"/>
        <v>SOCIAL SECURITY TAXES</v>
      </c>
    </row>
    <row r="2151" spans="5:8" x14ac:dyDescent="0.25">
      <c r="E2151" t="str">
        <f>""</f>
        <v/>
      </c>
      <c r="F2151" t="str">
        <f>""</f>
        <v/>
      </c>
      <c r="G2151" s="3">
        <v>542.13</v>
      </c>
      <c r="H2151" t="str">
        <f t="shared" si="35"/>
        <v>SOCIAL SECURITY TAXES</v>
      </c>
    </row>
    <row r="2152" spans="5:8" x14ac:dyDescent="0.25">
      <c r="E2152" t="str">
        <f>""</f>
        <v/>
      </c>
      <c r="F2152" t="str">
        <f>""</f>
        <v/>
      </c>
      <c r="G2152" s="3">
        <v>853.55</v>
      </c>
      <c r="H2152" t="str">
        <f t="shared" si="35"/>
        <v>SOCIAL SECURITY TAXES</v>
      </c>
    </row>
    <row r="2153" spans="5:8" x14ac:dyDescent="0.25">
      <c r="E2153" t="str">
        <f>""</f>
        <v/>
      </c>
      <c r="F2153" t="str">
        <f>""</f>
        <v/>
      </c>
      <c r="G2153" s="3">
        <v>1521.54</v>
      </c>
      <c r="H2153" t="str">
        <f t="shared" si="35"/>
        <v>SOCIAL SECURITY TAXES</v>
      </c>
    </row>
    <row r="2154" spans="5:8" x14ac:dyDescent="0.25">
      <c r="E2154" t="str">
        <f>""</f>
        <v/>
      </c>
      <c r="F2154" t="str">
        <f>""</f>
        <v/>
      </c>
      <c r="G2154" s="3">
        <v>455.1</v>
      </c>
      <c r="H2154" t="str">
        <f t="shared" si="35"/>
        <v>SOCIAL SECURITY TAXES</v>
      </c>
    </row>
    <row r="2155" spans="5:8" x14ac:dyDescent="0.25">
      <c r="E2155" t="str">
        <f>""</f>
        <v/>
      </c>
      <c r="F2155" t="str">
        <f>""</f>
        <v/>
      </c>
      <c r="G2155" s="3">
        <v>469.52</v>
      </c>
      <c r="H2155" t="str">
        <f t="shared" si="35"/>
        <v>SOCIAL SECURITY TAXES</v>
      </c>
    </row>
    <row r="2156" spans="5:8" x14ac:dyDescent="0.25">
      <c r="E2156" t="str">
        <f>""</f>
        <v/>
      </c>
      <c r="F2156" t="str">
        <f>""</f>
        <v/>
      </c>
      <c r="G2156" s="3">
        <v>392.13</v>
      </c>
      <c r="H2156" t="str">
        <f t="shared" si="35"/>
        <v>SOCIAL SECURITY TAXES</v>
      </c>
    </row>
    <row r="2157" spans="5:8" x14ac:dyDescent="0.25">
      <c r="E2157" t="str">
        <f>""</f>
        <v/>
      </c>
      <c r="F2157" t="str">
        <f>""</f>
        <v/>
      </c>
      <c r="G2157" s="3">
        <v>409.09</v>
      </c>
      <c r="H2157" t="str">
        <f t="shared" si="35"/>
        <v>SOCIAL SECURITY TAXES</v>
      </c>
    </row>
    <row r="2158" spans="5:8" x14ac:dyDescent="0.25">
      <c r="E2158" t="str">
        <f>""</f>
        <v/>
      </c>
      <c r="F2158" t="str">
        <f>""</f>
        <v/>
      </c>
      <c r="G2158" s="3">
        <v>266.56</v>
      </c>
      <c r="H2158" t="str">
        <f t="shared" si="35"/>
        <v>SOCIAL SECURITY TAXES</v>
      </c>
    </row>
    <row r="2159" spans="5:8" x14ac:dyDescent="0.25">
      <c r="E2159" t="str">
        <f>""</f>
        <v/>
      </c>
      <c r="F2159" t="str">
        <f>""</f>
        <v/>
      </c>
      <c r="G2159" s="3">
        <v>2697.59</v>
      </c>
      <c r="H2159" t="str">
        <f t="shared" si="35"/>
        <v>SOCIAL SECURITY TAXES</v>
      </c>
    </row>
    <row r="2160" spans="5:8" x14ac:dyDescent="0.25">
      <c r="E2160" t="str">
        <f>""</f>
        <v/>
      </c>
      <c r="F2160" t="str">
        <f>""</f>
        <v/>
      </c>
      <c r="G2160" s="3">
        <v>1134.4000000000001</v>
      </c>
      <c r="H2160" t="str">
        <f t="shared" si="35"/>
        <v>SOCIAL SECURITY TAXES</v>
      </c>
    </row>
    <row r="2161" spans="5:8" x14ac:dyDescent="0.25">
      <c r="E2161" t="str">
        <f>""</f>
        <v/>
      </c>
      <c r="F2161" t="str">
        <f>""</f>
        <v/>
      </c>
      <c r="G2161" s="3">
        <v>497.27</v>
      </c>
      <c r="H2161" t="str">
        <f t="shared" si="35"/>
        <v>SOCIAL SECURITY TAXES</v>
      </c>
    </row>
    <row r="2162" spans="5:8" x14ac:dyDescent="0.25">
      <c r="E2162" t="str">
        <f>""</f>
        <v/>
      </c>
      <c r="F2162" t="str">
        <f>""</f>
        <v/>
      </c>
      <c r="G2162" s="3">
        <v>485.22</v>
      </c>
      <c r="H2162" t="str">
        <f t="shared" si="35"/>
        <v>SOCIAL SECURITY TAXES</v>
      </c>
    </row>
    <row r="2163" spans="5:8" x14ac:dyDescent="0.25">
      <c r="E2163" t="str">
        <f>""</f>
        <v/>
      </c>
      <c r="F2163" t="str">
        <f>""</f>
        <v/>
      </c>
      <c r="G2163" s="3">
        <v>1510.86</v>
      </c>
      <c r="H2163" t="str">
        <f t="shared" si="35"/>
        <v>SOCIAL SECURITY TAXES</v>
      </c>
    </row>
    <row r="2164" spans="5:8" x14ac:dyDescent="0.25">
      <c r="E2164" t="str">
        <f>""</f>
        <v/>
      </c>
      <c r="F2164" t="str">
        <f>""</f>
        <v/>
      </c>
      <c r="G2164" s="3">
        <v>729.72</v>
      </c>
      <c r="H2164" t="str">
        <f t="shared" si="35"/>
        <v>SOCIAL SECURITY TAXES</v>
      </c>
    </row>
    <row r="2165" spans="5:8" x14ac:dyDescent="0.25">
      <c r="E2165" t="str">
        <f>""</f>
        <v/>
      </c>
      <c r="F2165" t="str">
        <f>""</f>
        <v/>
      </c>
      <c r="G2165" s="3">
        <v>1812.82</v>
      </c>
      <c r="H2165" t="str">
        <f t="shared" si="35"/>
        <v>SOCIAL SECURITY TAXES</v>
      </c>
    </row>
    <row r="2166" spans="5:8" x14ac:dyDescent="0.25">
      <c r="E2166" t="str">
        <f>""</f>
        <v/>
      </c>
      <c r="F2166" t="str">
        <f>""</f>
        <v/>
      </c>
      <c r="G2166" s="3">
        <v>1233.23</v>
      </c>
      <c r="H2166" t="str">
        <f t="shared" si="35"/>
        <v>SOCIAL SECURITY TAXES</v>
      </c>
    </row>
    <row r="2167" spans="5:8" x14ac:dyDescent="0.25">
      <c r="E2167" t="str">
        <f>""</f>
        <v/>
      </c>
      <c r="F2167" t="str">
        <f>""</f>
        <v/>
      </c>
      <c r="G2167" s="3">
        <v>2401.87</v>
      </c>
      <c r="H2167" t="str">
        <f t="shared" si="35"/>
        <v>SOCIAL SECURITY TAXES</v>
      </c>
    </row>
    <row r="2168" spans="5:8" x14ac:dyDescent="0.25">
      <c r="E2168" t="str">
        <f>""</f>
        <v/>
      </c>
      <c r="F2168" t="str">
        <f>""</f>
        <v/>
      </c>
      <c r="G2168" s="3">
        <v>127.07</v>
      </c>
      <c r="H2168" t="str">
        <f t="shared" si="35"/>
        <v>SOCIAL SECURITY TAXES</v>
      </c>
    </row>
    <row r="2169" spans="5:8" x14ac:dyDescent="0.25">
      <c r="E2169" t="str">
        <f>""</f>
        <v/>
      </c>
      <c r="F2169" t="str">
        <f>""</f>
        <v/>
      </c>
      <c r="G2169" s="3">
        <v>140.62</v>
      </c>
      <c r="H2169" t="str">
        <f t="shared" si="35"/>
        <v>SOCIAL SECURITY TAXES</v>
      </c>
    </row>
    <row r="2170" spans="5:8" x14ac:dyDescent="0.25">
      <c r="E2170" t="str">
        <f>""</f>
        <v/>
      </c>
      <c r="F2170" t="str">
        <f>""</f>
        <v/>
      </c>
      <c r="G2170" s="3">
        <v>133.58000000000001</v>
      </c>
      <c r="H2170" t="str">
        <f t="shared" si="35"/>
        <v>SOCIAL SECURITY TAXES</v>
      </c>
    </row>
    <row r="2171" spans="5:8" x14ac:dyDescent="0.25">
      <c r="E2171" t="str">
        <f>""</f>
        <v/>
      </c>
      <c r="F2171" t="str">
        <f>""</f>
        <v/>
      </c>
      <c r="G2171" s="3">
        <v>129.66</v>
      </c>
      <c r="H2171" t="str">
        <f t="shared" si="35"/>
        <v>SOCIAL SECURITY TAXES</v>
      </c>
    </row>
    <row r="2172" spans="5:8" x14ac:dyDescent="0.25">
      <c r="E2172" t="str">
        <f>""</f>
        <v/>
      </c>
      <c r="F2172" t="str">
        <f>""</f>
        <v/>
      </c>
      <c r="G2172" s="3">
        <v>13677.48</v>
      </c>
      <c r="H2172" t="str">
        <f t="shared" si="35"/>
        <v>SOCIAL SECURITY TAXES</v>
      </c>
    </row>
    <row r="2173" spans="5:8" x14ac:dyDescent="0.25">
      <c r="E2173" t="str">
        <f>""</f>
        <v/>
      </c>
      <c r="F2173" t="str">
        <f>""</f>
        <v/>
      </c>
      <c r="G2173" s="3">
        <v>543.24</v>
      </c>
      <c r="H2173" t="str">
        <f t="shared" si="35"/>
        <v>SOCIAL SECURITY TAXES</v>
      </c>
    </row>
    <row r="2174" spans="5:8" x14ac:dyDescent="0.25">
      <c r="E2174" t="str">
        <f>""</f>
        <v/>
      </c>
      <c r="F2174" t="str">
        <f>""</f>
        <v/>
      </c>
      <c r="G2174" s="3">
        <v>10735.72</v>
      </c>
      <c r="H2174" t="str">
        <f t="shared" si="35"/>
        <v>SOCIAL SECURITY TAXES</v>
      </c>
    </row>
    <row r="2175" spans="5:8" x14ac:dyDescent="0.25">
      <c r="E2175" t="str">
        <f>""</f>
        <v/>
      </c>
      <c r="F2175" t="str">
        <f>""</f>
        <v/>
      </c>
      <c r="G2175" s="3">
        <v>1727.88</v>
      </c>
      <c r="H2175" t="str">
        <f t="shared" si="35"/>
        <v>SOCIAL SECURITY TAXES</v>
      </c>
    </row>
    <row r="2176" spans="5:8" x14ac:dyDescent="0.25">
      <c r="E2176" t="str">
        <f>""</f>
        <v/>
      </c>
      <c r="F2176" t="str">
        <f>""</f>
        <v/>
      </c>
      <c r="G2176" s="3">
        <v>123.63</v>
      </c>
      <c r="H2176" t="str">
        <f t="shared" ref="H2176:H2198" si="36">"SOCIAL SECURITY TAXES"</f>
        <v>SOCIAL SECURITY TAXES</v>
      </c>
    </row>
    <row r="2177" spans="5:8" x14ac:dyDescent="0.25">
      <c r="E2177" t="str">
        <f>""</f>
        <v/>
      </c>
      <c r="F2177" t="str">
        <f>""</f>
        <v/>
      </c>
      <c r="G2177" s="3">
        <v>510.91</v>
      </c>
      <c r="H2177" t="str">
        <f t="shared" si="36"/>
        <v>SOCIAL SECURITY TAXES</v>
      </c>
    </row>
    <row r="2178" spans="5:8" x14ac:dyDescent="0.25">
      <c r="E2178" t="str">
        <f>""</f>
        <v/>
      </c>
      <c r="F2178" t="str">
        <f>""</f>
        <v/>
      </c>
      <c r="G2178" s="3">
        <v>34.619999999999997</v>
      </c>
      <c r="H2178" t="str">
        <f t="shared" si="36"/>
        <v>SOCIAL SECURITY TAXES</v>
      </c>
    </row>
    <row r="2179" spans="5:8" x14ac:dyDescent="0.25">
      <c r="E2179" t="str">
        <f>""</f>
        <v/>
      </c>
      <c r="F2179" t="str">
        <f>""</f>
        <v/>
      </c>
      <c r="G2179" s="3">
        <v>247.18</v>
      </c>
      <c r="H2179" t="str">
        <f t="shared" si="36"/>
        <v>SOCIAL SECURITY TAXES</v>
      </c>
    </row>
    <row r="2180" spans="5:8" x14ac:dyDescent="0.25">
      <c r="E2180" t="str">
        <f>""</f>
        <v/>
      </c>
      <c r="F2180" t="str">
        <f>""</f>
        <v/>
      </c>
      <c r="G2180" s="3">
        <v>118.44</v>
      </c>
      <c r="H2180" t="str">
        <f t="shared" si="36"/>
        <v>SOCIAL SECURITY TAXES</v>
      </c>
    </row>
    <row r="2181" spans="5:8" x14ac:dyDescent="0.25">
      <c r="E2181" t="str">
        <f>""</f>
        <v/>
      </c>
      <c r="F2181" t="str">
        <f>""</f>
        <v/>
      </c>
      <c r="G2181" s="3">
        <v>490.96</v>
      </c>
      <c r="H2181" t="str">
        <f t="shared" si="36"/>
        <v>SOCIAL SECURITY TAXES</v>
      </c>
    </row>
    <row r="2182" spans="5:8" x14ac:dyDescent="0.25">
      <c r="E2182" t="str">
        <f>""</f>
        <v/>
      </c>
      <c r="F2182" t="str">
        <f>""</f>
        <v/>
      </c>
      <c r="G2182" s="3">
        <v>306.87</v>
      </c>
      <c r="H2182" t="str">
        <f t="shared" si="36"/>
        <v>SOCIAL SECURITY TAXES</v>
      </c>
    </row>
    <row r="2183" spans="5:8" x14ac:dyDescent="0.25">
      <c r="E2183" t="str">
        <f>""</f>
        <v/>
      </c>
      <c r="F2183" t="str">
        <f>""</f>
        <v/>
      </c>
      <c r="G2183" s="3">
        <v>111.44</v>
      </c>
      <c r="H2183" t="str">
        <f t="shared" si="36"/>
        <v>SOCIAL SECURITY TAXES</v>
      </c>
    </row>
    <row r="2184" spans="5:8" x14ac:dyDescent="0.25">
      <c r="E2184" t="str">
        <f>""</f>
        <v/>
      </c>
      <c r="F2184" t="str">
        <f>""</f>
        <v/>
      </c>
      <c r="G2184" s="3">
        <v>1463.33</v>
      </c>
      <c r="H2184" t="str">
        <f t="shared" si="36"/>
        <v>SOCIAL SECURITY TAXES</v>
      </c>
    </row>
    <row r="2185" spans="5:8" x14ac:dyDescent="0.25">
      <c r="E2185" t="str">
        <f>""</f>
        <v/>
      </c>
      <c r="F2185" t="str">
        <f>""</f>
        <v/>
      </c>
      <c r="G2185" s="3">
        <v>1607.18</v>
      </c>
      <c r="H2185" t="str">
        <f t="shared" si="36"/>
        <v>SOCIAL SECURITY TAXES</v>
      </c>
    </row>
    <row r="2186" spans="5:8" x14ac:dyDescent="0.25">
      <c r="E2186" t="str">
        <f>""</f>
        <v/>
      </c>
      <c r="F2186" t="str">
        <f>""</f>
        <v/>
      </c>
      <c r="G2186" s="3">
        <v>1649.04</v>
      </c>
      <c r="H2186" t="str">
        <f t="shared" si="36"/>
        <v>SOCIAL SECURITY TAXES</v>
      </c>
    </row>
    <row r="2187" spans="5:8" x14ac:dyDescent="0.25">
      <c r="E2187" t="str">
        <f>""</f>
        <v/>
      </c>
      <c r="F2187" t="str">
        <f>""</f>
        <v/>
      </c>
      <c r="G2187" s="3">
        <v>1808.81</v>
      </c>
      <c r="H2187" t="str">
        <f t="shared" si="36"/>
        <v>SOCIAL SECURITY TAXES</v>
      </c>
    </row>
    <row r="2188" spans="5:8" x14ac:dyDescent="0.25">
      <c r="E2188" t="str">
        <f>""</f>
        <v/>
      </c>
      <c r="F2188" t="str">
        <f>""</f>
        <v/>
      </c>
      <c r="G2188" s="3">
        <v>232.98</v>
      </c>
      <c r="H2188" t="str">
        <f t="shared" si="36"/>
        <v>SOCIAL SECURITY TAXES</v>
      </c>
    </row>
    <row r="2189" spans="5:8" x14ac:dyDescent="0.25">
      <c r="E2189" t="str">
        <f>""</f>
        <v/>
      </c>
      <c r="F2189" t="str">
        <f>""</f>
        <v/>
      </c>
      <c r="G2189" s="3">
        <v>14.9</v>
      </c>
      <c r="H2189" t="str">
        <f t="shared" si="36"/>
        <v>SOCIAL SECURITY TAXES</v>
      </c>
    </row>
    <row r="2190" spans="5:8" x14ac:dyDescent="0.25">
      <c r="E2190" t="str">
        <f>""</f>
        <v/>
      </c>
      <c r="F2190" t="str">
        <f>""</f>
        <v/>
      </c>
      <c r="G2190" s="3">
        <v>7.16</v>
      </c>
      <c r="H2190" t="str">
        <f t="shared" si="36"/>
        <v>SOCIAL SECURITY TAXES</v>
      </c>
    </row>
    <row r="2191" spans="5:8" x14ac:dyDescent="0.25">
      <c r="E2191" t="str">
        <f>""</f>
        <v/>
      </c>
      <c r="F2191" t="str">
        <f>""</f>
        <v/>
      </c>
      <c r="G2191" s="3">
        <v>15.03</v>
      </c>
      <c r="H2191" t="str">
        <f t="shared" si="36"/>
        <v>SOCIAL SECURITY TAXES</v>
      </c>
    </row>
    <row r="2192" spans="5:8" x14ac:dyDescent="0.25">
      <c r="E2192" t="str">
        <f>""</f>
        <v/>
      </c>
      <c r="F2192" t="str">
        <f>""</f>
        <v/>
      </c>
      <c r="G2192" s="3">
        <v>20.71</v>
      </c>
      <c r="H2192" t="str">
        <f t="shared" si="36"/>
        <v>SOCIAL SECURITY TAXES</v>
      </c>
    </row>
    <row r="2193" spans="5:8" x14ac:dyDescent="0.25">
      <c r="E2193" t="str">
        <f>""</f>
        <v/>
      </c>
      <c r="F2193" t="str">
        <f>""</f>
        <v/>
      </c>
      <c r="G2193" s="3">
        <v>261.33</v>
      </c>
      <c r="H2193" t="str">
        <f t="shared" si="36"/>
        <v>SOCIAL SECURITY TAXES</v>
      </c>
    </row>
    <row r="2194" spans="5:8" x14ac:dyDescent="0.25">
      <c r="E2194" t="str">
        <f>""</f>
        <v/>
      </c>
      <c r="F2194" t="str">
        <f>""</f>
        <v/>
      </c>
      <c r="G2194" s="3">
        <v>59335.27</v>
      </c>
      <c r="H2194" t="str">
        <f t="shared" si="36"/>
        <v>SOCIAL SECURITY TAXES</v>
      </c>
    </row>
    <row r="2195" spans="5:8" x14ac:dyDescent="0.25">
      <c r="E2195" t="str">
        <f>"T3 202111227342"</f>
        <v>T3 202111227342</v>
      </c>
      <c r="F2195" t="str">
        <f>"SOCIAL SECURITY TAXES"</f>
        <v>SOCIAL SECURITY TAXES</v>
      </c>
      <c r="G2195" s="3">
        <v>2027.05</v>
      </c>
      <c r="H2195" t="str">
        <f t="shared" si="36"/>
        <v>SOCIAL SECURITY TAXES</v>
      </c>
    </row>
    <row r="2196" spans="5:8" x14ac:dyDescent="0.25">
      <c r="E2196" t="str">
        <f>""</f>
        <v/>
      </c>
      <c r="F2196" t="str">
        <f>""</f>
        <v/>
      </c>
      <c r="G2196" s="3">
        <v>2027.05</v>
      </c>
      <c r="H2196" t="str">
        <f t="shared" si="36"/>
        <v>SOCIAL SECURITY TAXES</v>
      </c>
    </row>
    <row r="2197" spans="5:8" x14ac:dyDescent="0.25">
      <c r="E2197" t="str">
        <f>"T3 202111227343"</f>
        <v>T3 202111227343</v>
      </c>
      <c r="F2197" t="str">
        <f>"SOCIAL SECURITY TAXES"</f>
        <v>SOCIAL SECURITY TAXES</v>
      </c>
      <c r="G2197" s="3">
        <v>2268.9299999999998</v>
      </c>
      <c r="H2197" t="str">
        <f t="shared" si="36"/>
        <v>SOCIAL SECURITY TAXES</v>
      </c>
    </row>
    <row r="2198" spans="5:8" x14ac:dyDescent="0.25">
      <c r="E2198" t="str">
        <f>""</f>
        <v/>
      </c>
      <c r="F2198" t="str">
        <f>""</f>
        <v/>
      </c>
      <c r="G2198" s="3">
        <v>2268.9299999999998</v>
      </c>
      <c r="H2198" t="str">
        <f t="shared" si="36"/>
        <v>SOCIAL SECURITY TAXES</v>
      </c>
    </row>
    <row r="2199" spans="5:8" x14ac:dyDescent="0.25">
      <c r="E2199" t="str">
        <f>"T4 202111227341"</f>
        <v>T4 202111227341</v>
      </c>
      <c r="F2199" t="str">
        <f>"MEDICARE TAXES"</f>
        <v>MEDICARE TAXES</v>
      </c>
      <c r="G2199" s="3">
        <v>124.24</v>
      </c>
      <c r="H2199" t="str">
        <f t="shared" ref="H2199:H2230" si="37">"MEDICARE TAXES"</f>
        <v>MEDICARE TAXES</v>
      </c>
    </row>
    <row r="2200" spans="5:8" x14ac:dyDescent="0.25">
      <c r="E2200" t="str">
        <f>""</f>
        <v/>
      </c>
      <c r="F2200" t="str">
        <f>""</f>
        <v/>
      </c>
      <c r="G2200" s="3">
        <v>90.19</v>
      </c>
      <c r="H2200" t="str">
        <f t="shared" si="37"/>
        <v>MEDICARE TAXES</v>
      </c>
    </row>
    <row r="2201" spans="5:8" x14ac:dyDescent="0.25">
      <c r="E2201" t="str">
        <f>""</f>
        <v/>
      </c>
      <c r="F2201" t="str">
        <f>""</f>
        <v/>
      </c>
      <c r="G2201" s="3">
        <v>230.36</v>
      </c>
      <c r="H2201" t="str">
        <f t="shared" si="37"/>
        <v>MEDICARE TAXES</v>
      </c>
    </row>
    <row r="2202" spans="5:8" x14ac:dyDescent="0.25">
      <c r="E2202" t="str">
        <f>""</f>
        <v/>
      </c>
      <c r="F2202" t="str">
        <f>""</f>
        <v/>
      </c>
      <c r="G2202" s="3">
        <v>96.66</v>
      </c>
      <c r="H2202" t="str">
        <f t="shared" si="37"/>
        <v>MEDICARE TAXES</v>
      </c>
    </row>
    <row r="2203" spans="5:8" x14ac:dyDescent="0.25">
      <c r="E2203" t="str">
        <f>""</f>
        <v/>
      </c>
      <c r="F2203" t="str">
        <f>""</f>
        <v/>
      </c>
      <c r="G2203" s="3">
        <v>10.95</v>
      </c>
      <c r="H2203" t="str">
        <f t="shared" si="37"/>
        <v>MEDICARE TAXES</v>
      </c>
    </row>
    <row r="2204" spans="5:8" x14ac:dyDescent="0.25">
      <c r="E2204" t="str">
        <f>""</f>
        <v/>
      </c>
      <c r="F2204" t="str">
        <f>""</f>
        <v/>
      </c>
      <c r="G2204" s="3">
        <v>193.77</v>
      </c>
      <c r="H2204" t="str">
        <f t="shared" si="37"/>
        <v>MEDICARE TAXES</v>
      </c>
    </row>
    <row r="2205" spans="5:8" x14ac:dyDescent="0.25">
      <c r="E2205" t="str">
        <f>""</f>
        <v/>
      </c>
      <c r="F2205" t="str">
        <f>""</f>
        <v/>
      </c>
      <c r="G2205" s="3">
        <v>582.92999999999995</v>
      </c>
      <c r="H2205" t="str">
        <f t="shared" si="37"/>
        <v>MEDICARE TAXES</v>
      </c>
    </row>
    <row r="2206" spans="5:8" x14ac:dyDescent="0.25">
      <c r="E2206" t="str">
        <f>""</f>
        <v/>
      </c>
      <c r="F2206" t="str">
        <f>""</f>
        <v/>
      </c>
      <c r="G2206" s="3">
        <v>225.21</v>
      </c>
      <c r="H2206" t="str">
        <f t="shared" si="37"/>
        <v>MEDICARE TAXES</v>
      </c>
    </row>
    <row r="2207" spans="5:8" x14ac:dyDescent="0.25">
      <c r="E2207" t="str">
        <f>""</f>
        <v/>
      </c>
      <c r="F2207" t="str">
        <f>""</f>
        <v/>
      </c>
      <c r="G2207" s="3">
        <v>199.62</v>
      </c>
      <c r="H2207" t="str">
        <f t="shared" si="37"/>
        <v>MEDICARE TAXES</v>
      </c>
    </row>
    <row r="2208" spans="5:8" x14ac:dyDescent="0.25">
      <c r="E2208" t="str">
        <f>""</f>
        <v/>
      </c>
      <c r="F2208" t="str">
        <f>""</f>
        <v/>
      </c>
      <c r="G2208" s="3">
        <v>355.83</v>
      </c>
      <c r="H2208" t="str">
        <f t="shared" si="37"/>
        <v>MEDICARE TAXES</v>
      </c>
    </row>
    <row r="2209" spans="5:8" x14ac:dyDescent="0.25">
      <c r="E2209" t="str">
        <f>""</f>
        <v/>
      </c>
      <c r="F2209" t="str">
        <f>""</f>
        <v/>
      </c>
      <c r="G2209" s="3">
        <v>106.44</v>
      </c>
      <c r="H2209" t="str">
        <f t="shared" si="37"/>
        <v>MEDICARE TAXES</v>
      </c>
    </row>
    <row r="2210" spans="5:8" x14ac:dyDescent="0.25">
      <c r="E2210" t="str">
        <f>""</f>
        <v/>
      </c>
      <c r="F2210" t="str">
        <f>""</f>
        <v/>
      </c>
      <c r="G2210" s="3">
        <v>109.8</v>
      </c>
      <c r="H2210" t="str">
        <f t="shared" si="37"/>
        <v>MEDICARE TAXES</v>
      </c>
    </row>
    <row r="2211" spans="5:8" x14ac:dyDescent="0.25">
      <c r="E2211" t="str">
        <f>""</f>
        <v/>
      </c>
      <c r="F2211" t="str">
        <f>""</f>
        <v/>
      </c>
      <c r="G2211" s="3">
        <v>91.72</v>
      </c>
      <c r="H2211" t="str">
        <f t="shared" si="37"/>
        <v>MEDICARE TAXES</v>
      </c>
    </row>
    <row r="2212" spans="5:8" x14ac:dyDescent="0.25">
      <c r="E2212" t="str">
        <f>""</f>
        <v/>
      </c>
      <c r="F2212" t="str">
        <f>""</f>
        <v/>
      </c>
      <c r="G2212" s="3">
        <v>95.67</v>
      </c>
      <c r="H2212" t="str">
        <f t="shared" si="37"/>
        <v>MEDICARE TAXES</v>
      </c>
    </row>
    <row r="2213" spans="5:8" x14ac:dyDescent="0.25">
      <c r="E2213" t="str">
        <f>""</f>
        <v/>
      </c>
      <c r="F2213" t="str">
        <f>""</f>
        <v/>
      </c>
      <c r="G2213" s="3">
        <v>62.35</v>
      </c>
      <c r="H2213" t="str">
        <f t="shared" si="37"/>
        <v>MEDICARE TAXES</v>
      </c>
    </row>
    <row r="2214" spans="5:8" x14ac:dyDescent="0.25">
      <c r="E2214" t="str">
        <f>""</f>
        <v/>
      </c>
      <c r="F2214" t="str">
        <f>""</f>
        <v/>
      </c>
      <c r="G2214" s="3">
        <v>630.91</v>
      </c>
      <c r="H2214" t="str">
        <f t="shared" si="37"/>
        <v>MEDICARE TAXES</v>
      </c>
    </row>
    <row r="2215" spans="5:8" x14ac:dyDescent="0.25">
      <c r="E2215" t="str">
        <f>""</f>
        <v/>
      </c>
      <c r="F2215" t="str">
        <f>""</f>
        <v/>
      </c>
      <c r="G2215" s="3">
        <v>265.31</v>
      </c>
      <c r="H2215" t="str">
        <f t="shared" si="37"/>
        <v>MEDICARE TAXES</v>
      </c>
    </row>
    <row r="2216" spans="5:8" x14ac:dyDescent="0.25">
      <c r="E2216" t="str">
        <f>""</f>
        <v/>
      </c>
      <c r="F2216" t="str">
        <f>""</f>
        <v/>
      </c>
      <c r="G2216" s="3">
        <v>116.29</v>
      </c>
      <c r="H2216" t="str">
        <f t="shared" si="37"/>
        <v>MEDICARE TAXES</v>
      </c>
    </row>
    <row r="2217" spans="5:8" x14ac:dyDescent="0.25">
      <c r="E2217" t="str">
        <f>""</f>
        <v/>
      </c>
      <c r="F2217" t="str">
        <f>""</f>
        <v/>
      </c>
      <c r="G2217" s="3">
        <v>113.48</v>
      </c>
      <c r="H2217" t="str">
        <f t="shared" si="37"/>
        <v>MEDICARE TAXES</v>
      </c>
    </row>
    <row r="2218" spans="5:8" x14ac:dyDescent="0.25">
      <c r="E2218" t="str">
        <f>""</f>
        <v/>
      </c>
      <c r="F2218" t="str">
        <f>""</f>
        <v/>
      </c>
      <c r="G2218" s="3">
        <v>353.34</v>
      </c>
      <c r="H2218" t="str">
        <f t="shared" si="37"/>
        <v>MEDICARE TAXES</v>
      </c>
    </row>
    <row r="2219" spans="5:8" x14ac:dyDescent="0.25">
      <c r="E2219" t="str">
        <f>""</f>
        <v/>
      </c>
      <c r="F2219" t="str">
        <f>""</f>
        <v/>
      </c>
      <c r="G2219" s="3">
        <v>170.66</v>
      </c>
      <c r="H2219" t="str">
        <f t="shared" si="37"/>
        <v>MEDICARE TAXES</v>
      </c>
    </row>
    <row r="2220" spans="5:8" x14ac:dyDescent="0.25">
      <c r="E2220" t="str">
        <f>""</f>
        <v/>
      </c>
      <c r="F2220" t="str">
        <f>""</f>
        <v/>
      </c>
      <c r="G2220" s="3">
        <v>423.97</v>
      </c>
      <c r="H2220" t="str">
        <f t="shared" si="37"/>
        <v>MEDICARE TAXES</v>
      </c>
    </row>
    <row r="2221" spans="5:8" x14ac:dyDescent="0.25">
      <c r="E2221" t="str">
        <f>""</f>
        <v/>
      </c>
      <c r="F2221" t="str">
        <f>""</f>
        <v/>
      </c>
      <c r="G2221" s="3">
        <v>288.42</v>
      </c>
      <c r="H2221" t="str">
        <f t="shared" si="37"/>
        <v>MEDICARE TAXES</v>
      </c>
    </row>
    <row r="2222" spans="5:8" x14ac:dyDescent="0.25">
      <c r="E2222" t="str">
        <f>""</f>
        <v/>
      </c>
      <c r="F2222" t="str">
        <f>""</f>
        <v/>
      </c>
      <c r="G2222" s="3">
        <v>561.72</v>
      </c>
      <c r="H2222" t="str">
        <f t="shared" si="37"/>
        <v>MEDICARE TAXES</v>
      </c>
    </row>
    <row r="2223" spans="5:8" x14ac:dyDescent="0.25">
      <c r="E2223" t="str">
        <f>""</f>
        <v/>
      </c>
      <c r="F2223" t="str">
        <f>""</f>
        <v/>
      </c>
      <c r="G2223" s="3">
        <v>29.72</v>
      </c>
      <c r="H2223" t="str">
        <f t="shared" si="37"/>
        <v>MEDICARE TAXES</v>
      </c>
    </row>
    <row r="2224" spans="5:8" x14ac:dyDescent="0.25">
      <c r="E2224" t="str">
        <f>""</f>
        <v/>
      </c>
      <c r="F2224" t="str">
        <f>""</f>
        <v/>
      </c>
      <c r="G2224" s="3">
        <v>32.89</v>
      </c>
      <c r="H2224" t="str">
        <f t="shared" si="37"/>
        <v>MEDICARE TAXES</v>
      </c>
    </row>
    <row r="2225" spans="5:8" x14ac:dyDescent="0.25">
      <c r="E2225" t="str">
        <f>""</f>
        <v/>
      </c>
      <c r="F2225" t="str">
        <f>""</f>
        <v/>
      </c>
      <c r="G2225" s="3">
        <v>31.24</v>
      </c>
      <c r="H2225" t="str">
        <f t="shared" si="37"/>
        <v>MEDICARE TAXES</v>
      </c>
    </row>
    <row r="2226" spans="5:8" x14ac:dyDescent="0.25">
      <c r="E2226" t="str">
        <f>""</f>
        <v/>
      </c>
      <c r="F2226" t="str">
        <f>""</f>
        <v/>
      </c>
      <c r="G2226" s="3">
        <v>30.32</v>
      </c>
      <c r="H2226" t="str">
        <f t="shared" si="37"/>
        <v>MEDICARE TAXES</v>
      </c>
    </row>
    <row r="2227" spans="5:8" x14ac:dyDescent="0.25">
      <c r="E2227" t="str">
        <f>""</f>
        <v/>
      </c>
      <c r="F2227" t="str">
        <f>""</f>
        <v/>
      </c>
      <c r="G2227" s="3">
        <v>3198.74</v>
      </c>
      <c r="H2227" t="str">
        <f t="shared" si="37"/>
        <v>MEDICARE TAXES</v>
      </c>
    </row>
    <row r="2228" spans="5:8" x14ac:dyDescent="0.25">
      <c r="E2228" t="str">
        <f>""</f>
        <v/>
      </c>
      <c r="F2228" t="str">
        <f>""</f>
        <v/>
      </c>
      <c r="G2228" s="3">
        <v>127.04</v>
      </c>
      <c r="H2228" t="str">
        <f t="shared" si="37"/>
        <v>MEDICARE TAXES</v>
      </c>
    </row>
    <row r="2229" spans="5:8" x14ac:dyDescent="0.25">
      <c r="E2229" t="str">
        <f>""</f>
        <v/>
      </c>
      <c r="F2229" t="str">
        <f>""</f>
        <v/>
      </c>
      <c r="G2229" s="3">
        <v>2510.9</v>
      </c>
      <c r="H2229" t="str">
        <f t="shared" si="37"/>
        <v>MEDICARE TAXES</v>
      </c>
    </row>
    <row r="2230" spans="5:8" x14ac:dyDescent="0.25">
      <c r="E2230" t="str">
        <f>""</f>
        <v/>
      </c>
      <c r="F2230" t="str">
        <f>""</f>
        <v/>
      </c>
      <c r="G2230" s="3">
        <v>404.11</v>
      </c>
      <c r="H2230" t="str">
        <f t="shared" si="37"/>
        <v>MEDICARE TAXES</v>
      </c>
    </row>
    <row r="2231" spans="5:8" x14ac:dyDescent="0.25">
      <c r="E2231" t="str">
        <f>""</f>
        <v/>
      </c>
      <c r="F2231" t="str">
        <f>""</f>
        <v/>
      </c>
      <c r="G2231" s="3">
        <v>28.91</v>
      </c>
      <c r="H2231" t="str">
        <f t="shared" ref="H2231:H2253" si="38">"MEDICARE TAXES"</f>
        <v>MEDICARE TAXES</v>
      </c>
    </row>
    <row r="2232" spans="5:8" x14ac:dyDescent="0.25">
      <c r="E2232" t="str">
        <f>""</f>
        <v/>
      </c>
      <c r="F2232" t="str">
        <f>""</f>
        <v/>
      </c>
      <c r="G2232" s="3">
        <v>119.48</v>
      </c>
      <c r="H2232" t="str">
        <f t="shared" si="38"/>
        <v>MEDICARE TAXES</v>
      </c>
    </row>
    <row r="2233" spans="5:8" x14ac:dyDescent="0.25">
      <c r="E2233" t="str">
        <f>""</f>
        <v/>
      </c>
      <c r="F2233" t="str">
        <f>""</f>
        <v/>
      </c>
      <c r="G2233" s="3">
        <v>8.09</v>
      </c>
      <c r="H2233" t="str">
        <f t="shared" si="38"/>
        <v>MEDICARE TAXES</v>
      </c>
    </row>
    <row r="2234" spans="5:8" x14ac:dyDescent="0.25">
      <c r="E2234" t="str">
        <f>""</f>
        <v/>
      </c>
      <c r="F2234" t="str">
        <f>""</f>
        <v/>
      </c>
      <c r="G2234" s="3">
        <v>57.81</v>
      </c>
      <c r="H2234" t="str">
        <f t="shared" si="38"/>
        <v>MEDICARE TAXES</v>
      </c>
    </row>
    <row r="2235" spans="5:8" x14ac:dyDescent="0.25">
      <c r="E2235" t="str">
        <f>""</f>
        <v/>
      </c>
      <c r="F2235" t="str">
        <f>""</f>
        <v/>
      </c>
      <c r="G2235" s="3">
        <v>27.7</v>
      </c>
      <c r="H2235" t="str">
        <f t="shared" si="38"/>
        <v>MEDICARE TAXES</v>
      </c>
    </row>
    <row r="2236" spans="5:8" x14ac:dyDescent="0.25">
      <c r="E2236" t="str">
        <f>""</f>
        <v/>
      </c>
      <c r="F2236" t="str">
        <f>""</f>
        <v/>
      </c>
      <c r="G2236" s="3">
        <v>114.82</v>
      </c>
      <c r="H2236" t="str">
        <f t="shared" si="38"/>
        <v>MEDICARE TAXES</v>
      </c>
    </row>
    <row r="2237" spans="5:8" x14ac:dyDescent="0.25">
      <c r="E2237" t="str">
        <f>""</f>
        <v/>
      </c>
      <c r="F2237" t="str">
        <f>""</f>
        <v/>
      </c>
      <c r="G2237" s="3">
        <v>71.77</v>
      </c>
      <c r="H2237" t="str">
        <f t="shared" si="38"/>
        <v>MEDICARE TAXES</v>
      </c>
    </row>
    <row r="2238" spans="5:8" x14ac:dyDescent="0.25">
      <c r="E2238" t="str">
        <f>""</f>
        <v/>
      </c>
      <c r="F2238" t="str">
        <f>""</f>
        <v/>
      </c>
      <c r="G2238" s="3">
        <v>26.07</v>
      </c>
      <c r="H2238" t="str">
        <f t="shared" si="38"/>
        <v>MEDICARE TAXES</v>
      </c>
    </row>
    <row r="2239" spans="5:8" x14ac:dyDescent="0.25">
      <c r="E2239" t="str">
        <f>""</f>
        <v/>
      </c>
      <c r="F2239" t="str">
        <f>""</f>
        <v/>
      </c>
      <c r="G2239" s="3">
        <v>342.23</v>
      </c>
      <c r="H2239" t="str">
        <f t="shared" si="38"/>
        <v>MEDICARE TAXES</v>
      </c>
    </row>
    <row r="2240" spans="5:8" x14ac:dyDescent="0.25">
      <c r="E2240" t="str">
        <f>""</f>
        <v/>
      </c>
      <c r="F2240" t="str">
        <f>""</f>
        <v/>
      </c>
      <c r="G2240" s="3">
        <v>375.88</v>
      </c>
      <c r="H2240" t="str">
        <f t="shared" si="38"/>
        <v>MEDICARE TAXES</v>
      </c>
    </row>
    <row r="2241" spans="1:8" x14ac:dyDescent="0.25">
      <c r="E2241" t="str">
        <f>""</f>
        <v/>
      </c>
      <c r="F2241" t="str">
        <f>""</f>
        <v/>
      </c>
      <c r="G2241" s="3">
        <v>385.65</v>
      </c>
      <c r="H2241" t="str">
        <f t="shared" si="38"/>
        <v>MEDICARE TAXES</v>
      </c>
    </row>
    <row r="2242" spans="1:8" x14ac:dyDescent="0.25">
      <c r="E2242" t="str">
        <f>""</f>
        <v/>
      </c>
      <c r="F2242" t="str">
        <f>""</f>
        <v/>
      </c>
      <c r="G2242" s="3">
        <v>423.02</v>
      </c>
      <c r="H2242" t="str">
        <f t="shared" si="38"/>
        <v>MEDICARE TAXES</v>
      </c>
    </row>
    <row r="2243" spans="1:8" x14ac:dyDescent="0.25">
      <c r="E2243" t="str">
        <f>""</f>
        <v/>
      </c>
      <c r="F2243" t="str">
        <f>""</f>
        <v/>
      </c>
      <c r="G2243" s="3">
        <v>54.5</v>
      </c>
      <c r="H2243" t="str">
        <f t="shared" si="38"/>
        <v>MEDICARE TAXES</v>
      </c>
    </row>
    <row r="2244" spans="1:8" x14ac:dyDescent="0.25">
      <c r="E2244" t="str">
        <f>""</f>
        <v/>
      </c>
      <c r="F2244" t="str">
        <f>""</f>
        <v/>
      </c>
      <c r="G2244" s="3">
        <v>3.48</v>
      </c>
      <c r="H2244" t="str">
        <f t="shared" si="38"/>
        <v>MEDICARE TAXES</v>
      </c>
    </row>
    <row r="2245" spans="1:8" x14ac:dyDescent="0.25">
      <c r="E2245" t="str">
        <f>""</f>
        <v/>
      </c>
      <c r="F2245" t="str">
        <f>""</f>
        <v/>
      </c>
      <c r="G2245" s="3">
        <v>1.67</v>
      </c>
      <c r="H2245" t="str">
        <f t="shared" si="38"/>
        <v>MEDICARE TAXES</v>
      </c>
    </row>
    <row r="2246" spans="1:8" x14ac:dyDescent="0.25">
      <c r="E2246" t="str">
        <f>""</f>
        <v/>
      </c>
      <c r="F2246" t="str">
        <f>""</f>
        <v/>
      </c>
      <c r="G2246" s="3">
        <v>3.52</v>
      </c>
      <c r="H2246" t="str">
        <f t="shared" si="38"/>
        <v>MEDICARE TAXES</v>
      </c>
    </row>
    <row r="2247" spans="1:8" x14ac:dyDescent="0.25">
      <c r="E2247" t="str">
        <f>""</f>
        <v/>
      </c>
      <c r="F2247" t="str">
        <f>""</f>
        <v/>
      </c>
      <c r="G2247" s="3">
        <v>4.84</v>
      </c>
      <c r="H2247" t="str">
        <f t="shared" si="38"/>
        <v>MEDICARE TAXES</v>
      </c>
    </row>
    <row r="2248" spans="1:8" x14ac:dyDescent="0.25">
      <c r="E2248" t="str">
        <f>""</f>
        <v/>
      </c>
      <c r="F2248" t="str">
        <f>""</f>
        <v/>
      </c>
      <c r="G2248" s="3">
        <v>88.31</v>
      </c>
      <c r="H2248" t="str">
        <f t="shared" si="38"/>
        <v>MEDICARE TAXES</v>
      </c>
    </row>
    <row r="2249" spans="1:8" x14ac:dyDescent="0.25">
      <c r="E2249" t="str">
        <f>""</f>
        <v/>
      </c>
      <c r="F2249" t="str">
        <f>""</f>
        <v/>
      </c>
      <c r="G2249" s="3">
        <v>14002.55</v>
      </c>
      <c r="H2249" t="str">
        <f t="shared" si="38"/>
        <v>MEDICARE TAXES</v>
      </c>
    </row>
    <row r="2250" spans="1:8" x14ac:dyDescent="0.25">
      <c r="E2250" t="str">
        <f>"T4 202111227342"</f>
        <v>T4 202111227342</v>
      </c>
      <c r="F2250" t="str">
        <f>"MEDICARE TAXES"</f>
        <v>MEDICARE TAXES</v>
      </c>
      <c r="G2250" s="3">
        <v>474.06</v>
      </c>
      <c r="H2250" t="str">
        <f t="shared" si="38"/>
        <v>MEDICARE TAXES</v>
      </c>
    </row>
    <row r="2251" spans="1:8" x14ac:dyDescent="0.25">
      <c r="E2251" t="str">
        <f>""</f>
        <v/>
      </c>
      <c r="F2251" t="str">
        <f>""</f>
        <v/>
      </c>
      <c r="G2251" s="3">
        <v>474.06</v>
      </c>
      <c r="H2251" t="str">
        <f t="shared" si="38"/>
        <v>MEDICARE TAXES</v>
      </c>
    </row>
    <row r="2252" spans="1:8" x14ac:dyDescent="0.25">
      <c r="E2252" t="str">
        <f>"T4 202111227343"</f>
        <v>T4 202111227343</v>
      </c>
      <c r="F2252" t="str">
        <f>"MEDICARE TAXES"</f>
        <v>MEDICARE TAXES</v>
      </c>
      <c r="G2252" s="3">
        <v>530.65</v>
      </c>
      <c r="H2252" t="str">
        <f t="shared" si="38"/>
        <v>MEDICARE TAXES</v>
      </c>
    </row>
    <row r="2253" spans="1:8" x14ac:dyDescent="0.25">
      <c r="E2253" t="str">
        <f>""</f>
        <v/>
      </c>
      <c r="F2253" t="str">
        <f>""</f>
        <v/>
      </c>
      <c r="G2253" s="3">
        <v>530.65</v>
      </c>
      <c r="H2253" t="str">
        <f t="shared" si="38"/>
        <v>MEDICARE TAXES</v>
      </c>
    </row>
    <row r="2254" spans="1:8" x14ac:dyDescent="0.25">
      <c r="A2254" t="s">
        <v>621</v>
      </c>
      <c r="B2254">
        <v>1472</v>
      </c>
      <c r="C2254" s="3">
        <v>425.32</v>
      </c>
      <c r="D2254" s="6">
        <v>44529</v>
      </c>
      <c r="E2254" t="str">
        <f>"LIX202111097073"</f>
        <v>LIX202111097073</v>
      </c>
      <c r="F2254" t="str">
        <f>"TEXAS LIFE/OLIVO GROUP"</f>
        <v>TEXAS LIFE/OLIVO GROUP</v>
      </c>
      <c r="G2254" s="3">
        <v>212.66</v>
      </c>
      <c r="H2254" t="str">
        <f>"TEXAS LIFE/OLIVO GROUP"</f>
        <v>TEXAS LIFE/OLIVO GROUP</v>
      </c>
    </row>
    <row r="2255" spans="1:8" x14ac:dyDescent="0.25">
      <c r="E2255" t="str">
        <f>"LIX202111227341"</f>
        <v>LIX202111227341</v>
      </c>
      <c r="F2255" t="str">
        <f>"TEXAS LIFE/OLIVO GROUP"</f>
        <v>TEXAS LIFE/OLIVO GROUP</v>
      </c>
      <c r="G2255" s="3">
        <v>212.66</v>
      </c>
      <c r="H2255" t="str">
        <f>"TEXAS LIFE/OLIVO GROUP"</f>
        <v>TEXAS LIFE/OLIVO GROUP</v>
      </c>
    </row>
    <row r="2256" spans="1:8" x14ac:dyDescent="0.25">
      <c r="A2256" t="s">
        <v>622</v>
      </c>
      <c r="B2256">
        <v>48536</v>
      </c>
      <c r="C2256" s="3">
        <v>100</v>
      </c>
      <c r="D2256" s="6">
        <v>44529</v>
      </c>
      <c r="E2256" t="str">
        <f>"202111297424"</f>
        <v>202111297424</v>
      </c>
      <c r="F2256" t="str">
        <f>"ADJ - NOVEMBER 2021"</f>
        <v>ADJ - NOVEMBER 2021</v>
      </c>
      <c r="G2256" s="3">
        <v>-125</v>
      </c>
      <c r="H2256" t="str">
        <f>"ADJ - NOVEMBER 2021"</f>
        <v>ADJ - NOVEMBER 2021</v>
      </c>
    </row>
    <row r="2257" spans="1:8" x14ac:dyDescent="0.25">
      <c r="E2257" t="str">
        <f>"PHI202111097073"</f>
        <v>PHI202111097073</v>
      </c>
      <c r="F2257" t="str">
        <f>"PHI AIR"</f>
        <v>PHI AIR</v>
      </c>
      <c r="G2257" s="3">
        <v>100</v>
      </c>
      <c r="H2257" t="str">
        <f>"PHI AIR"</f>
        <v>PHI AIR</v>
      </c>
    </row>
    <row r="2258" spans="1:8" x14ac:dyDescent="0.25">
      <c r="E2258" t="str">
        <f>"PHI202111097074"</f>
        <v>PHI202111097074</v>
      </c>
      <c r="F2258" t="str">
        <f>"PHI AIR"</f>
        <v>PHI AIR</v>
      </c>
      <c r="G2258" s="3">
        <v>25</v>
      </c>
      <c r="H2258" t="str">
        <f>"PHI AIR"</f>
        <v>PHI AIR</v>
      </c>
    </row>
    <row r="2259" spans="1:8" x14ac:dyDescent="0.25">
      <c r="E2259" t="str">
        <f>"PHI202111167179"</f>
        <v>PHI202111167179</v>
      </c>
      <c r="F2259" t="str">
        <f>"PHI AIR"</f>
        <v>PHI AIR</v>
      </c>
      <c r="G2259" s="3">
        <v>25</v>
      </c>
      <c r="H2259" t="str">
        <f>"PHI AIR"</f>
        <v>PHI AIR</v>
      </c>
    </row>
    <row r="2260" spans="1:8" x14ac:dyDescent="0.25">
      <c r="E2260" t="str">
        <f>"PHI202111227341"</f>
        <v>PHI202111227341</v>
      </c>
      <c r="F2260" t="str">
        <f>"PHI AIR"</f>
        <v>PHI AIR</v>
      </c>
      <c r="G2260" s="3">
        <v>50</v>
      </c>
      <c r="H2260" t="str">
        <f>"PHI AIR"</f>
        <v>PHI AIR</v>
      </c>
    </row>
    <row r="2261" spans="1:8" x14ac:dyDescent="0.25">
      <c r="E2261" t="str">
        <f>"PHI202111227342"</f>
        <v>PHI202111227342</v>
      </c>
      <c r="F2261" t="str">
        <f>"PHI AIR"</f>
        <v>PHI AIR</v>
      </c>
      <c r="G2261" s="3">
        <v>25</v>
      </c>
      <c r="H2261" t="str">
        <f>"PHI AIR"</f>
        <v>PHI AIR</v>
      </c>
    </row>
    <row r="2262" spans="1:8" x14ac:dyDescent="0.25">
      <c r="A2262" t="s">
        <v>623</v>
      </c>
      <c r="B2262">
        <v>1412</v>
      </c>
      <c r="C2262" s="3">
        <v>7592.95</v>
      </c>
      <c r="D2262" s="6">
        <v>44512</v>
      </c>
      <c r="E2262" t="str">
        <f>"FSA202111097073"</f>
        <v>FSA202111097073</v>
      </c>
      <c r="F2262" t="str">
        <f>"STERLING FSA"</f>
        <v>STERLING FSA</v>
      </c>
      <c r="G2262" s="3">
        <v>7182.95</v>
      </c>
      <c r="H2262" t="str">
        <f>"STERLING FSA"</f>
        <v>STERLING FSA</v>
      </c>
    </row>
    <row r="2263" spans="1:8" x14ac:dyDescent="0.25">
      <c r="E2263" t="str">
        <f>"FSA202111097074"</f>
        <v>FSA202111097074</v>
      </c>
      <c r="F2263" t="str">
        <f>"STERLING FSA"</f>
        <v>STERLING FSA</v>
      </c>
      <c r="G2263" s="3">
        <v>360</v>
      </c>
      <c r="H2263" t="str">
        <f>"STERLING FSA"</f>
        <v>STERLING FSA</v>
      </c>
    </row>
    <row r="2264" spans="1:8" x14ac:dyDescent="0.25">
      <c r="E2264" t="str">
        <f>"FSC202111097073"</f>
        <v>FSC202111097073</v>
      </c>
      <c r="F2264" t="str">
        <f>"STERLING DEPENDENT CARE"</f>
        <v>STERLING DEPENDENT CARE</v>
      </c>
      <c r="G2264" s="3">
        <v>50</v>
      </c>
      <c r="H2264" t="str">
        <f>"STERLING DEPENDENT CARE"</f>
        <v>STERLING DEPENDENT CARE</v>
      </c>
    </row>
    <row r="2265" spans="1:8" x14ac:dyDescent="0.25">
      <c r="A2265" t="s">
        <v>623</v>
      </c>
      <c r="B2265">
        <v>1413</v>
      </c>
      <c r="C2265" s="3">
        <v>2750.22</v>
      </c>
      <c r="D2265" s="6">
        <v>44512</v>
      </c>
      <c r="E2265" t="str">
        <f>"HRA202111097073"</f>
        <v>HRA202111097073</v>
      </c>
      <c r="F2265" t="str">
        <f>"STERLING HRA"</f>
        <v>STERLING HRA</v>
      </c>
      <c r="G2265" s="3">
        <v>458.37</v>
      </c>
      <c r="H2265" t="str">
        <f>"STERLING HRA"</f>
        <v>STERLING HRA</v>
      </c>
    </row>
    <row r="2266" spans="1:8" x14ac:dyDescent="0.25">
      <c r="E2266" t="str">
        <f>""</f>
        <v/>
      </c>
      <c r="F2266" t="str">
        <f>""</f>
        <v/>
      </c>
      <c r="G2266" s="3">
        <v>39.67</v>
      </c>
      <c r="H2266" t="str">
        <f>"STERLING HRA"</f>
        <v>STERLING HRA</v>
      </c>
    </row>
    <row r="2267" spans="1:8" x14ac:dyDescent="0.25">
      <c r="E2267" t="str">
        <f>""</f>
        <v/>
      </c>
      <c r="F2267" t="str">
        <f>""</f>
        <v/>
      </c>
      <c r="G2267" s="3">
        <v>1335.44</v>
      </c>
      <c r="H2267" t="str">
        <f>"STERLING HRA"</f>
        <v>STERLING HRA</v>
      </c>
    </row>
    <row r="2268" spans="1:8" x14ac:dyDescent="0.25">
      <c r="E2268" t="str">
        <f>""</f>
        <v/>
      </c>
      <c r="F2268" t="str">
        <f>""</f>
        <v/>
      </c>
      <c r="G2268" s="3">
        <v>458.37</v>
      </c>
      <c r="H2268" t="str">
        <f>"STERLING HRA"</f>
        <v>STERLING HRA</v>
      </c>
    </row>
    <row r="2269" spans="1:8" x14ac:dyDescent="0.25">
      <c r="E2269" t="str">
        <f>"HRA202111097074"</f>
        <v>HRA202111097074</v>
      </c>
      <c r="F2269" t="str">
        <f>"STERLING HRA"</f>
        <v>STERLING HRA</v>
      </c>
      <c r="G2269" s="3">
        <v>458.37</v>
      </c>
      <c r="H2269" t="str">
        <f>"STERLING HRA"</f>
        <v>STERLING HRA</v>
      </c>
    </row>
    <row r="2270" spans="1:8" x14ac:dyDescent="0.25">
      <c r="A2270" t="s">
        <v>623</v>
      </c>
      <c r="B2270">
        <v>1420</v>
      </c>
      <c r="C2270" s="3">
        <v>7592.95</v>
      </c>
      <c r="D2270" s="6">
        <v>44524</v>
      </c>
      <c r="E2270" t="str">
        <f>"FSA202111227341"</f>
        <v>FSA202111227341</v>
      </c>
      <c r="F2270" t="str">
        <f>"STERLING FSA"</f>
        <v>STERLING FSA</v>
      </c>
      <c r="G2270" s="3">
        <v>7182.95</v>
      </c>
      <c r="H2270" t="str">
        <f>"STERLING FSA"</f>
        <v>STERLING FSA</v>
      </c>
    </row>
    <row r="2271" spans="1:8" x14ac:dyDescent="0.25">
      <c r="E2271" t="str">
        <f>"FSA202111227342"</f>
        <v>FSA202111227342</v>
      </c>
      <c r="F2271" t="str">
        <f>"STERLING FSA"</f>
        <v>STERLING FSA</v>
      </c>
      <c r="G2271" s="3">
        <v>360</v>
      </c>
      <c r="H2271" t="str">
        <f>"STERLING FSA"</f>
        <v>STERLING FSA</v>
      </c>
    </row>
    <row r="2272" spans="1:8" x14ac:dyDescent="0.25">
      <c r="E2272" t="str">
        <f>"FSC202111227341"</f>
        <v>FSC202111227341</v>
      </c>
      <c r="F2272" t="str">
        <f>"STERLING DEPENDENT CARE"</f>
        <v>STERLING DEPENDENT CARE</v>
      </c>
      <c r="G2272" s="3">
        <v>50</v>
      </c>
      <c r="H2272" t="str">
        <f>"STERLING DEPENDENT CARE"</f>
        <v>STERLING DEPENDENT CARE</v>
      </c>
    </row>
    <row r="2273" spans="1:8" x14ac:dyDescent="0.25">
      <c r="A2273" t="s">
        <v>623</v>
      </c>
      <c r="B2273">
        <v>1421</v>
      </c>
      <c r="C2273" s="3">
        <v>458.37</v>
      </c>
      <c r="D2273" s="6">
        <v>44524</v>
      </c>
      <c r="E2273" t="str">
        <f>"HRA202111227341"</f>
        <v>HRA202111227341</v>
      </c>
      <c r="F2273" t="str">
        <f>"STERLING HRA"</f>
        <v>STERLING HRA</v>
      </c>
      <c r="G2273" s="3">
        <v>458.37</v>
      </c>
      <c r="H2273" t="str">
        <f>"STERLING HRA"</f>
        <v>STERLING HRA</v>
      </c>
    </row>
    <row r="2274" spans="1:8" x14ac:dyDescent="0.25">
      <c r="A2274" t="s">
        <v>623</v>
      </c>
      <c r="B2274">
        <v>1467</v>
      </c>
      <c r="C2274" s="3">
        <v>15982.67</v>
      </c>
      <c r="D2274" s="6">
        <v>44524</v>
      </c>
      <c r="E2274" t="str">
        <f>"595445"</f>
        <v>595445</v>
      </c>
      <c r="F2274" t="str">
        <f>"2021-2022 FSA FUNDING DEFICIT"</f>
        <v>2021-2022 FSA FUNDING DEFICIT</v>
      </c>
      <c r="G2274" s="3">
        <v>15982.67</v>
      </c>
      <c r="H2274" t="str">
        <f>"2021-2022 FSA FUNDING DEFICIT"</f>
        <v>2021-2022 FSA FUNDING DEFICIT</v>
      </c>
    </row>
    <row r="2275" spans="1:8" x14ac:dyDescent="0.25">
      <c r="A2275" t="s">
        <v>623</v>
      </c>
      <c r="B2275">
        <v>1471</v>
      </c>
      <c r="C2275" s="3">
        <v>2355</v>
      </c>
      <c r="D2275" s="6">
        <v>44529</v>
      </c>
      <c r="E2275" t="str">
        <f>"202111297420"</f>
        <v>202111297420</v>
      </c>
      <c r="F2275" t="str">
        <f>"ADJ - NOVEMBER 2021"</f>
        <v>ADJ - NOVEMBER 2021</v>
      </c>
      <c r="G2275" s="3">
        <v>213</v>
      </c>
      <c r="H2275" t="str">
        <f>"ADJ - NOVEMBER 2021"</f>
        <v>ADJ - NOVEMBER 2021</v>
      </c>
    </row>
    <row r="2276" spans="1:8" x14ac:dyDescent="0.25">
      <c r="E2276" t="str">
        <f>"FSF202111097073"</f>
        <v>FSF202111097073</v>
      </c>
      <c r="F2276" t="str">
        <f>"STERLING - FSA  FEES"</f>
        <v>STERLING - FSA  FEES</v>
      </c>
      <c r="G2276" s="3">
        <v>8.6</v>
      </c>
      <c r="H2276" t="str">
        <f t="shared" ref="H2276:H2307" si="39">"STERLING - FSA  FEES"</f>
        <v>STERLING - FSA  FEES</v>
      </c>
    </row>
    <row r="2277" spans="1:8" x14ac:dyDescent="0.25">
      <c r="E2277" t="str">
        <f>""</f>
        <v/>
      </c>
      <c r="F2277" t="str">
        <f>""</f>
        <v/>
      </c>
      <c r="G2277" s="3">
        <v>1.75</v>
      </c>
      <c r="H2277" t="str">
        <f t="shared" si="39"/>
        <v>STERLING - FSA  FEES</v>
      </c>
    </row>
    <row r="2278" spans="1:8" x14ac:dyDescent="0.25">
      <c r="E2278" t="str">
        <f>""</f>
        <v/>
      </c>
      <c r="F2278" t="str">
        <f>""</f>
        <v/>
      </c>
      <c r="G2278" s="3">
        <v>10.5</v>
      </c>
      <c r="H2278" t="str">
        <f t="shared" si="39"/>
        <v>STERLING - FSA  FEES</v>
      </c>
    </row>
    <row r="2279" spans="1:8" x14ac:dyDescent="0.25">
      <c r="E2279" t="str">
        <f>""</f>
        <v/>
      </c>
      <c r="F2279" t="str">
        <f>""</f>
        <v/>
      </c>
      <c r="G2279" s="3">
        <v>5</v>
      </c>
      <c r="H2279" t="str">
        <f t="shared" si="39"/>
        <v>STERLING - FSA  FEES</v>
      </c>
    </row>
    <row r="2280" spans="1:8" x14ac:dyDescent="0.25">
      <c r="E2280" t="str">
        <f>""</f>
        <v/>
      </c>
      <c r="F2280" t="str">
        <f>""</f>
        <v/>
      </c>
      <c r="G2280" s="3">
        <v>1.75</v>
      </c>
      <c r="H2280" t="str">
        <f t="shared" si="39"/>
        <v>STERLING - FSA  FEES</v>
      </c>
    </row>
    <row r="2281" spans="1:8" x14ac:dyDescent="0.25">
      <c r="E2281" t="str">
        <f>""</f>
        <v/>
      </c>
      <c r="F2281" t="str">
        <f>""</f>
        <v/>
      </c>
      <c r="G2281" s="3">
        <v>8.75</v>
      </c>
      <c r="H2281" t="str">
        <f t="shared" si="39"/>
        <v>STERLING - FSA  FEES</v>
      </c>
    </row>
    <row r="2282" spans="1:8" x14ac:dyDescent="0.25">
      <c r="E2282" t="str">
        <f>""</f>
        <v/>
      </c>
      <c r="F2282" t="str">
        <f>""</f>
        <v/>
      </c>
      <c r="G2282" s="3">
        <v>5.25</v>
      </c>
      <c r="H2282" t="str">
        <f t="shared" si="39"/>
        <v>STERLING - FSA  FEES</v>
      </c>
    </row>
    <row r="2283" spans="1:8" x14ac:dyDescent="0.25">
      <c r="E2283" t="str">
        <f>""</f>
        <v/>
      </c>
      <c r="F2283" t="str">
        <f>""</f>
        <v/>
      </c>
      <c r="G2283" s="3">
        <v>3.5</v>
      </c>
      <c r="H2283" t="str">
        <f t="shared" si="39"/>
        <v>STERLING - FSA  FEES</v>
      </c>
    </row>
    <row r="2284" spans="1:8" x14ac:dyDescent="0.25">
      <c r="E2284" t="str">
        <f>""</f>
        <v/>
      </c>
      <c r="F2284" t="str">
        <f>""</f>
        <v/>
      </c>
      <c r="G2284" s="3">
        <v>1.75</v>
      </c>
      <c r="H2284" t="str">
        <f t="shared" si="39"/>
        <v>STERLING - FSA  FEES</v>
      </c>
    </row>
    <row r="2285" spans="1:8" x14ac:dyDescent="0.25">
      <c r="E2285" t="str">
        <f>""</f>
        <v/>
      </c>
      <c r="F2285" t="str">
        <f>""</f>
        <v/>
      </c>
      <c r="G2285" s="3">
        <v>15.67</v>
      </c>
      <c r="H2285" t="str">
        <f t="shared" si="39"/>
        <v>STERLING - FSA  FEES</v>
      </c>
    </row>
    <row r="2286" spans="1:8" x14ac:dyDescent="0.25">
      <c r="E2286" t="str">
        <f>""</f>
        <v/>
      </c>
      <c r="F2286" t="str">
        <f>""</f>
        <v/>
      </c>
      <c r="G2286" s="3">
        <v>5.25</v>
      </c>
      <c r="H2286" t="str">
        <f t="shared" si="39"/>
        <v>STERLING - FSA  FEES</v>
      </c>
    </row>
    <row r="2287" spans="1:8" x14ac:dyDescent="0.25">
      <c r="E2287" t="str">
        <f>""</f>
        <v/>
      </c>
      <c r="F2287" t="str">
        <f>""</f>
        <v/>
      </c>
      <c r="G2287" s="3">
        <v>3.5</v>
      </c>
      <c r="H2287" t="str">
        <f t="shared" si="39"/>
        <v>STERLING - FSA  FEES</v>
      </c>
    </row>
    <row r="2288" spans="1:8" x14ac:dyDescent="0.25">
      <c r="E2288" t="str">
        <f>""</f>
        <v/>
      </c>
      <c r="F2288" t="str">
        <f>""</f>
        <v/>
      </c>
      <c r="G2288" s="3">
        <v>1.75</v>
      </c>
      <c r="H2288" t="str">
        <f t="shared" si="39"/>
        <v>STERLING - FSA  FEES</v>
      </c>
    </row>
    <row r="2289" spans="5:8" x14ac:dyDescent="0.25">
      <c r="E2289" t="str">
        <f>""</f>
        <v/>
      </c>
      <c r="F2289" t="str">
        <f>""</f>
        <v/>
      </c>
      <c r="G2289" s="3">
        <v>3.5</v>
      </c>
      <c r="H2289" t="str">
        <f t="shared" si="39"/>
        <v>STERLING - FSA  FEES</v>
      </c>
    </row>
    <row r="2290" spans="5:8" x14ac:dyDescent="0.25">
      <c r="E2290" t="str">
        <f>""</f>
        <v/>
      </c>
      <c r="F2290" t="str">
        <f>""</f>
        <v/>
      </c>
      <c r="G2290" s="3">
        <v>3.5</v>
      </c>
      <c r="H2290" t="str">
        <f t="shared" si="39"/>
        <v>STERLING - FSA  FEES</v>
      </c>
    </row>
    <row r="2291" spans="5:8" x14ac:dyDescent="0.25">
      <c r="E2291" t="str">
        <f>""</f>
        <v/>
      </c>
      <c r="F2291" t="str">
        <f>""</f>
        <v/>
      </c>
      <c r="G2291" s="3">
        <v>14</v>
      </c>
      <c r="H2291" t="str">
        <f t="shared" si="39"/>
        <v>STERLING - FSA  FEES</v>
      </c>
    </row>
    <row r="2292" spans="5:8" x14ac:dyDescent="0.25">
      <c r="E2292" t="str">
        <f>""</f>
        <v/>
      </c>
      <c r="F2292" t="str">
        <f>""</f>
        <v/>
      </c>
      <c r="G2292" s="3">
        <v>3.5</v>
      </c>
      <c r="H2292" t="str">
        <f t="shared" si="39"/>
        <v>STERLING - FSA  FEES</v>
      </c>
    </row>
    <row r="2293" spans="5:8" x14ac:dyDescent="0.25">
      <c r="E2293" t="str">
        <f>""</f>
        <v/>
      </c>
      <c r="F2293" t="str">
        <f>""</f>
        <v/>
      </c>
      <c r="G2293" s="3">
        <v>12.25</v>
      </c>
      <c r="H2293" t="str">
        <f t="shared" si="39"/>
        <v>STERLING - FSA  FEES</v>
      </c>
    </row>
    <row r="2294" spans="5:8" x14ac:dyDescent="0.25">
      <c r="E2294" t="str">
        <f>""</f>
        <v/>
      </c>
      <c r="F2294" t="str">
        <f>""</f>
        <v/>
      </c>
      <c r="G2294" s="3">
        <v>1.75</v>
      </c>
      <c r="H2294" t="str">
        <f t="shared" si="39"/>
        <v>STERLING - FSA  FEES</v>
      </c>
    </row>
    <row r="2295" spans="5:8" x14ac:dyDescent="0.25">
      <c r="E2295" t="str">
        <f>""</f>
        <v/>
      </c>
      <c r="F2295" t="str">
        <f>""</f>
        <v/>
      </c>
      <c r="G2295" s="3">
        <v>1.75</v>
      </c>
      <c r="H2295" t="str">
        <f t="shared" si="39"/>
        <v>STERLING - FSA  FEES</v>
      </c>
    </row>
    <row r="2296" spans="5:8" x14ac:dyDescent="0.25">
      <c r="E2296" t="str">
        <f>""</f>
        <v/>
      </c>
      <c r="F2296" t="str">
        <f>""</f>
        <v/>
      </c>
      <c r="G2296" s="3">
        <v>1.75</v>
      </c>
      <c r="H2296" t="str">
        <f t="shared" si="39"/>
        <v>STERLING - FSA  FEES</v>
      </c>
    </row>
    <row r="2297" spans="5:8" x14ac:dyDescent="0.25">
      <c r="E2297" t="str">
        <f>""</f>
        <v/>
      </c>
      <c r="F2297" t="str">
        <f>""</f>
        <v/>
      </c>
      <c r="G2297" s="3">
        <v>33.700000000000003</v>
      </c>
      <c r="H2297" t="str">
        <f t="shared" si="39"/>
        <v>STERLING - FSA  FEES</v>
      </c>
    </row>
    <row r="2298" spans="5:8" x14ac:dyDescent="0.25">
      <c r="E2298" t="str">
        <f>""</f>
        <v/>
      </c>
      <c r="F2298" t="str">
        <f>""</f>
        <v/>
      </c>
      <c r="G2298" s="3">
        <v>3.45</v>
      </c>
      <c r="H2298" t="str">
        <f t="shared" si="39"/>
        <v>STERLING - FSA  FEES</v>
      </c>
    </row>
    <row r="2299" spans="5:8" x14ac:dyDescent="0.25">
      <c r="E2299" t="str">
        <f>""</f>
        <v/>
      </c>
      <c r="F2299" t="str">
        <f>""</f>
        <v/>
      </c>
      <c r="G2299" s="3">
        <v>34.6</v>
      </c>
      <c r="H2299" t="str">
        <f t="shared" si="39"/>
        <v>STERLING - FSA  FEES</v>
      </c>
    </row>
    <row r="2300" spans="5:8" x14ac:dyDescent="0.25">
      <c r="E2300" t="str">
        <f>""</f>
        <v/>
      </c>
      <c r="F2300" t="str">
        <f>""</f>
        <v/>
      </c>
      <c r="G2300" s="3">
        <v>7</v>
      </c>
      <c r="H2300" t="str">
        <f t="shared" si="39"/>
        <v>STERLING - FSA  FEES</v>
      </c>
    </row>
    <row r="2301" spans="5:8" x14ac:dyDescent="0.25">
      <c r="E2301" t="str">
        <f>""</f>
        <v/>
      </c>
      <c r="F2301" t="str">
        <f>""</f>
        <v/>
      </c>
      <c r="G2301" s="3">
        <v>1.75</v>
      </c>
      <c r="H2301" t="str">
        <f t="shared" si="39"/>
        <v>STERLING - FSA  FEES</v>
      </c>
    </row>
    <row r="2302" spans="5:8" x14ac:dyDescent="0.25">
      <c r="E2302" t="str">
        <f>""</f>
        <v/>
      </c>
      <c r="F2302" t="str">
        <f>""</f>
        <v/>
      </c>
      <c r="G2302" s="3">
        <v>3.5</v>
      </c>
      <c r="H2302" t="str">
        <f t="shared" si="39"/>
        <v>STERLING - FSA  FEES</v>
      </c>
    </row>
    <row r="2303" spans="5:8" x14ac:dyDescent="0.25">
      <c r="E2303" t="str">
        <f>""</f>
        <v/>
      </c>
      <c r="F2303" t="str">
        <f>""</f>
        <v/>
      </c>
      <c r="G2303" s="3">
        <v>0.45</v>
      </c>
      <c r="H2303" t="str">
        <f t="shared" si="39"/>
        <v>STERLING - FSA  FEES</v>
      </c>
    </row>
    <row r="2304" spans="5:8" x14ac:dyDescent="0.25">
      <c r="E2304" t="str">
        <f>""</f>
        <v/>
      </c>
      <c r="F2304" t="str">
        <f>""</f>
        <v/>
      </c>
      <c r="G2304" s="3">
        <v>1.75</v>
      </c>
      <c r="H2304" t="str">
        <f t="shared" si="39"/>
        <v>STERLING - FSA  FEES</v>
      </c>
    </row>
    <row r="2305" spans="5:8" x14ac:dyDescent="0.25">
      <c r="E2305" t="str">
        <f>""</f>
        <v/>
      </c>
      <c r="F2305" t="str">
        <f>""</f>
        <v/>
      </c>
      <c r="G2305" s="3">
        <v>3.5</v>
      </c>
      <c r="H2305" t="str">
        <f t="shared" si="39"/>
        <v>STERLING - FSA  FEES</v>
      </c>
    </row>
    <row r="2306" spans="5:8" x14ac:dyDescent="0.25">
      <c r="E2306" t="str">
        <f>""</f>
        <v/>
      </c>
      <c r="F2306" t="str">
        <f>""</f>
        <v/>
      </c>
      <c r="G2306" s="3">
        <v>1.9</v>
      </c>
      <c r="H2306" t="str">
        <f t="shared" si="39"/>
        <v>STERLING - FSA  FEES</v>
      </c>
    </row>
    <row r="2307" spans="5:8" x14ac:dyDescent="0.25">
      <c r="E2307" t="str">
        <f>""</f>
        <v/>
      </c>
      <c r="F2307" t="str">
        <f>""</f>
        <v/>
      </c>
      <c r="G2307" s="3">
        <v>1.75</v>
      </c>
      <c r="H2307" t="str">
        <f t="shared" si="39"/>
        <v>STERLING - FSA  FEES</v>
      </c>
    </row>
    <row r="2308" spans="5:8" x14ac:dyDescent="0.25">
      <c r="E2308" t="str">
        <f>""</f>
        <v/>
      </c>
      <c r="F2308" t="str">
        <f>""</f>
        <v/>
      </c>
      <c r="G2308" s="3">
        <v>7</v>
      </c>
      <c r="H2308" t="str">
        <f t="shared" ref="H2308:H2339" si="40">"STERLING - FSA  FEES"</f>
        <v>STERLING - FSA  FEES</v>
      </c>
    </row>
    <row r="2309" spans="5:8" x14ac:dyDescent="0.25">
      <c r="E2309" t="str">
        <f>""</f>
        <v/>
      </c>
      <c r="F2309" t="str">
        <f>""</f>
        <v/>
      </c>
      <c r="G2309" s="3">
        <v>8.75</v>
      </c>
      <c r="H2309" t="str">
        <f t="shared" si="40"/>
        <v>STERLING - FSA  FEES</v>
      </c>
    </row>
    <row r="2310" spans="5:8" x14ac:dyDescent="0.25">
      <c r="E2310" t="str">
        <f>""</f>
        <v/>
      </c>
      <c r="F2310" t="str">
        <f>""</f>
        <v/>
      </c>
      <c r="G2310" s="3">
        <v>3.05</v>
      </c>
      <c r="H2310" t="str">
        <f t="shared" si="40"/>
        <v>STERLING - FSA  FEES</v>
      </c>
    </row>
    <row r="2311" spans="5:8" x14ac:dyDescent="0.25">
      <c r="E2311" t="str">
        <f>""</f>
        <v/>
      </c>
      <c r="F2311" t="str">
        <f>""</f>
        <v/>
      </c>
      <c r="G2311" s="3">
        <v>0.02</v>
      </c>
      <c r="H2311" t="str">
        <f t="shared" si="40"/>
        <v>STERLING - FSA  FEES</v>
      </c>
    </row>
    <row r="2312" spans="5:8" x14ac:dyDescent="0.25">
      <c r="E2312" t="str">
        <f>""</f>
        <v/>
      </c>
      <c r="F2312" t="str">
        <f>""</f>
        <v/>
      </c>
      <c r="G2312" s="3">
        <v>0.06</v>
      </c>
      <c r="H2312" t="str">
        <f t="shared" si="40"/>
        <v>STERLING - FSA  FEES</v>
      </c>
    </row>
    <row r="2313" spans="5:8" x14ac:dyDescent="0.25">
      <c r="E2313" t="str">
        <f>""</f>
        <v/>
      </c>
      <c r="F2313" t="str">
        <f>""</f>
        <v/>
      </c>
      <c r="G2313" s="3">
        <v>0.25</v>
      </c>
      <c r="H2313" t="str">
        <f t="shared" si="40"/>
        <v>STERLING - FSA  FEES</v>
      </c>
    </row>
    <row r="2314" spans="5:8" x14ac:dyDescent="0.25">
      <c r="E2314" t="str">
        <f>"FSF202111097074"</f>
        <v>FSF202111097074</v>
      </c>
      <c r="F2314" t="str">
        <f>"STERLING - FSA  FEES"</f>
        <v>STERLING - FSA  FEES</v>
      </c>
      <c r="G2314" s="3">
        <v>8.75</v>
      </c>
      <c r="H2314" t="str">
        <f t="shared" si="40"/>
        <v>STERLING - FSA  FEES</v>
      </c>
    </row>
    <row r="2315" spans="5:8" x14ac:dyDescent="0.25">
      <c r="E2315" t="str">
        <f>"FSF202111227341"</f>
        <v>FSF202111227341</v>
      </c>
      <c r="F2315" t="str">
        <f>"STERLING - FSA  FEES"</f>
        <v>STERLING - FSA  FEES</v>
      </c>
      <c r="G2315" s="3">
        <v>8.6</v>
      </c>
      <c r="H2315" t="str">
        <f t="shared" si="40"/>
        <v>STERLING - FSA  FEES</v>
      </c>
    </row>
    <row r="2316" spans="5:8" x14ac:dyDescent="0.25">
      <c r="E2316" t="str">
        <f>""</f>
        <v/>
      </c>
      <c r="F2316" t="str">
        <f>""</f>
        <v/>
      </c>
      <c r="G2316" s="3">
        <v>1.75</v>
      </c>
      <c r="H2316" t="str">
        <f t="shared" si="40"/>
        <v>STERLING - FSA  FEES</v>
      </c>
    </row>
    <row r="2317" spans="5:8" x14ac:dyDescent="0.25">
      <c r="E2317" t="str">
        <f>""</f>
        <v/>
      </c>
      <c r="F2317" t="str">
        <f>""</f>
        <v/>
      </c>
      <c r="G2317" s="3">
        <v>10.5</v>
      </c>
      <c r="H2317" t="str">
        <f t="shared" si="40"/>
        <v>STERLING - FSA  FEES</v>
      </c>
    </row>
    <row r="2318" spans="5:8" x14ac:dyDescent="0.25">
      <c r="E2318" t="str">
        <f>""</f>
        <v/>
      </c>
      <c r="F2318" t="str">
        <f>""</f>
        <v/>
      </c>
      <c r="G2318" s="3">
        <v>5</v>
      </c>
      <c r="H2318" t="str">
        <f t="shared" si="40"/>
        <v>STERLING - FSA  FEES</v>
      </c>
    </row>
    <row r="2319" spans="5:8" x14ac:dyDescent="0.25">
      <c r="E2319" t="str">
        <f>""</f>
        <v/>
      </c>
      <c r="F2319" t="str">
        <f>""</f>
        <v/>
      </c>
      <c r="G2319" s="3">
        <v>1.75</v>
      </c>
      <c r="H2319" t="str">
        <f t="shared" si="40"/>
        <v>STERLING - FSA  FEES</v>
      </c>
    </row>
    <row r="2320" spans="5:8" x14ac:dyDescent="0.25">
      <c r="E2320" t="str">
        <f>""</f>
        <v/>
      </c>
      <c r="F2320" t="str">
        <f>""</f>
        <v/>
      </c>
      <c r="G2320" s="3">
        <v>8.75</v>
      </c>
      <c r="H2320" t="str">
        <f t="shared" si="40"/>
        <v>STERLING - FSA  FEES</v>
      </c>
    </row>
    <row r="2321" spans="5:8" x14ac:dyDescent="0.25">
      <c r="E2321" t="str">
        <f>""</f>
        <v/>
      </c>
      <c r="F2321" t="str">
        <f>""</f>
        <v/>
      </c>
      <c r="G2321" s="3">
        <v>5.25</v>
      </c>
      <c r="H2321" t="str">
        <f t="shared" si="40"/>
        <v>STERLING - FSA  FEES</v>
      </c>
    </row>
    <row r="2322" spans="5:8" x14ac:dyDescent="0.25">
      <c r="E2322" t="str">
        <f>""</f>
        <v/>
      </c>
      <c r="F2322" t="str">
        <f>""</f>
        <v/>
      </c>
      <c r="G2322" s="3">
        <v>3.5</v>
      </c>
      <c r="H2322" t="str">
        <f t="shared" si="40"/>
        <v>STERLING - FSA  FEES</v>
      </c>
    </row>
    <row r="2323" spans="5:8" x14ac:dyDescent="0.25">
      <c r="E2323" t="str">
        <f>""</f>
        <v/>
      </c>
      <c r="F2323" t="str">
        <f>""</f>
        <v/>
      </c>
      <c r="G2323" s="3">
        <v>1.75</v>
      </c>
      <c r="H2323" t="str">
        <f t="shared" si="40"/>
        <v>STERLING - FSA  FEES</v>
      </c>
    </row>
    <row r="2324" spans="5:8" x14ac:dyDescent="0.25">
      <c r="E2324" t="str">
        <f>""</f>
        <v/>
      </c>
      <c r="F2324" t="str">
        <f>""</f>
        <v/>
      </c>
      <c r="G2324" s="3">
        <v>15.67</v>
      </c>
      <c r="H2324" t="str">
        <f t="shared" si="40"/>
        <v>STERLING - FSA  FEES</v>
      </c>
    </row>
    <row r="2325" spans="5:8" x14ac:dyDescent="0.25">
      <c r="E2325" t="str">
        <f>""</f>
        <v/>
      </c>
      <c r="F2325" t="str">
        <f>""</f>
        <v/>
      </c>
      <c r="G2325" s="3">
        <v>5.25</v>
      </c>
      <c r="H2325" t="str">
        <f t="shared" si="40"/>
        <v>STERLING - FSA  FEES</v>
      </c>
    </row>
    <row r="2326" spans="5:8" x14ac:dyDescent="0.25">
      <c r="E2326" t="str">
        <f>""</f>
        <v/>
      </c>
      <c r="F2326" t="str">
        <f>""</f>
        <v/>
      </c>
      <c r="G2326" s="3">
        <v>3.5</v>
      </c>
      <c r="H2326" t="str">
        <f t="shared" si="40"/>
        <v>STERLING - FSA  FEES</v>
      </c>
    </row>
    <row r="2327" spans="5:8" x14ac:dyDescent="0.25">
      <c r="E2327" t="str">
        <f>""</f>
        <v/>
      </c>
      <c r="F2327" t="str">
        <f>""</f>
        <v/>
      </c>
      <c r="G2327" s="3">
        <v>1.75</v>
      </c>
      <c r="H2327" t="str">
        <f t="shared" si="40"/>
        <v>STERLING - FSA  FEES</v>
      </c>
    </row>
    <row r="2328" spans="5:8" x14ac:dyDescent="0.25">
      <c r="E2328" t="str">
        <f>""</f>
        <v/>
      </c>
      <c r="F2328" t="str">
        <f>""</f>
        <v/>
      </c>
      <c r="G2328" s="3">
        <v>3.5</v>
      </c>
      <c r="H2328" t="str">
        <f t="shared" si="40"/>
        <v>STERLING - FSA  FEES</v>
      </c>
    </row>
    <row r="2329" spans="5:8" x14ac:dyDescent="0.25">
      <c r="E2329" t="str">
        <f>""</f>
        <v/>
      </c>
      <c r="F2329" t="str">
        <f>""</f>
        <v/>
      </c>
      <c r="G2329" s="3">
        <v>3.5</v>
      </c>
      <c r="H2329" t="str">
        <f t="shared" si="40"/>
        <v>STERLING - FSA  FEES</v>
      </c>
    </row>
    <row r="2330" spans="5:8" x14ac:dyDescent="0.25">
      <c r="E2330" t="str">
        <f>""</f>
        <v/>
      </c>
      <c r="F2330" t="str">
        <f>""</f>
        <v/>
      </c>
      <c r="G2330" s="3">
        <v>14</v>
      </c>
      <c r="H2330" t="str">
        <f t="shared" si="40"/>
        <v>STERLING - FSA  FEES</v>
      </c>
    </row>
    <row r="2331" spans="5:8" x14ac:dyDescent="0.25">
      <c r="E2331" t="str">
        <f>""</f>
        <v/>
      </c>
      <c r="F2331" t="str">
        <f>""</f>
        <v/>
      </c>
      <c r="G2331" s="3">
        <v>3.5</v>
      </c>
      <c r="H2331" t="str">
        <f t="shared" si="40"/>
        <v>STERLING - FSA  FEES</v>
      </c>
    </row>
    <row r="2332" spans="5:8" x14ac:dyDescent="0.25">
      <c r="E2332" t="str">
        <f>""</f>
        <v/>
      </c>
      <c r="F2332" t="str">
        <f>""</f>
        <v/>
      </c>
      <c r="G2332" s="3">
        <v>12.25</v>
      </c>
      <c r="H2332" t="str">
        <f t="shared" si="40"/>
        <v>STERLING - FSA  FEES</v>
      </c>
    </row>
    <row r="2333" spans="5:8" x14ac:dyDescent="0.25">
      <c r="E2333" t="str">
        <f>""</f>
        <v/>
      </c>
      <c r="F2333" t="str">
        <f>""</f>
        <v/>
      </c>
      <c r="G2333" s="3">
        <v>1.75</v>
      </c>
      <c r="H2333" t="str">
        <f t="shared" si="40"/>
        <v>STERLING - FSA  FEES</v>
      </c>
    </row>
    <row r="2334" spans="5:8" x14ac:dyDescent="0.25">
      <c r="E2334" t="str">
        <f>""</f>
        <v/>
      </c>
      <c r="F2334" t="str">
        <f>""</f>
        <v/>
      </c>
      <c r="G2334" s="3">
        <v>1.75</v>
      </c>
      <c r="H2334" t="str">
        <f t="shared" si="40"/>
        <v>STERLING - FSA  FEES</v>
      </c>
    </row>
    <row r="2335" spans="5:8" x14ac:dyDescent="0.25">
      <c r="E2335" t="str">
        <f>""</f>
        <v/>
      </c>
      <c r="F2335" t="str">
        <f>""</f>
        <v/>
      </c>
      <c r="G2335" s="3">
        <v>1.75</v>
      </c>
      <c r="H2335" t="str">
        <f t="shared" si="40"/>
        <v>STERLING - FSA  FEES</v>
      </c>
    </row>
    <row r="2336" spans="5:8" x14ac:dyDescent="0.25">
      <c r="E2336" t="str">
        <f>""</f>
        <v/>
      </c>
      <c r="F2336" t="str">
        <f>""</f>
        <v/>
      </c>
      <c r="G2336" s="3">
        <v>33.700000000000003</v>
      </c>
      <c r="H2336" t="str">
        <f t="shared" si="40"/>
        <v>STERLING - FSA  FEES</v>
      </c>
    </row>
    <row r="2337" spans="5:8" x14ac:dyDescent="0.25">
      <c r="E2337" t="str">
        <f>""</f>
        <v/>
      </c>
      <c r="F2337" t="str">
        <f>""</f>
        <v/>
      </c>
      <c r="G2337" s="3">
        <v>3.45</v>
      </c>
      <c r="H2337" t="str">
        <f t="shared" si="40"/>
        <v>STERLING - FSA  FEES</v>
      </c>
    </row>
    <row r="2338" spans="5:8" x14ac:dyDescent="0.25">
      <c r="E2338" t="str">
        <f>""</f>
        <v/>
      </c>
      <c r="F2338" t="str">
        <f>""</f>
        <v/>
      </c>
      <c r="G2338" s="3">
        <v>34.6</v>
      </c>
      <c r="H2338" t="str">
        <f t="shared" si="40"/>
        <v>STERLING - FSA  FEES</v>
      </c>
    </row>
    <row r="2339" spans="5:8" x14ac:dyDescent="0.25">
      <c r="E2339" t="str">
        <f>""</f>
        <v/>
      </c>
      <c r="F2339" t="str">
        <f>""</f>
        <v/>
      </c>
      <c r="G2339" s="3">
        <v>7</v>
      </c>
      <c r="H2339" t="str">
        <f t="shared" si="40"/>
        <v>STERLING - FSA  FEES</v>
      </c>
    </row>
    <row r="2340" spans="5:8" x14ac:dyDescent="0.25">
      <c r="E2340" t="str">
        <f>""</f>
        <v/>
      </c>
      <c r="F2340" t="str">
        <f>""</f>
        <v/>
      </c>
      <c r="G2340" s="3">
        <v>1.75</v>
      </c>
      <c r="H2340" t="str">
        <f t="shared" ref="H2340:H2353" si="41">"STERLING - FSA  FEES"</f>
        <v>STERLING - FSA  FEES</v>
      </c>
    </row>
    <row r="2341" spans="5:8" x14ac:dyDescent="0.25">
      <c r="E2341" t="str">
        <f>""</f>
        <v/>
      </c>
      <c r="F2341" t="str">
        <f>""</f>
        <v/>
      </c>
      <c r="G2341" s="3">
        <v>3.5</v>
      </c>
      <c r="H2341" t="str">
        <f t="shared" si="41"/>
        <v>STERLING - FSA  FEES</v>
      </c>
    </row>
    <row r="2342" spans="5:8" x14ac:dyDescent="0.25">
      <c r="E2342" t="str">
        <f>""</f>
        <v/>
      </c>
      <c r="F2342" t="str">
        <f>""</f>
        <v/>
      </c>
      <c r="G2342" s="3">
        <v>0.45</v>
      </c>
      <c r="H2342" t="str">
        <f t="shared" si="41"/>
        <v>STERLING - FSA  FEES</v>
      </c>
    </row>
    <row r="2343" spans="5:8" x14ac:dyDescent="0.25">
      <c r="E2343" t="str">
        <f>""</f>
        <v/>
      </c>
      <c r="F2343" t="str">
        <f>""</f>
        <v/>
      </c>
      <c r="G2343" s="3">
        <v>1.75</v>
      </c>
      <c r="H2343" t="str">
        <f t="shared" si="41"/>
        <v>STERLING - FSA  FEES</v>
      </c>
    </row>
    <row r="2344" spans="5:8" x14ac:dyDescent="0.25">
      <c r="E2344" t="str">
        <f>""</f>
        <v/>
      </c>
      <c r="F2344" t="str">
        <f>""</f>
        <v/>
      </c>
      <c r="G2344" s="3">
        <v>3.5</v>
      </c>
      <c r="H2344" t="str">
        <f t="shared" si="41"/>
        <v>STERLING - FSA  FEES</v>
      </c>
    </row>
    <row r="2345" spans="5:8" x14ac:dyDescent="0.25">
      <c r="E2345" t="str">
        <f>""</f>
        <v/>
      </c>
      <c r="F2345" t="str">
        <f>""</f>
        <v/>
      </c>
      <c r="G2345" s="3">
        <v>1.9</v>
      </c>
      <c r="H2345" t="str">
        <f t="shared" si="41"/>
        <v>STERLING - FSA  FEES</v>
      </c>
    </row>
    <row r="2346" spans="5:8" x14ac:dyDescent="0.25">
      <c r="E2346" t="str">
        <f>""</f>
        <v/>
      </c>
      <c r="F2346" t="str">
        <f>""</f>
        <v/>
      </c>
      <c r="G2346" s="3">
        <v>1.75</v>
      </c>
      <c r="H2346" t="str">
        <f t="shared" si="41"/>
        <v>STERLING - FSA  FEES</v>
      </c>
    </row>
    <row r="2347" spans="5:8" x14ac:dyDescent="0.25">
      <c r="E2347" t="str">
        <f>""</f>
        <v/>
      </c>
      <c r="F2347" t="str">
        <f>""</f>
        <v/>
      </c>
      <c r="G2347" s="3">
        <v>7</v>
      </c>
      <c r="H2347" t="str">
        <f t="shared" si="41"/>
        <v>STERLING - FSA  FEES</v>
      </c>
    </row>
    <row r="2348" spans="5:8" x14ac:dyDescent="0.25">
      <c r="E2348" t="str">
        <f>""</f>
        <v/>
      </c>
      <c r="F2348" t="str">
        <f>""</f>
        <v/>
      </c>
      <c r="G2348" s="3">
        <v>8.75</v>
      </c>
      <c r="H2348" t="str">
        <f t="shared" si="41"/>
        <v>STERLING - FSA  FEES</v>
      </c>
    </row>
    <row r="2349" spans="5:8" x14ac:dyDescent="0.25">
      <c r="E2349" t="str">
        <f>""</f>
        <v/>
      </c>
      <c r="F2349" t="str">
        <f>""</f>
        <v/>
      </c>
      <c r="G2349" s="3">
        <v>3.05</v>
      </c>
      <c r="H2349" t="str">
        <f t="shared" si="41"/>
        <v>STERLING - FSA  FEES</v>
      </c>
    </row>
    <row r="2350" spans="5:8" x14ac:dyDescent="0.25">
      <c r="E2350" t="str">
        <f>""</f>
        <v/>
      </c>
      <c r="F2350" t="str">
        <f>""</f>
        <v/>
      </c>
      <c r="G2350" s="3">
        <v>0.02</v>
      </c>
      <c r="H2350" t="str">
        <f t="shared" si="41"/>
        <v>STERLING - FSA  FEES</v>
      </c>
    </row>
    <row r="2351" spans="5:8" x14ac:dyDescent="0.25">
      <c r="E2351" t="str">
        <f>""</f>
        <v/>
      </c>
      <c r="F2351" t="str">
        <f>""</f>
        <v/>
      </c>
      <c r="G2351" s="3">
        <v>0.06</v>
      </c>
      <c r="H2351" t="str">
        <f t="shared" si="41"/>
        <v>STERLING - FSA  FEES</v>
      </c>
    </row>
    <row r="2352" spans="5:8" x14ac:dyDescent="0.25">
      <c r="E2352" t="str">
        <f>""</f>
        <v/>
      </c>
      <c r="F2352" t="str">
        <f>""</f>
        <v/>
      </c>
      <c r="G2352" s="3">
        <v>0.25</v>
      </c>
      <c r="H2352" t="str">
        <f t="shared" si="41"/>
        <v>STERLING - FSA  FEES</v>
      </c>
    </row>
    <row r="2353" spans="5:8" x14ac:dyDescent="0.25">
      <c r="E2353" t="str">
        <f>"FSF202111227342"</f>
        <v>FSF202111227342</v>
      </c>
      <c r="F2353" t="str">
        <f>"STERLING - FSA  FEES"</f>
        <v>STERLING - FSA  FEES</v>
      </c>
      <c r="G2353" s="3">
        <v>8.75</v>
      </c>
      <c r="H2353" t="str">
        <f t="shared" si="41"/>
        <v>STERLING - FSA  FEES</v>
      </c>
    </row>
    <row r="2354" spans="5:8" x14ac:dyDescent="0.25">
      <c r="E2354" t="str">
        <f>"HRF202111097073"</f>
        <v>HRF202111097073</v>
      </c>
      <c r="F2354" t="str">
        <f>"STERLING - HRA FEES"</f>
        <v>STERLING - HRA FEES</v>
      </c>
      <c r="G2354" s="3">
        <v>5.25</v>
      </c>
      <c r="H2354" t="str">
        <f t="shared" ref="H2354:H2385" si="42">"STERLING - HRA FEES"</f>
        <v>STERLING - HRA FEES</v>
      </c>
    </row>
    <row r="2355" spans="5:8" x14ac:dyDescent="0.25">
      <c r="E2355" t="str">
        <f>""</f>
        <v/>
      </c>
      <c r="F2355" t="str">
        <f>""</f>
        <v/>
      </c>
      <c r="G2355" s="3">
        <v>3.04</v>
      </c>
      <c r="H2355" t="str">
        <f t="shared" si="42"/>
        <v>STERLING - HRA FEES</v>
      </c>
    </row>
    <row r="2356" spans="5:8" x14ac:dyDescent="0.25">
      <c r="E2356" t="str">
        <f>""</f>
        <v/>
      </c>
      <c r="F2356" t="str">
        <f>""</f>
        <v/>
      </c>
      <c r="G2356" s="3">
        <v>15.55</v>
      </c>
      <c r="H2356" t="str">
        <f t="shared" si="42"/>
        <v>STERLING - HRA FEES</v>
      </c>
    </row>
    <row r="2357" spans="5:8" x14ac:dyDescent="0.25">
      <c r="E2357" t="str">
        <f>""</f>
        <v/>
      </c>
      <c r="F2357" t="str">
        <f>""</f>
        <v/>
      </c>
      <c r="G2357" s="3">
        <v>5.25</v>
      </c>
      <c r="H2357" t="str">
        <f t="shared" si="42"/>
        <v>STERLING - HRA FEES</v>
      </c>
    </row>
    <row r="2358" spans="5:8" x14ac:dyDescent="0.25">
      <c r="E2358" t="str">
        <f>""</f>
        <v/>
      </c>
      <c r="F2358" t="str">
        <f>""</f>
        <v/>
      </c>
      <c r="G2358" s="3">
        <v>1.75</v>
      </c>
      <c r="H2358" t="str">
        <f t="shared" si="42"/>
        <v>STERLING - HRA FEES</v>
      </c>
    </row>
    <row r="2359" spans="5:8" x14ac:dyDescent="0.25">
      <c r="E2359" t="str">
        <f>""</f>
        <v/>
      </c>
      <c r="F2359" t="str">
        <f>""</f>
        <v/>
      </c>
      <c r="G2359" s="3">
        <v>8.75</v>
      </c>
      <c r="H2359" t="str">
        <f t="shared" si="42"/>
        <v>STERLING - HRA FEES</v>
      </c>
    </row>
    <row r="2360" spans="5:8" x14ac:dyDescent="0.25">
      <c r="E2360" t="str">
        <f>""</f>
        <v/>
      </c>
      <c r="F2360" t="str">
        <f>""</f>
        <v/>
      </c>
      <c r="G2360" s="3">
        <v>33.25</v>
      </c>
      <c r="H2360" t="str">
        <f t="shared" si="42"/>
        <v>STERLING - HRA FEES</v>
      </c>
    </row>
    <row r="2361" spans="5:8" x14ac:dyDescent="0.25">
      <c r="E2361" t="str">
        <f>""</f>
        <v/>
      </c>
      <c r="F2361" t="str">
        <f>""</f>
        <v/>
      </c>
      <c r="G2361" s="3">
        <v>6.75</v>
      </c>
      <c r="H2361" t="str">
        <f t="shared" si="42"/>
        <v>STERLING - HRA FEES</v>
      </c>
    </row>
    <row r="2362" spans="5:8" x14ac:dyDescent="0.25">
      <c r="E2362" t="str">
        <f>""</f>
        <v/>
      </c>
      <c r="F2362" t="str">
        <f>""</f>
        <v/>
      </c>
      <c r="G2362" s="3">
        <v>8.75</v>
      </c>
      <c r="H2362" t="str">
        <f t="shared" si="42"/>
        <v>STERLING - HRA FEES</v>
      </c>
    </row>
    <row r="2363" spans="5:8" x14ac:dyDescent="0.25">
      <c r="E2363" t="str">
        <f>""</f>
        <v/>
      </c>
      <c r="F2363" t="str">
        <f>""</f>
        <v/>
      </c>
      <c r="G2363" s="3">
        <v>28</v>
      </c>
      <c r="H2363" t="str">
        <f t="shared" si="42"/>
        <v>STERLING - HRA FEES</v>
      </c>
    </row>
    <row r="2364" spans="5:8" x14ac:dyDescent="0.25">
      <c r="E2364" t="str">
        <f>""</f>
        <v/>
      </c>
      <c r="F2364" t="str">
        <f>""</f>
        <v/>
      </c>
      <c r="G2364" s="3">
        <v>7</v>
      </c>
      <c r="H2364" t="str">
        <f t="shared" si="42"/>
        <v>STERLING - HRA FEES</v>
      </c>
    </row>
    <row r="2365" spans="5:8" x14ac:dyDescent="0.25">
      <c r="E2365" t="str">
        <f>""</f>
        <v/>
      </c>
      <c r="F2365" t="str">
        <f>""</f>
        <v/>
      </c>
      <c r="G2365" s="3">
        <v>7</v>
      </c>
      <c r="H2365" t="str">
        <f t="shared" si="42"/>
        <v>STERLING - HRA FEES</v>
      </c>
    </row>
    <row r="2366" spans="5:8" x14ac:dyDescent="0.25">
      <c r="E2366" t="str">
        <f>""</f>
        <v/>
      </c>
      <c r="F2366" t="str">
        <f>""</f>
        <v/>
      </c>
      <c r="G2366" s="3">
        <v>7</v>
      </c>
      <c r="H2366" t="str">
        <f t="shared" si="42"/>
        <v>STERLING - HRA FEES</v>
      </c>
    </row>
    <row r="2367" spans="5:8" x14ac:dyDescent="0.25">
      <c r="E2367" t="str">
        <f>""</f>
        <v/>
      </c>
      <c r="F2367" t="str">
        <f>""</f>
        <v/>
      </c>
      <c r="G2367" s="3">
        <v>7</v>
      </c>
      <c r="H2367" t="str">
        <f t="shared" si="42"/>
        <v>STERLING - HRA FEES</v>
      </c>
    </row>
    <row r="2368" spans="5:8" x14ac:dyDescent="0.25">
      <c r="E2368" t="str">
        <f>""</f>
        <v/>
      </c>
      <c r="F2368" t="str">
        <f>""</f>
        <v/>
      </c>
      <c r="G2368" s="3">
        <v>3.5</v>
      </c>
      <c r="H2368" t="str">
        <f t="shared" si="42"/>
        <v>STERLING - HRA FEES</v>
      </c>
    </row>
    <row r="2369" spans="5:8" x14ac:dyDescent="0.25">
      <c r="E2369" t="str">
        <f>""</f>
        <v/>
      </c>
      <c r="F2369" t="str">
        <f>""</f>
        <v/>
      </c>
      <c r="G2369" s="3">
        <v>29.47</v>
      </c>
      <c r="H2369" t="str">
        <f t="shared" si="42"/>
        <v>STERLING - HRA FEES</v>
      </c>
    </row>
    <row r="2370" spans="5:8" x14ac:dyDescent="0.25">
      <c r="E2370" t="str">
        <f>""</f>
        <v/>
      </c>
      <c r="F2370" t="str">
        <f>""</f>
        <v/>
      </c>
      <c r="G2370" s="3">
        <v>15.75</v>
      </c>
      <c r="H2370" t="str">
        <f t="shared" si="42"/>
        <v>STERLING - HRA FEES</v>
      </c>
    </row>
    <row r="2371" spans="5:8" x14ac:dyDescent="0.25">
      <c r="E2371" t="str">
        <f>""</f>
        <v/>
      </c>
      <c r="F2371" t="str">
        <f>""</f>
        <v/>
      </c>
      <c r="G2371" s="3">
        <v>7</v>
      </c>
      <c r="H2371" t="str">
        <f t="shared" si="42"/>
        <v>STERLING - HRA FEES</v>
      </c>
    </row>
    <row r="2372" spans="5:8" x14ac:dyDescent="0.25">
      <c r="E2372" t="str">
        <f>""</f>
        <v/>
      </c>
      <c r="F2372" t="str">
        <f>""</f>
        <v/>
      </c>
      <c r="G2372" s="3">
        <v>7</v>
      </c>
      <c r="H2372" t="str">
        <f t="shared" si="42"/>
        <v>STERLING - HRA FEES</v>
      </c>
    </row>
    <row r="2373" spans="5:8" x14ac:dyDescent="0.25">
      <c r="E2373" t="str">
        <f>""</f>
        <v/>
      </c>
      <c r="F2373" t="str">
        <f>""</f>
        <v/>
      </c>
      <c r="G2373" s="3">
        <v>23.6</v>
      </c>
      <c r="H2373" t="str">
        <f t="shared" si="42"/>
        <v>STERLING - HRA FEES</v>
      </c>
    </row>
    <row r="2374" spans="5:8" x14ac:dyDescent="0.25">
      <c r="E2374" t="str">
        <f>""</f>
        <v/>
      </c>
      <c r="F2374" t="str">
        <f>""</f>
        <v/>
      </c>
      <c r="G2374" s="3">
        <v>12.25</v>
      </c>
      <c r="H2374" t="str">
        <f t="shared" si="42"/>
        <v>STERLING - HRA FEES</v>
      </c>
    </row>
    <row r="2375" spans="5:8" x14ac:dyDescent="0.25">
      <c r="E2375" t="str">
        <f>""</f>
        <v/>
      </c>
      <c r="F2375" t="str">
        <f>""</f>
        <v/>
      </c>
      <c r="G2375" s="3">
        <v>21</v>
      </c>
      <c r="H2375" t="str">
        <f t="shared" si="42"/>
        <v>STERLING - HRA FEES</v>
      </c>
    </row>
    <row r="2376" spans="5:8" x14ac:dyDescent="0.25">
      <c r="E2376" t="str">
        <f>""</f>
        <v/>
      </c>
      <c r="F2376" t="str">
        <f>""</f>
        <v/>
      </c>
      <c r="G2376" s="3">
        <v>22.75</v>
      </c>
      <c r="H2376" t="str">
        <f t="shared" si="42"/>
        <v>STERLING - HRA FEES</v>
      </c>
    </row>
    <row r="2377" spans="5:8" x14ac:dyDescent="0.25">
      <c r="E2377" t="str">
        <f>""</f>
        <v/>
      </c>
      <c r="F2377" t="str">
        <f>""</f>
        <v/>
      </c>
      <c r="G2377" s="3">
        <v>40.28</v>
      </c>
      <c r="H2377" t="str">
        <f t="shared" si="42"/>
        <v>STERLING - HRA FEES</v>
      </c>
    </row>
    <row r="2378" spans="5:8" x14ac:dyDescent="0.25">
      <c r="E2378" t="str">
        <f>""</f>
        <v/>
      </c>
      <c r="F2378" t="str">
        <f>""</f>
        <v/>
      </c>
      <c r="G2378" s="3">
        <v>1.75</v>
      </c>
      <c r="H2378" t="str">
        <f t="shared" si="42"/>
        <v>STERLING - HRA FEES</v>
      </c>
    </row>
    <row r="2379" spans="5:8" x14ac:dyDescent="0.25">
      <c r="E2379" t="str">
        <f>""</f>
        <v/>
      </c>
      <c r="F2379" t="str">
        <f>""</f>
        <v/>
      </c>
      <c r="G2379" s="3">
        <v>1.75</v>
      </c>
      <c r="H2379" t="str">
        <f t="shared" si="42"/>
        <v>STERLING - HRA FEES</v>
      </c>
    </row>
    <row r="2380" spans="5:8" x14ac:dyDescent="0.25">
      <c r="E2380" t="str">
        <f>""</f>
        <v/>
      </c>
      <c r="F2380" t="str">
        <f>""</f>
        <v/>
      </c>
      <c r="G2380" s="3">
        <v>1.75</v>
      </c>
      <c r="H2380" t="str">
        <f t="shared" si="42"/>
        <v>STERLING - HRA FEES</v>
      </c>
    </row>
    <row r="2381" spans="5:8" x14ac:dyDescent="0.25">
      <c r="E2381" t="str">
        <f>""</f>
        <v/>
      </c>
      <c r="F2381" t="str">
        <f>""</f>
        <v/>
      </c>
      <c r="G2381" s="3">
        <v>1.75</v>
      </c>
      <c r="H2381" t="str">
        <f t="shared" si="42"/>
        <v>STERLING - HRA FEES</v>
      </c>
    </row>
    <row r="2382" spans="5:8" x14ac:dyDescent="0.25">
      <c r="E2382" t="str">
        <f>""</f>
        <v/>
      </c>
      <c r="F2382" t="str">
        <f>""</f>
        <v/>
      </c>
      <c r="G2382" s="3">
        <v>164.63</v>
      </c>
      <c r="H2382" t="str">
        <f t="shared" si="42"/>
        <v>STERLING - HRA FEES</v>
      </c>
    </row>
    <row r="2383" spans="5:8" x14ac:dyDescent="0.25">
      <c r="E2383" t="str">
        <f>""</f>
        <v/>
      </c>
      <c r="F2383" t="str">
        <f>""</f>
        <v/>
      </c>
      <c r="G2383" s="3">
        <v>6.9</v>
      </c>
      <c r="H2383" t="str">
        <f t="shared" si="42"/>
        <v>STERLING - HRA FEES</v>
      </c>
    </row>
    <row r="2384" spans="5:8" x14ac:dyDescent="0.25">
      <c r="E2384" t="str">
        <f>""</f>
        <v/>
      </c>
      <c r="F2384" t="str">
        <f>""</f>
        <v/>
      </c>
      <c r="G2384" s="3">
        <v>139.97999999999999</v>
      </c>
      <c r="H2384" t="str">
        <f t="shared" si="42"/>
        <v>STERLING - HRA FEES</v>
      </c>
    </row>
    <row r="2385" spans="5:8" x14ac:dyDescent="0.25">
      <c r="E2385" t="str">
        <f>""</f>
        <v/>
      </c>
      <c r="F2385" t="str">
        <f>""</f>
        <v/>
      </c>
      <c r="G2385" s="3">
        <v>32.4</v>
      </c>
      <c r="H2385" t="str">
        <f t="shared" si="42"/>
        <v>STERLING - HRA FEES</v>
      </c>
    </row>
    <row r="2386" spans="5:8" x14ac:dyDescent="0.25">
      <c r="E2386" t="str">
        <f>""</f>
        <v/>
      </c>
      <c r="F2386" t="str">
        <f>""</f>
        <v/>
      </c>
      <c r="G2386" s="3">
        <v>1.75</v>
      </c>
      <c r="H2386" t="str">
        <f t="shared" ref="H2386:H2417" si="43">"STERLING - HRA FEES"</f>
        <v>STERLING - HRA FEES</v>
      </c>
    </row>
    <row r="2387" spans="5:8" x14ac:dyDescent="0.25">
      <c r="E2387" t="str">
        <f>""</f>
        <v/>
      </c>
      <c r="F2387" t="str">
        <f>""</f>
        <v/>
      </c>
      <c r="G2387" s="3">
        <v>5.25</v>
      </c>
      <c r="H2387" t="str">
        <f t="shared" si="43"/>
        <v>STERLING - HRA FEES</v>
      </c>
    </row>
    <row r="2388" spans="5:8" x14ac:dyDescent="0.25">
      <c r="E2388" t="str">
        <f>""</f>
        <v/>
      </c>
      <c r="F2388" t="str">
        <f>""</f>
        <v/>
      </c>
      <c r="G2388" s="3">
        <v>0.45</v>
      </c>
      <c r="H2388" t="str">
        <f t="shared" si="43"/>
        <v>STERLING - HRA FEES</v>
      </c>
    </row>
    <row r="2389" spans="5:8" x14ac:dyDescent="0.25">
      <c r="E2389" t="str">
        <f>""</f>
        <v/>
      </c>
      <c r="F2389" t="str">
        <f>""</f>
        <v/>
      </c>
      <c r="G2389" s="3">
        <v>5.25</v>
      </c>
      <c r="H2389" t="str">
        <f t="shared" si="43"/>
        <v>STERLING - HRA FEES</v>
      </c>
    </row>
    <row r="2390" spans="5:8" x14ac:dyDescent="0.25">
      <c r="E2390" t="str">
        <f>""</f>
        <v/>
      </c>
      <c r="F2390" t="str">
        <f>""</f>
        <v/>
      </c>
      <c r="G2390" s="3">
        <v>1.75</v>
      </c>
      <c r="H2390" t="str">
        <f t="shared" si="43"/>
        <v>STERLING - HRA FEES</v>
      </c>
    </row>
    <row r="2391" spans="5:8" x14ac:dyDescent="0.25">
      <c r="E2391" t="str">
        <f>""</f>
        <v/>
      </c>
      <c r="F2391" t="str">
        <f>""</f>
        <v/>
      </c>
      <c r="G2391" s="3">
        <v>7</v>
      </c>
      <c r="H2391" t="str">
        <f t="shared" si="43"/>
        <v>STERLING - HRA FEES</v>
      </c>
    </row>
    <row r="2392" spans="5:8" x14ac:dyDescent="0.25">
      <c r="E2392" t="str">
        <f>""</f>
        <v/>
      </c>
      <c r="F2392" t="str">
        <f>""</f>
        <v/>
      </c>
      <c r="G2392" s="3">
        <v>3.5</v>
      </c>
      <c r="H2392" t="str">
        <f t="shared" si="43"/>
        <v>STERLING - HRA FEES</v>
      </c>
    </row>
    <row r="2393" spans="5:8" x14ac:dyDescent="0.25">
      <c r="E2393" t="str">
        <f>""</f>
        <v/>
      </c>
      <c r="F2393" t="str">
        <f>""</f>
        <v/>
      </c>
      <c r="G2393" s="3">
        <v>1.95</v>
      </c>
      <c r="H2393" t="str">
        <f t="shared" si="43"/>
        <v>STERLING - HRA FEES</v>
      </c>
    </row>
    <row r="2394" spans="5:8" x14ac:dyDescent="0.25">
      <c r="E2394" t="str">
        <f>""</f>
        <v/>
      </c>
      <c r="F2394" t="str">
        <f>""</f>
        <v/>
      </c>
      <c r="G2394" s="3">
        <v>22.42</v>
      </c>
      <c r="H2394" t="str">
        <f t="shared" si="43"/>
        <v>STERLING - HRA FEES</v>
      </c>
    </row>
    <row r="2395" spans="5:8" x14ac:dyDescent="0.25">
      <c r="E2395" t="str">
        <f>""</f>
        <v/>
      </c>
      <c r="F2395" t="str">
        <f>""</f>
        <v/>
      </c>
      <c r="G2395" s="3">
        <v>24.17</v>
      </c>
      <c r="H2395" t="str">
        <f t="shared" si="43"/>
        <v>STERLING - HRA FEES</v>
      </c>
    </row>
    <row r="2396" spans="5:8" x14ac:dyDescent="0.25">
      <c r="E2396" t="str">
        <f>""</f>
        <v/>
      </c>
      <c r="F2396" t="str">
        <f>""</f>
        <v/>
      </c>
      <c r="G2396" s="3">
        <v>24.17</v>
      </c>
      <c r="H2396" t="str">
        <f t="shared" si="43"/>
        <v>STERLING - HRA FEES</v>
      </c>
    </row>
    <row r="2397" spans="5:8" x14ac:dyDescent="0.25">
      <c r="E2397" t="str">
        <f>""</f>
        <v/>
      </c>
      <c r="F2397" t="str">
        <f>""</f>
        <v/>
      </c>
      <c r="G2397" s="3">
        <v>29.42</v>
      </c>
      <c r="H2397" t="str">
        <f t="shared" si="43"/>
        <v>STERLING - HRA FEES</v>
      </c>
    </row>
    <row r="2398" spans="5:8" x14ac:dyDescent="0.25">
      <c r="E2398" t="str">
        <f>""</f>
        <v/>
      </c>
      <c r="F2398" t="str">
        <f>""</f>
        <v/>
      </c>
      <c r="G2398" s="3">
        <v>3.05</v>
      </c>
      <c r="H2398" t="str">
        <f t="shared" si="43"/>
        <v>STERLING - HRA FEES</v>
      </c>
    </row>
    <row r="2399" spans="5:8" x14ac:dyDescent="0.25">
      <c r="E2399" t="str">
        <f>""</f>
        <v/>
      </c>
      <c r="F2399" t="str">
        <f>""</f>
        <v/>
      </c>
      <c r="G2399" s="3">
        <v>7.0000000000000007E-2</v>
      </c>
      <c r="H2399" t="str">
        <f t="shared" si="43"/>
        <v>STERLING - HRA FEES</v>
      </c>
    </row>
    <row r="2400" spans="5:8" x14ac:dyDescent="0.25">
      <c r="E2400" t="str">
        <f>""</f>
        <v/>
      </c>
      <c r="F2400" t="str">
        <f>""</f>
        <v/>
      </c>
      <c r="G2400" s="3">
        <v>0.21</v>
      </c>
      <c r="H2400" t="str">
        <f t="shared" si="43"/>
        <v>STERLING - HRA FEES</v>
      </c>
    </row>
    <row r="2401" spans="5:8" x14ac:dyDescent="0.25">
      <c r="E2401" t="str">
        <f>""</f>
        <v/>
      </c>
      <c r="F2401" t="str">
        <f>""</f>
        <v/>
      </c>
      <c r="G2401" s="3">
        <v>0.25</v>
      </c>
      <c r="H2401" t="str">
        <f t="shared" si="43"/>
        <v>STERLING - HRA FEES</v>
      </c>
    </row>
    <row r="2402" spans="5:8" x14ac:dyDescent="0.25">
      <c r="E2402" t="str">
        <f>""</f>
        <v/>
      </c>
      <c r="F2402" t="str">
        <f>""</f>
        <v/>
      </c>
      <c r="G2402" s="3">
        <v>1.74</v>
      </c>
      <c r="H2402" t="str">
        <f t="shared" si="43"/>
        <v>STERLING - HRA FEES</v>
      </c>
    </row>
    <row r="2403" spans="5:8" x14ac:dyDescent="0.25">
      <c r="E2403" t="str">
        <f>"HRF202111097074"</f>
        <v>HRF202111097074</v>
      </c>
      <c r="F2403" t="str">
        <f>"STERLING - HRA FEES"</f>
        <v>STERLING - HRA FEES</v>
      </c>
      <c r="G2403" s="3">
        <v>26.25</v>
      </c>
      <c r="H2403" t="str">
        <f t="shared" si="43"/>
        <v>STERLING - HRA FEES</v>
      </c>
    </row>
    <row r="2404" spans="5:8" x14ac:dyDescent="0.25">
      <c r="E2404" t="str">
        <f>"HRF202111227341"</f>
        <v>HRF202111227341</v>
      </c>
      <c r="F2404" t="str">
        <f>"STERLING - HRA FEES"</f>
        <v>STERLING - HRA FEES</v>
      </c>
      <c r="G2404" s="3">
        <v>5.25</v>
      </c>
      <c r="H2404" t="str">
        <f t="shared" si="43"/>
        <v>STERLING - HRA FEES</v>
      </c>
    </row>
    <row r="2405" spans="5:8" x14ac:dyDescent="0.25">
      <c r="E2405" t="str">
        <f>""</f>
        <v/>
      </c>
      <c r="F2405" t="str">
        <f>""</f>
        <v/>
      </c>
      <c r="G2405" s="3">
        <v>3.04</v>
      </c>
      <c r="H2405" t="str">
        <f t="shared" si="43"/>
        <v>STERLING - HRA FEES</v>
      </c>
    </row>
    <row r="2406" spans="5:8" x14ac:dyDescent="0.25">
      <c r="E2406" t="str">
        <f>""</f>
        <v/>
      </c>
      <c r="F2406" t="str">
        <f>""</f>
        <v/>
      </c>
      <c r="G2406" s="3">
        <v>15.55</v>
      </c>
      <c r="H2406" t="str">
        <f t="shared" si="43"/>
        <v>STERLING - HRA FEES</v>
      </c>
    </row>
    <row r="2407" spans="5:8" x14ac:dyDescent="0.25">
      <c r="E2407" t="str">
        <f>""</f>
        <v/>
      </c>
      <c r="F2407" t="str">
        <f>""</f>
        <v/>
      </c>
      <c r="G2407" s="3">
        <v>5.25</v>
      </c>
      <c r="H2407" t="str">
        <f t="shared" si="43"/>
        <v>STERLING - HRA FEES</v>
      </c>
    </row>
    <row r="2408" spans="5:8" x14ac:dyDescent="0.25">
      <c r="E2408" t="str">
        <f>""</f>
        <v/>
      </c>
      <c r="F2408" t="str">
        <f>""</f>
        <v/>
      </c>
      <c r="G2408" s="3">
        <v>1.75</v>
      </c>
      <c r="H2408" t="str">
        <f t="shared" si="43"/>
        <v>STERLING - HRA FEES</v>
      </c>
    </row>
    <row r="2409" spans="5:8" x14ac:dyDescent="0.25">
      <c r="E2409" t="str">
        <f>""</f>
        <v/>
      </c>
      <c r="F2409" t="str">
        <f>""</f>
        <v/>
      </c>
      <c r="G2409" s="3">
        <v>8.75</v>
      </c>
      <c r="H2409" t="str">
        <f t="shared" si="43"/>
        <v>STERLING - HRA FEES</v>
      </c>
    </row>
    <row r="2410" spans="5:8" x14ac:dyDescent="0.25">
      <c r="E2410" t="str">
        <f>""</f>
        <v/>
      </c>
      <c r="F2410" t="str">
        <f>""</f>
        <v/>
      </c>
      <c r="G2410" s="3">
        <v>33.25</v>
      </c>
      <c r="H2410" t="str">
        <f t="shared" si="43"/>
        <v>STERLING - HRA FEES</v>
      </c>
    </row>
    <row r="2411" spans="5:8" x14ac:dyDescent="0.25">
      <c r="E2411" t="str">
        <f>""</f>
        <v/>
      </c>
      <c r="F2411" t="str">
        <f>""</f>
        <v/>
      </c>
      <c r="G2411" s="3">
        <v>6.75</v>
      </c>
      <c r="H2411" t="str">
        <f t="shared" si="43"/>
        <v>STERLING - HRA FEES</v>
      </c>
    </row>
    <row r="2412" spans="5:8" x14ac:dyDescent="0.25">
      <c r="E2412" t="str">
        <f>""</f>
        <v/>
      </c>
      <c r="F2412" t="str">
        <f>""</f>
        <v/>
      </c>
      <c r="G2412" s="3">
        <v>8.75</v>
      </c>
      <c r="H2412" t="str">
        <f t="shared" si="43"/>
        <v>STERLING - HRA FEES</v>
      </c>
    </row>
    <row r="2413" spans="5:8" x14ac:dyDescent="0.25">
      <c r="E2413" t="str">
        <f>""</f>
        <v/>
      </c>
      <c r="F2413" t="str">
        <f>""</f>
        <v/>
      </c>
      <c r="G2413" s="3">
        <v>28</v>
      </c>
      <c r="H2413" t="str">
        <f t="shared" si="43"/>
        <v>STERLING - HRA FEES</v>
      </c>
    </row>
    <row r="2414" spans="5:8" x14ac:dyDescent="0.25">
      <c r="E2414" t="str">
        <f>""</f>
        <v/>
      </c>
      <c r="F2414" t="str">
        <f>""</f>
        <v/>
      </c>
      <c r="G2414" s="3">
        <v>7</v>
      </c>
      <c r="H2414" t="str">
        <f t="shared" si="43"/>
        <v>STERLING - HRA FEES</v>
      </c>
    </row>
    <row r="2415" spans="5:8" x14ac:dyDescent="0.25">
      <c r="E2415" t="str">
        <f>""</f>
        <v/>
      </c>
      <c r="F2415" t="str">
        <f>""</f>
        <v/>
      </c>
      <c r="G2415" s="3">
        <v>7</v>
      </c>
      <c r="H2415" t="str">
        <f t="shared" si="43"/>
        <v>STERLING - HRA FEES</v>
      </c>
    </row>
    <row r="2416" spans="5:8" x14ac:dyDescent="0.25">
      <c r="E2416" t="str">
        <f>""</f>
        <v/>
      </c>
      <c r="F2416" t="str">
        <f>""</f>
        <v/>
      </c>
      <c r="G2416" s="3">
        <v>7</v>
      </c>
      <c r="H2416" t="str">
        <f t="shared" si="43"/>
        <v>STERLING - HRA FEES</v>
      </c>
    </row>
    <row r="2417" spans="5:8" x14ac:dyDescent="0.25">
      <c r="E2417" t="str">
        <f>""</f>
        <v/>
      </c>
      <c r="F2417" t="str">
        <f>""</f>
        <v/>
      </c>
      <c r="G2417" s="3">
        <v>7</v>
      </c>
      <c r="H2417" t="str">
        <f t="shared" si="43"/>
        <v>STERLING - HRA FEES</v>
      </c>
    </row>
    <row r="2418" spans="5:8" x14ac:dyDescent="0.25">
      <c r="E2418" t="str">
        <f>""</f>
        <v/>
      </c>
      <c r="F2418" t="str">
        <f>""</f>
        <v/>
      </c>
      <c r="G2418" s="3">
        <v>3.5</v>
      </c>
      <c r="H2418" t="str">
        <f t="shared" ref="H2418:H2453" si="44">"STERLING - HRA FEES"</f>
        <v>STERLING - HRA FEES</v>
      </c>
    </row>
    <row r="2419" spans="5:8" x14ac:dyDescent="0.25">
      <c r="E2419" t="str">
        <f>""</f>
        <v/>
      </c>
      <c r="F2419" t="str">
        <f>""</f>
        <v/>
      </c>
      <c r="G2419" s="3">
        <v>29.47</v>
      </c>
      <c r="H2419" t="str">
        <f t="shared" si="44"/>
        <v>STERLING - HRA FEES</v>
      </c>
    </row>
    <row r="2420" spans="5:8" x14ac:dyDescent="0.25">
      <c r="E2420" t="str">
        <f>""</f>
        <v/>
      </c>
      <c r="F2420" t="str">
        <f>""</f>
        <v/>
      </c>
      <c r="G2420" s="3">
        <v>15.75</v>
      </c>
      <c r="H2420" t="str">
        <f t="shared" si="44"/>
        <v>STERLING - HRA FEES</v>
      </c>
    </row>
    <row r="2421" spans="5:8" x14ac:dyDescent="0.25">
      <c r="E2421" t="str">
        <f>""</f>
        <v/>
      </c>
      <c r="F2421" t="str">
        <f>""</f>
        <v/>
      </c>
      <c r="G2421" s="3">
        <v>7</v>
      </c>
      <c r="H2421" t="str">
        <f t="shared" si="44"/>
        <v>STERLING - HRA FEES</v>
      </c>
    </row>
    <row r="2422" spans="5:8" x14ac:dyDescent="0.25">
      <c r="E2422" t="str">
        <f>""</f>
        <v/>
      </c>
      <c r="F2422" t="str">
        <f>""</f>
        <v/>
      </c>
      <c r="G2422" s="3">
        <v>7</v>
      </c>
      <c r="H2422" t="str">
        <f t="shared" si="44"/>
        <v>STERLING - HRA FEES</v>
      </c>
    </row>
    <row r="2423" spans="5:8" x14ac:dyDescent="0.25">
      <c r="E2423" t="str">
        <f>""</f>
        <v/>
      </c>
      <c r="F2423" t="str">
        <f>""</f>
        <v/>
      </c>
      <c r="G2423" s="3">
        <v>24.5</v>
      </c>
      <c r="H2423" t="str">
        <f t="shared" si="44"/>
        <v>STERLING - HRA FEES</v>
      </c>
    </row>
    <row r="2424" spans="5:8" x14ac:dyDescent="0.25">
      <c r="E2424" t="str">
        <f>""</f>
        <v/>
      </c>
      <c r="F2424" t="str">
        <f>""</f>
        <v/>
      </c>
      <c r="G2424" s="3">
        <v>12.25</v>
      </c>
      <c r="H2424" t="str">
        <f t="shared" si="44"/>
        <v>STERLING - HRA FEES</v>
      </c>
    </row>
    <row r="2425" spans="5:8" x14ac:dyDescent="0.25">
      <c r="E2425" t="str">
        <f>""</f>
        <v/>
      </c>
      <c r="F2425" t="str">
        <f>""</f>
        <v/>
      </c>
      <c r="G2425" s="3">
        <v>21</v>
      </c>
      <c r="H2425" t="str">
        <f t="shared" si="44"/>
        <v>STERLING - HRA FEES</v>
      </c>
    </row>
    <row r="2426" spans="5:8" x14ac:dyDescent="0.25">
      <c r="E2426" t="str">
        <f>""</f>
        <v/>
      </c>
      <c r="F2426" t="str">
        <f>""</f>
        <v/>
      </c>
      <c r="G2426" s="3">
        <v>22.75</v>
      </c>
      <c r="H2426" t="str">
        <f t="shared" si="44"/>
        <v>STERLING - HRA FEES</v>
      </c>
    </row>
    <row r="2427" spans="5:8" x14ac:dyDescent="0.25">
      <c r="E2427" t="str">
        <f>""</f>
        <v/>
      </c>
      <c r="F2427" t="str">
        <f>""</f>
        <v/>
      </c>
      <c r="G2427" s="3">
        <v>40.28</v>
      </c>
      <c r="H2427" t="str">
        <f t="shared" si="44"/>
        <v>STERLING - HRA FEES</v>
      </c>
    </row>
    <row r="2428" spans="5:8" x14ac:dyDescent="0.25">
      <c r="E2428" t="str">
        <f>""</f>
        <v/>
      </c>
      <c r="F2428" t="str">
        <f>""</f>
        <v/>
      </c>
      <c r="G2428" s="3">
        <v>1.75</v>
      </c>
      <c r="H2428" t="str">
        <f t="shared" si="44"/>
        <v>STERLING - HRA FEES</v>
      </c>
    </row>
    <row r="2429" spans="5:8" x14ac:dyDescent="0.25">
      <c r="E2429" t="str">
        <f>""</f>
        <v/>
      </c>
      <c r="F2429" t="str">
        <f>""</f>
        <v/>
      </c>
      <c r="G2429" s="3">
        <v>1.75</v>
      </c>
      <c r="H2429" t="str">
        <f t="shared" si="44"/>
        <v>STERLING - HRA FEES</v>
      </c>
    </row>
    <row r="2430" spans="5:8" x14ac:dyDescent="0.25">
      <c r="E2430" t="str">
        <f>""</f>
        <v/>
      </c>
      <c r="F2430" t="str">
        <f>""</f>
        <v/>
      </c>
      <c r="G2430" s="3">
        <v>1.75</v>
      </c>
      <c r="H2430" t="str">
        <f t="shared" si="44"/>
        <v>STERLING - HRA FEES</v>
      </c>
    </row>
    <row r="2431" spans="5:8" x14ac:dyDescent="0.25">
      <c r="E2431" t="str">
        <f>""</f>
        <v/>
      </c>
      <c r="F2431" t="str">
        <f>""</f>
        <v/>
      </c>
      <c r="G2431" s="3">
        <v>1.75</v>
      </c>
      <c r="H2431" t="str">
        <f t="shared" si="44"/>
        <v>STERLING - HRA FEES</v>
      </c>
    </row>
    <row r="2432" spans="5:8" x14ac:dyDescent="0.25">
      <c r="E2432" t="str">
        <f>""</f>
        <v/>
      </c>
      <c r="F2432" t="str">
        <f>""</f>
        <v/>
      </c>
      <c r="G2432" s="3">
        <v>166.3</v>
      </c>
      <c r="H2432" t="str">
        <f t="shared" si="44"/>
        <v>STERLING - HRA FEES</v>
      </c>
    </row>
    <row r="2433" spans="5:8" x14ac:dyDescent="0.25">
      <c r="E2433" t="str">
        <f>""</f>
        <v/>
      </c>
      <c r="F2433" t="str">
        <f>""</f>
        <v/>
      </c>
      <c r="G2433" s="3">
        <v>6.9</v>
      </c>
      <c r="H2433" t="str">
        <f t="shared" si="44"/>
        <v>STERLING - HRA FEES</v>
      </c>
    </row>
    <row r="2434" spans="5:8" x14ac:dyDescent="0.25">
      <c r="E2434" t="str">
        <f>""</f>
        <v/>
      </c>
      <c r="F2434" t="str">
        <f>""</f>
        <v/>
      </c>
      <c r="G2434" s="3">
        <v>138.31</v>
      </c>
      <c r="H2434" t="str">
        <f t="shared" si="44"/>
        <v>STERLING - HRA FEES</v>
      </c>
    </row>
    <row r="2435" spans="5:8" x14ac:dyDescent="0.25">
      <c r="E2435" t="str">
        <f>""</f>
        <v/>
      </c>
      <c r="F2435" t="str">
        <f>""</f>
        <v/>
      </c>
      <c r="G2435" s="3">
        <v>31.5</v>
      </c>
      <c r="H2435" t="str">
        <f t="shared" si="44"/>
        <v>STERLING - HRA FEES</v>
      </c>
    </row>
    <row r="2436" spans="5:8" x14ac:dyDescent="0.25">
      <c r="E2436" t="str">
        <f>""</f>
        <v/>
      </c>
      <c r="F2436" t="str">
        <f>""</f>
        <v/>
      </c>
      <c r="G2436" s="3">
        <v>1.75</v>
      </c>
      <c r="H2436" t="str">
        <f t="shared" si="44"/>
        <v>STERLING - HRA FEES</v>
      </c>
    </row>
    <row r="2437" spans="5:8" x14ac:dyDescent="0.25">
      <c r="E2437" t="str">
        <f>""</f>
        <v/>
      </c>
      <c r="F2437" t="str">
        <f>""</f>
        <v/>
      </c>
      <c r="G2437" s="3">
        <v>5.25</v>
      </c>
      <c r="H2437" t="str">
        <f t="shared" si="44"/>
        <v>STERLING - HRA FEES</v>
      </c>
    </row>
    <row r="2438" spans="5:8" x14ac:dyDescent="0.25">
      <c r="E2438" t="str">
        <f>""</f>
        <v/>
      </c>
      <c r="F2438" t="str">
        <f>""</f>
        <v/>
      </c>
      <c r="G2438" s="3">
        <v>0.45</v>
      </c>
      <c r="H2438" t="str">
        <f t="shared" si="44"/>
        <v>STERLING - HRA FEES</v>
      </c>
    </row>
    <row r="2439" spans="5:8" x14ac:dyDescent="0.25">
      <c r="E2439" t="str">
        <f>""</f>
        <v/>
      </c>
      <c r="F2439" t="str">
        <f>""</f>
        <v/>
      </c>
      <c r="G2439" s="3">
        <v>5.25</v>
      </c>
      <c r="H2439" t="str">
        <f t="shared" si="44"/>
        <v>STERLING - HRA FEES</v>
      </c>
    </row>
    <row r="2440" spans="5:8" x14ac:dyDescent="0.25">
      <c r="E2440" t="str">
        <f>""</f>
        <v/>
      </c>
      <c r="F2440" t="str">
        <f>""</f>
        <v/>
      </c>
      <c r="G2440" s="3">
        <v>1.75</v>
      </c>
      <c r="H2440" t="str">
        <f t="shared" si="44"/>
        <v>STERLING - HRA FEES</v>
      </c>
    </row>
    <row r="2441" spans="5:8" x14ac:dyDescent="0.25">
      <c r="E2441" t="str">
        <f>""</f>
        <v/>
      </c>
      <c r="F2441" t="str">
        <f>""</f>
        <v/>
      </c>
      <c r="G2441" s="3">
        <v>7</v>
      </c>
      <c r="H2441" t="str">
        <f t="shared" si="44"/>
        <v>STERLING - HRA FEES</v>
      </c>
    </row>
    <row r="2442" spans="5:8" x14ac:dyDescent="0.25">
      <c r="E2442" t="str">
        <f>""</f>
        <v/>
      </c>
      <c r="F2442" t="str">
        <f>""</f>
        <v/>
      </c>
      <c r="G2442" s="3">
        <v>3.5</v>
      </c>
      <c r="H2442" t="str">
        <f t="shared" si="44"/>
        <v>STERLING - HRA FEES</v>
      </c>
    </row>
    <row r="2443" spans="5:8" x14ac:dyDescent="0.25">
      <c r="E2443" t="str">
        <f>""</f>
        <v/>
      </c>
      <c r="F2443" t="str">
        <f>""</f>
        <v/>
      </c>
      <c r="G2443" s="3">
        <v>1.95</v>
      </c>
      <c r="H2443" t="str">
        <f t="shared" si="44"/>
        <v>STERLING - HRA FEES</v>
      </c>
    </row>
    <row r="2444" spans="5:8" x14ac:dyDescent="0.25">
      <c r="E2444" t="str">
        <f>""</f>
        <v/>
      </c>
      <c r="F2444" t="str">
        <f>""</f>
        <v/>
      </c>
      <c r="G2444" s="3">
        <v>22.42</v>
      </c>
      <c r="H2444" t="str">
        <f t="shared" si="44"/>
        <v>STERLING - HRA FEES</v>
      </c>
    </row>
    <row r="2445" spans="5:8" x14ac:dyDescent="0.25">
      <c r="E2445" t="str">
        <f>""</f>
        <v/>
      </c>
      <c r="F2445" t="str">
        <f>""</f>
        <v/>
      </c>
      <c r="G2445" s="3">
        <v>24.17</v>
      </c>
      <c r="H2445" t="str">
        <f t="shared" si="44"/>
        <v>STERLING - HRA FEES</v>
      </c>
    </row>
    <row r="2446" spans="5:8" x14ac:dyDescent="0.25">
      <c r="E2446" t="str">
        <f>""</f>
        <v/>
      </c>
      <c r="F2446" t="str">
        <f>""</f>
        <v/>
      </c>
      <c r="G2446" s="3">
        <v>24.17</v>
      </c>
      <c r="H2446" t="str">
        <f t="shared" si="44"/>
        <v>STERLING - HRA FEES</v>
      </c>
    </row>
    <row r="2447" spans="5:8" x14ac:dyDescent="0.25">
      <c r="E2447" t="str">
        <f>""</f>
        <v/>
      </c>
      <c r="F2447" t="str">
        <f>""</f>
        <v/>
      </c>
      <c r="G2447" s="3">
        <v>25.92</v>
      </c>
      <c r="H2447" t="str">
        <f t="shared" si="44"/>
        <v>STERLING - HRA FEES</v>
      </c>
    </row>
    <row r="2448" spans="5:8" x14ac:dyDescent="0.25">
      <c r="E2448" t="str">
        <f>""</f>
        <v/>
      </c>
      <c r="F2448" t="str">
        <f>""</f>
        <v/>
      </c>
      <c r="G2448" s="3">
        <v>3.05</v>
      </c>
      <c r="H2448" t="str">
        <f t="shared" si="44"/>
        <v>STERLING - HRA FEES</v>
      </c>
    </row>
    <row r="2449" spans="1:8" x14ac:dyDescent="0.25">
      <c r="E2449" t="str">
        <f>""</f>
        <v/>
      </c>
      <c r="F2449" t="str">
        <f>""</f>
        <v/>
      </c>
      <c r="G2449" s="3">
        <v>7.0000000000000007E-2</v>
      </c>
      <c r="H2449" t="str">
        <f t="shared" si="44"/>
        <v>STERLING - HRA FEES</v>
      </c>
    </row>
    <row r="2450" spans="1:8" x14ac:dyDescent="0.25">
      <c r="E2450" t="str">
        <f>""</f>
        <v/>
      </c>
      <c r="F2450" t="str">
        <f>""</f>
        <v/>
      </c>
      <c r="G2450" s="3">
        <v>0.21</v>
      </c>
      <c r="H2450" t="str">
        <f t="shared" si="44"/>
        <v>STERLING - HRA FEES</v>
      </c>
    </row>
    <row r="2451" spans="1:8" x14ac:dyDescent="0.25">
      <c r="E2451" t="str">
        <f>""</f>
        <v/>
      </c>
      <c r="F2451" t="str">
        <f>""</f>
        <v/>
      </c>
      <c r="G2451" s="3">
        <v>0.25</v>
      </c>
      <c r="H2451" t="str">
        <f t="shared" si="44"/>
        <v>STERLING - HRA FEES</v>
      </c>
    </row>
    <row r="2452" spans="1:8" x14ac:dyDescent="0.25">
      <c r="E2452" t="str">
        <f>""</f>
        <v/>
      </c>
      <c r="F2452" t="str">
        <f>""</f>
        <v/>
      </c>
      <c r="G2452" s="3">
        <v>1.74</v>
      </c>
      <c r="H2452" t="str">
        <f t="shared" si="44"/>
        <v>STERLING - HRA FEES</v>
      </c>
    </row>
    <row r="2453" spans="1:8" x14ac:dyDescent="0.25">
      <c r="E2453" t="str">
        <f>"HRF202111227342"</f>
        <v>HRF202111227342</v>
      </c>
      <c r="F2453" t="str">
        <f>"STERLING - HRA FEES"</f>
        <v>STERLING - HRA FEES</v>
      </c>
      <c r="G2453" s="3">
        <v>26.25</v>
      </c>
      <c r="H2453" t="str">
        <f t="shared" si="44"/>
        <v>STERLING - HRA FEES</v>
      </c>
    </row>
    <row r="2454" spans="1:8" x14ac:dyDescent="0.25">
      <c r="A2454" t="s">
        <v>624</v>
      </c>
      <c r="B2454">
        <v>48535</v>
      </c>
      <c r="C2454" s="3">
        <v>412635.15</v>
      </c>
      <c r="D2454" s="6">
        <v>44529</v>
      </c>
      <c r="E2454" t="str">
        <f>"202111297414"</f>
        <v>202111297414</v>
      </c>
      <c r="F2454" t="str">
        <f>"RETIREE INS - NOVEMBER 2021"</f>
        <v>RETIREE INS - NOVEMBER 2021</v>
      </c>
      <c r="G2454" s="3">
        <v>18526.72</v>
      </c>
      <c r="H2454" t="str">
        <f>"RETIREE INS - NOVEMBER 2021"</f>
        <v>RETIREE INS - NOVEMBER 2021</v>
      </c>
    </row>
    <row r="2455" spans="1:8" x14ac:dyDescent="0.25">
      <c r="E2455" t="str">
        <f>"202111297415"</f>
        <v>202111297415</v>
      </c>
      <c r="F2455" t="str">
        <f>"ADJ - NOVEMBER 2021"</f>
        <v>ADJ - NOVEMBER 2021</v>
      </c>
      <c r="G2455" s="3">
        <v>560.32000000000005</v>
      </c>
      <c r="H2455" t="str">
        <f>"ADJ - NOVEMBER 2021"</f>
        <v>ADJ - NOVEMBER 2021</v>
      </c>
    </row>
    <row r="2456" spans="1:8" x14ac:dyDescent="0.25">
      <c r="E2456" t="str">
        <f>"2EC202111097073"</f>
        <v>2EC202111097073</v>
      </c>
      <c r="F2456" t="str">
        <f>"BCBS PAYABLE"</f>
        <v>BCBS PAYABLE</v>
      </c>
      <c r="G2456" s="3">
        <v>374.3</v>
      </c>
      <c r="H2456" t="str">
        <f t="shared" ref="H2456:H2519" si="45">"BCBS PAYABLE"</f>
        <v>BCBS PAYABLE</v>
      </c>
    </row>
    <row r="2457" spans="1:8" x14ac:dyDescent="0.25">
      <c r="E2457" t="str">
        <f>""</f>
        <v/>
      </c>
      <c r="F2457" t="str">
        <f>""</f>
        <v/>
      </c>
      <c r="G2457" s="3">
        <v>748.6</v>
      </c>
      <c r="H2457" t="str">
        <f t="shared" si="45"/>
        <v>BCBS PAYABLE</v>
      </c>
    </row>
    <row r="2458" spans="1:8" x14ac:dyDescent="0.25">
      <c r="E2458" t="str">
        <f>""</f>
        <v/>
      </c>
      <c r="F2458" t="str">
        <f>""</f>
        <v/>
      </c>
      <c r="G2458" s="3">
        <v>1497.2</v>
      </c>
      <c r="H2458" t="str">
        <f t="shared" si="45"/>
        <v>BCBS PAYABLE</v>
      </c>
    </row>
    <row r="2459" spans="1:8" x14ac:dyDescent="0.25">
      <c r="E2459" t="str">
        <f>""</f>
        <v/>
      </c>
      <c r="F2459" t="str">
        <f>""</f>
        <v/>
      </c>
      <c r="G2459" s="3">
        <v>1497.2</v>
      </c>
      <c r="H2459" t="str">
        <f t="shared" si="45"/>
        <v>BCBS PAYABLE</v>
      </c>
    </row>
    <row r="2460" spans="1:8" x14ac:dyDescent="0.25">
      <c r="E2460" t="str">
        <f>""</f>
        <v/>
      </c>
      <c r="F2460" t="str">
        <f>""</f>
        <v/>
      </c>
      <c r="G2460" s="3">
        <v>321.16000000000003</v>
      </c>
      <c r="H2460" t="str">
        <f t="shared" si="45"/>
        <v>BCBS PAYABLE</v>
      </c>
    </row>
    <row r="2461" spans="1:8" x14ac:dyDescent="0.25">
      <c r="E2461" t="str">
        <f>""</f>
        <v/>
      </c>
      <c r="F2461" t="str">
        <f>""</f>
        <v/>
      </c>
      <c r="G2461" s="3">
        <v>374.3</v>
      </c>
      <c r="H2461" t="str">
        <f t="shared" si="45"/>
        <v>BCBS PAYABLE</v>
      </c>
    </row>
    <row r="2462" spans="1:8" x14ac:dyDescent="0.25">
      <c r="E2462" t="str">
        <f>""</f>
        <v/>
      </c>
      <c r="F2462" t="str">
        <f>""</f>
        <v/>
      </c>
      <c r="G2462" s="3">
        <v>1497.2</v>
      </c>
      <c r="H2462" t="str">
        <f t="shared" si="45"/>
        <v>BCBS PAYABLE</v>
      </c>
    </row>
    <row r="2463" spans="1:8" x14ac:dyDescent="0.25">
      <c r="E2463" t="str">
        <f>""</f>
        <v/>
      </c>
      <c r="F2463" t="str">
        <f>""</f>
        <v/>
      </c>
      <c r="G2463" s="3">
        <v>748.6</v>
      </c>
      <c r="H2463" t="str">
        <f t="shared" si="45"/>
        <v>BCBS PAYABLE</v>
      </c>
    </row>
    <row r="2464" spans="1:8" x14ac:dyDescent="0.25">
      <c r="E2464" t="str">
        <f>""</f>
        <v/>
      </c>
      <c r="F2464" t="str">
        <f>""</f>
        <v/>
      </c>
      <c r="G2464" s="3">
        <v>748.6</v>
      </c>
      <c r="H2464" t="str">
        <f t="shared" si="45"/>
        <v>BCBS PAYABLE</v>
      </c>
    </row>
    <row r="2465" spans="5:8" x14ac:dyDescent="0.25">
      <c r="E2465" t="str">
        <f>""</f>
        <v/>
      </c>
      <c r="F2465" t="str">
        <f>""</f>
        <v/>
      </c>
      <c r="G2465" s="3">
        <v>1479.13</v>
      </c>
      <c r="H2465" t="str">
        <f t="shared" si="45"/>
        <v>BCBS PAYABLE</v>
      </c>
    </row>
    <row r="2466" spans="5:8" x14ac:dyDescent="0.25">
      <c r="E2466" t="str">
        <f>""</f>
        <v/>
      </c>
      <c r="F2466" t="str">
        <f>""</f>
        <v/>
      </c>
      <c r="G2466" s="3">
        <v>1497.2</v>
      </c>
      <c r="H2466" t="str">
        <f t="shared" si="45"/>
        <v>BCBS PAYABLE</v>
      </c>
    </row>
    <row r="2467" spans="5:8" x14ac:dyDescent="0.25">
      <c r="E2467" t="str">
        <f>""</f>
        <v/>
      </c>
      <c r="F2467" t="str">
        <f>""</f>
        <v/>
      </c>
      <c r="G2467" s="3">
        <v>374.3</v>
      </c>
      <c r="H2467" t="str">
        <f t="shared" si="45"/>
        <v>BCBS PAYABLE</v>
      </c>
    </row>
    <row r="2468" spans="5:8" x14ac:dyDescent="0.25">
      <c r="E2468" t="str">
        <f>""</f>
        <v/>
      </c>
      <c r="F2468" t="str">
        <f>""</f>
        <v/>
      </c>
      <c r="G2468" s="3">
        <v>748.6</v>
      </c>
      <c r="H2468" t="str">
        <f t="shared" si="45"/>
        <v>BCBS PAYABLE</v>
      </c>
    </row>
    <row r="2469" spans="5:8" x14ac:dyDescent="0.25">
      <c r="E2469" t="str">
        <f>""</f>
        <v/>
      </c>
      <c r="F2469" t="str">
        <f>""</f>
        <v/>
      </c>
      <c r="G2469" s="3">
        <v>748.6</v>
      </c>
      <c r="H2469" t="str">
        <f t="shared" si="45"/>
        <v>BCBS PAYABLE</v>
      </c>
    </row>
    <row r="2470" spans="5:8" x14ac:dyDescent="0.25">
      <c r="E2470" t="str">
        <f>""</f>
        <v/>
      </c>
      <c r="F2470" t="str">
        <f>""</f>
        <v/>
      </c>
      <c r="G2470" s="3">
        <v>1122.9000000000001</v>
      </c>
      <c r="H2470" t="str">
        <f t="shared" si="45"/>
        <v>BCBS PAYABLE</v>
      </c>
    </row>
    <row r="2471" spans="5:8" x14ac:dyDescent="0.25">
      <c r="E2471" t="str">
        <f>""</f>
        <v/>
      </c>
      <c r="F2471" t="str">
        <f>""</f>
        <v/>
      </c>
      <c r="G2471" s="3">
        <v>1122.9000000000001</v>
      </c>
      <c r="H2471" t="str">
        <f t="shared" si="45"/>
        <v>BCBS PAYABLE</v>
      </c>
    </row>
    <row r="2472" spans="5:8" x14ac:dyDescent="0.25">
      <c r="E2472" t="str">
        <f>""</f>
        <v/>
      </c>
      <c r="F2472" t="str">
        <f>""</f>
        <v/>
      </c>
      <c r="G2472" s="3">
        <v>1122.9000000000001</v>
      </c>
      <c r="H2472" t="str">
        <f t="shared" si="45"/>
        <v>BCBS PAYABLE</v>
      </c>
    </row>
    <row r="2473" spans="5:8" x14ac:dyDescent="0.25">
      <c r="E2473" t="str">
        <f>""</f>
        <v/>
      </c>
      <c r="F2473" t="str">
        <f>""</f>
        <v/>
      </c>
      <c r="G2473" s="3">
        <v>1871.5</v>
      </c>
      <c r="H2473" t="str">
        <f t="shared" si="45"/>
        <v>BCBS PAYABLE</v>
      </c>
    </row>
    <row r="2474" spans="5:8" x14ac:dyDescent="0.25">
      <c r="E2474" t="str">
        <f>""</f>
        <v/>
      </c>
      <c r="F2474" t="str">
        <f>""</f>
        <v/>
      </c>
      <c r="G2474" s="3">
        <v>374.3</v>
      </c>
      <c r="H2474" t="str">
        <f t="shared" si="45"/>
        <v>BCBS PAYABLE</v>
      </c>
    </row>
    <row r="2475" spans="5:8" x14ac:dyDescent="0.25">
      <c r="E2475" t="str">
        <f>""</f>
        <v/>
      </c>
      <c r="F2475" t="str">
        <f>""</f>
        <v/>
      </c>
      <c r="G2475" s="3">
        <v>374.3</v>
      </c>
      <c r="H2475" t="str">
        <f t="shared" si="45"/>
        <v>BCBS PAYABLE</v>
      </c>
    </row>
    <row r="2476" spans="5:8" x14ac:dyDescent="0.25">
      <c r="E2476" t="str">
        <f>""</f>
        <v/>
      </c>
      <c r="F2476" t="str">
        <f>""</f>
        <v/>
      </c>
      <c r="G2476" s="3">
        <v>7980.78</v>
      </c>
      <c r="H2476" t="str">
        <f t="shared" si="45"/>
        <v>BCBS PAYABLE</v>
      </c>
    </row>
    <row r="2477" spans="5:8" x14ac:dyDescent="0.25">
      <c r="E2477" t="str">
        <f>""</f>
        <v/>
      </c>
      <c r="F2477" t="str">
        <f>""</f>
        <v/>
      </c>
      <c r="G2477" s="3">
        <v>363.21</v>
      </c>
      <c r="H2477" t="str">
        <f t="shared" si="45"/>
        <v>BCBS PAYABLE</v>
      </c>
    </row>
    <row r="2478" spans="5:8" x14ac:dyDescent="0.25">
      <c r="E2478" t="str">
        <f>""</f>
        <v/>
      </c>
      <c r="F2478" t="str">
        <f>""</f>
        <v/>
      </c>
      <c r="G2478" s="3">
        <v>7002.31</v>
      </c>
      <c r="H2478" t="str">
        <f t="shared" si="45"/>
        <v>BCBS PAYABLE</v>
      </c>
    </row>
    <row r="2479" spans="5:8" x14ac:dyDescent="0.25">
      <c r="E2479" t="str">
        <f>""</f>
        <v/>
      </c>
      <c r="F2479" t="str">
        <f>""</f>
        <v/>
      </c>
      <c r="G2479" s="3">
        <v>1497.2</v>
      </c>
      <c r="H2479" t="str">
        <f t="shared" si="45"/>
        <v>BCBS PAYABLE</v>
      </c>
    </row>
    <row r="2480" spans="5:8" x14ac:dyDescent="0.25">
      <c r="E2480" t="str">
        <f>""</f>
        <v/>
      </c>
      <c r="F2480" t="str">
        <f>""</f>
        <v/>
      </c>
      <c r="G2480" s="3">
        <v>374.3</v>
      </c>
      <c r="H2480" t="str">
        <f t="shared" si="45"/>
        <v>BCBS PAYABLE</v>
      </c>
    </row>
    <row r="2481" spans="5:8" x14ac:dyDescent="0.25">
      <c r="E2481" t="str">
        <f>""</f>
        <v/>
      </c>
      <c r="F2481" t="str">
        <f>""</f>
        <v/>
      </c>
      <c r="G2481" s="3">
        <v>374.3</v>
      </c>
      <c r="H2481" t="str">
        <f t="shared" si="45"/>
        <v>BCBS PAYABLE</v>
      </c>
    </row>
    <row r="2482" spans="5:8" x14ac:dyDescent="0.25">
      <c r="E2482" t="str">
        <f>""</f>
        <v/>
      </c>
      <c r="F2482" t="str">
        <f>""</f>
        <v/>
      </c>
      <c r="G2482" s="3">
        <v>374.3</v>
      </c>
      <c r="H2482" t="str">
        <f t="shared" si="45"/>
        <v>BCBS PAYABLE</v>
      </c>
    </row>
    <row r="2483" spans="5:8" x14ac:dyDescent="0.25">
      <c r="E2483" t="str">
        <f>""</f>
        <v/>
      </c>
      <c r="F2483" t="str">
        <f>""</f>
        <v/>
      </c>
      <c r="G2483" s="3">
        <v>1497.2</v>
      </c>
      <c r="H2483" t="str">
        <f t="shared" si="45"/>
        <v>BCBS PAYABLE</v>
      </c>
    </row>
    <row r="2484" spans="5:8" x14ac:dyDescent="0.25">
      <c r="E2484" t="str">
        <f>""</f>
        <v/>
      </c>
      <c r="F2484" t="str">
        <f>""</f>
        <v/>
      </c>
      <c r="G2484" s="3">
        <v>1497.2</v>
      </c>
      <c r="H2484" t="str">
        <f t="shared" si="45"/>
        <v>BCBS PAYABLE</v>
      </c>
    </row>
    <row r="2485" spans="5:8" x14ac:dyDescent="0.25">
      <c r="E2485" t="str">
        <f>""</f>
        <v/>
      </c>
      <c r="F2485" t="str">
        <f>""</f>
        <v/>
      </c>
      <c r="G2485" s="3">
        <v>4.8600000000000003</v>
      </c>
      <c r="H2485" t="str">
        <f t="shared" si="45"/>
        <v>BCBS PAYABLE</v>
      </c>
    </row>
    <row r="2486" spans="5:8" x14ac:dyDescent="0.25">
      <c r="E2486" t="str">
        <f>""</f>
        <v/>
      </c>
      <c r="F2486" t="str">
        <f>""</f>
        <v/>
      </c>
      <c r="G2486" s="3">
        <v>13.21</v>
      </c>
      <c r="H2486" t="str">
        <f t="shared" si="45"/>
        <v>BCBS PAYABLE</v>
      </c>
    </row>
    <row r="2487" spans="5:8" x14ac:dyDescent="0.25">
      <c r="E2487" t="str">
        <f>""</f>
        <v/>
      </c>
      <c r="F2487" t="str">
        <f>""</f>
        <v/>
      </c>
      <c r="G2487" s="3">
        <v>53.14</v>
      </c>
      <c r="H2487" t="str">
        <f t="shared" si="45"/>
        <v>BCBS PAYABLE</v>
      </c>
    </row>
    <row r="2488" spans="5:8" x14ac:dyDescent="0.25">
      <c r="E2488" t="str">
        <f>""</f>
        <v/>
      </c>
      <c r="F2488" t="str">
        <f>""</f>
        <v/>
      </c>
      <c r="G2488" s="3">
        <v>14848.48</v>
      </c>
      <c r="H2488" t="str">
        <f t="shared" si="45"/>
        <v>BCBS PAYABLE</v>
      </c>
    </row>
    <row r="2489" spans="5:8" x14ac:dyDescent="0.25">
      <c r="E2489" t="str">
        <f>"2EC202111097074"</f>
        <v>2EC202111097074</v>
      </c>
      <c r="F2489" t="str">
        <f>"BCBS PAYABLE"</f>
        <v>BCBS PAYABLE</v>
      </c>
      <c r="G2489" s="3">
        <v>1497.2</v>
      </c>
      <c r="H2489" t="str">
        <f t="shared" si="45"/>
        <v>BCBS PAYABLE</v>
      </c>
    </row>
    <row r="2490" spans="5:8" x14ac:dyDescent="0.25">
      <c r="E2490" t="str">
        <f>""</f>
        <v/>
      </c>
      <c r="F2490" t="str">
        <f>""</f>
        <v/>
      </c>
      <c r="G2490" s="3">
        <v>560.32000000000005</v>
      </c>
      <c r="H2490" t="str">
        <f t="shared" si="45"/>
        <v>BCBS PAYABLE</v>
      </c>
    </row>
    <row r="2491" spans="5:8" x14ac:dyDescent="0.25">
      <c r="E2491" t="str">
        <f>"2EC202111227341"</f>
        <v>2EC202111227341</v>
      </c>
      <c r="F2491" t="str">
        <f>"BCBS PAYABLE"</f>
        <v>BCBS PAYABLE</v>
      </c>
      <c r="G2491" s="3">
        <v>374.3</v>
      </c>
      <c r="H2491" t="str">
        <f t="shared" si="45"/>
        <v>BCBS PAYABLE</v>
      </c>
    </row>
    <row r="2492" spans="5:8" x14ac:dyDescent="0.25">
      <c r="E2492" t="str">
        <f>""</f>
        <v/>
      </c>
      <c r="F2492" t="str">
        <f>""</f>
        <v/>
      </c>
      <c r="G2492" s="3">
        <v>748.6</v>
      </c>
      <c r="H2492" t="str">
        <f t="shared" si="45"/>
        <v>BCBS PAYABLE</v>
      </c>
    </row>
    <row r="2493" spans="5:8" x14ac:dyDescent="0.25">
      <c r="E2493" t="str">
        <f>""</f>
        <v/>
      </c>
      <c r="F2493" t="str">
        <f>""</f>
        <v/>
      </c>
      <c r="G2493" s="3">
        <v>1497.2</v>
      </c>
      <c r="H2493" t="str">
        <f t="shared" si="45"/>
        <v>BCBS PAYABLE</v>
      </c>
    </row>
    <row r="2494" spans="5:8" x14ac:dyDescent="0.25">
      <c r="E2494" t="str">
        <f>""</f>
        <v/>
      </c>
      <c r="F2494" t="str">
        <f>""</f>
        <v/>
      </c>
      <c r="G2494" s="3">
        <v>1497.2</v>
      </c>
      <c r="H2494" t="str">
        <f t="shared" si="45"/>
        <v>BCBS PAYABLE</v>
      </c>
    </row>
    <row r="2495" spans="5:8" x14ac:dyDescent="0.25">
      <c r="E2495" t="str">
        <f>""</f>
        <v/>
      </c>
      <c r="F2495" t="str">
        <f>""</f>
        <v/>
      </c>
      <c r="G2495" s="3">
        <v>321.16000000000003</v>
      </c>
      <c r="H2495" t="str">
        <f t="shared" si="45"/>
        <v>BCBS PAYABLE</v>
      </c>
    </row>
    <row r="2496" spans="5:8" x14ac:dyDescent="0.25">
      <c r="E2496" t="str">
        <f>""</f>
        <v/>
      </c>
      <c r="F2496" t="str">
        <f>""</f>
        <v/>
      </c>
      <c r="G2496" s="3">
        <v>374.3</v>
      </c>
      <c r="H2496" t="str">
        <f t="shared" si="45"/>
        <v>BCBS PAYABLE</v>
      </c>
    </row>
    <row r="2497" spans="5:8" x14ac:dyDescent="0.25">
      <c r="E2497" t="str">
        <f>""</f>
        <v/>
      </c>
      <c r="F2497" t="str">
        <f>""</f>
        <v/>
      </c>
      <c r="G2497" s="3">
        <v>1497.2</v>
      </c>
      <c r="H2497" t="str">
        <f t="shared" si="45"/>
        <v>BCBS PAYABLE</v>
      </c>
    </row>
    <row r="2498" spans="5:8" x14ac:dyDescent="0.25">
      <c r="E2498" t="str">
        <f>""</f>
        <v/>
      </c>
      <c r="F2498" t="str">
        <f>""</f>
        <v/>
      </c>
      <c r="G2498" s="3">
        <v>748.6</v>
      </c>
      <c r="H2498" t="str">
        <f t="shared" si="45"/>
        <v>BCBS PAYABLE</v>
      </c>
    </row>
    <row r="2499" spans="5:8" x14ac:dyDescent="0.25">
      <c r="E2499" t="str">
        <f>""</f>
        <v/>
      </c>
      <c r="F2499" t="str">
        <f>""</f>
        <v/>
      </c>
      <c r="G2499" s="3">
        <v>748.6</v>
      </c>
      <c r="H2499" t="str">
        <f t="shared" si="45"/>
        <v>BCBS PAYABLE</v>
      </c>
    </row>
    <row r="2500" spans="5:8" x14ac:dyDescent="0.25">
      <c r="E2500" t="str">
        <f>""</f>
        <v/>
      </c>
      <c r="F2500" t="str">
        <f>""</f>
        <v/>
      </c>
      <c r="G2500" s="3">
        <v>1479.13</v>
      </c>
      <c r="H2500" t="str">
        <f t="shared" si="45"/>
        <v>BCBS PAYABLE</v>
      </c>
    </row>
    <row r="2501" spans="5:8" x14ac:dyDescent="0.25">
      <c r="E2501" t="str">
        <f>""</f>
        <v/>
      </c>
      <c r="F2501" t="str">
        <f>""</f>
        <v/>
      </c>
      <c r="G2501" s="3">
        <v>1497.2</v>
      </c>
      <c r="H2501" t="str">
        <f t="shared" si="45"/>
        <v>BCBS PAYABLE</v>
      </c>
    </row>
    <row r="2502" spans="5:8" x14ac:dyDescent="0.25">
      <c r="E2502" t="str">
        <f>""</f>
        <v/>
      </c>
      <c r="F2502" t="str">
        <f>""</f>
        <v/>
      </c>
      <c r="G2502" s="3">
        <v>374.3</v>
      </c>
      <c r="H2502" t="str">
        <f t="shared" si="45"/>
        <v>BCBS PAYABLE</v>
      </c>
    </row>
    <row r="2503" spans="5:8" x14ac:dyDescent="0.25">
      <c r="E2503" t="str">
        <f>""</f>
        <v/>
      </c>
      <c r="F2503" t="str">
        <f>""</f>
        <v/>
      </c>
      <c r="G2503" s="3">
        <v>748.6</v>
      </c>
      <c r="H2503" t="str">
        <f t="shared" si="45"/>
        <v>BCBS PAYABLE</v>
      </c>
    </row>
    <row r="2504" spans="5:8" x14ac:dyDescent="0.25">
      <c r="E2504" t="str">
        <f>""</f>
        <v/>
      </c>
      <c r="F2504" t="str">
        <f>""</f>
        <v/>
      </c>
      <c r="G2504" s="3">
        <v>1122.9000000000001</v>
      </c>
      <c r="H2504" t="str">
        <f t="shared" si="45"/>
        <v>BCBS PAYABLE</v>
      </c>
    </row>
    <row r="2505" spans="5:8" x14ac:dyDescent="0.25">
      <c r="E2505" t="str">
        <f>""</f>
        <v/>
      </c>
      <c r="F2505" t="str">
        <f>""</f>
        <v/>
      </c>
      <c r="G2505" s="3">
        <v>748.6</v>
      </c>
      <c r="H2505" t="str">
        <f t="shared" si="45"/>
        <v>BCBS PAYABLE</v>
      </c>
    </row>
    <row r="2506" spans="5:8" x14ac:dyDescent="0.25">
      <c r="E2506" t="str">
        <f>""</f>
        <v/>
      </c>
      <c r="F2506" t="str">
        <f>""</f>
        <v/>
      </c>
      <c r="G2506" s="3">
        <v>1122.9000000000001</v>
      </c>
      <c r="H2506" t="str">
        <f t="shared" si="45"/>
        <v>BCBS PAYABLE</v>
      </c>
    </row>
    <row r="2507" spans="5:8" x14ac:dyDescent="0.25">
      <c r="E2507" t="str">
        <f>""</f>
        <v/>
      </c>
      <c r="F2507" t="str">
        <f>""</f>
        <v/>
      </c>
      <c r="G2507" s="3">
        <v>1122.9000000000001</v>
      </c>
      <c r="H2507" t="str">
        <f t="shared" si="45"/>
        <v>BCBS PAYABLE</v>
      </c>
    </row>
    <row r="2508" spans="5:8" x14ac:dyDescent="0.25">
      <c r="E2508" t="str">
        <f>""</f>
        <v/>
      </c>
      <c r="F2508" t="str">
        <f>""</f>
        <v/>
      </c>
      <c r="G2508" s="3">
        <v>1871.5</v>
      </c>
      <c r="H2508" t="str">
        <f t="shared" si="45"/>
        <v>BCBS PAYABLE</v>
      </c>
    </row>
    <row r="2509" spans="5:8" x14ac:dyDescent="0.25">
      <c r="E2509" t="str">
        <f>""</f>
        <v/>
      </c>
      <c r="F2509" t="str">
        <f>""</f>
        <v/>
      </c>
      <c r="G2509" s="3">
        <v>374.3</v>
      </c>
      <c r="H2509" t="str">
        <f t="shared" si="45"/>
        <v>BCBS PAYABLE</v>
      </c>
    </row>
    <row r="2510" spans="5:8" x14ac:dyDescent="0.25">
      <c r="E2510" t="str">
        <f>""</f>
        <v/>
      </c>
      <c r="F2510" t="str">
        <f>""</f>
        <v/>
      </c>
      <c r="G2510" s="3">
        <v>374.3</v>
      </c>
      <c r="H2510" t="str">
        <f t="shared" si="45"/>
        <v>BCBS PAYABLE</v>
      </c>
    </row>
    <row r="2511" spans="5:8" x14ac:dyDescent="0.25">
      <c r="E2511" t="str">
        <f>""</f>
        <v/>
      </c>
      <c r="F2511" t="str">
        <f>""</f>
        <v/>
      </c>
      <c r="G2511" s="3">
        <v>7976.42</v>
      </c>
      <c r="H2511" t="str">
        <f t="shared" si="45"/>
        <v>BCBS PAYABLE</v>
      </c>
    </row>
    <row r="2512" spans="5:8" x14ac:dyDescent="0.25">
      <c r="E2512" t="str">
        <f>""</f>
        <v/>
      </c>
      <c r="F2512" t="str">
        <f>""</f>
        <v/>
      </c>
      <c r="G2512" s="3">
        <v>363.21</v>
      </c>
      <c r="H2512" t="str">
        <f t="shared" si="45"/>
        <v>BCBS PAYABLE</v>
      </c>
    </row>
    <row r="2513" spans="5:8" x14ac:dyDescent="0.25">
      <c r="E2513" t="str">
        <f>""</f>
        <v/>
      </c>
      <c r="F2513" t="str">
        <f>""</f>
        <v/>
      </c>
      <c r="G2513" s="3">
        <v>7006.67</v>
      </c>
      <c r="H2513" t="str">
        <f t="shared" si="45"/>
        <v>BCBS PAYABLE</v>
      </c>
    </row>
    <row r="2514" spans="5:8" x14ac:dyDescent="0.25">
      <c r="E2514" t="str">
        <f>""</f>
        <v/>
      </c>
      <c r="F2514" t="str">
        <f>""</f>
        <v/>
      </c>
      <c r="G2514" s="3">
        <v>1497.2</v>
      </c>
      <c r="H2514" t="str">
        <f t="shared" si="45"/>
        <v>BCBS PAYABLE</v>
      </c>
    </row>
    <row r="2515" spans="5:8" x14ac:dyDescent="0.25">
      <c r="E2515" t="str">
        <f>""</f>
        <v/>
      </c>
      <c r="F2515" t="str">
        <f>""</f>
        <v/>
      </c>
      <c r="G2515" s="3">
        <v>374.3</v>
      </c>
      <c r="H2515" t="str">
        <f t="shared" si="45"/>
        <v>BCBS PAYABLE</v>
      </c>
    </row>
    <row r="2516" spans="5:8" x14ac:dyDescent="0.25">
      <c r="E2516" t="str">
        <f>""</f>
        <v/>
      </c>
      <c r="F2516" t="str">
        <f>""</f>
        <v/>
      </c>
      <c r="G2516" s="3">
        <v>374.3</v>
      </c>
      <c r="H2516" t="str">
        <f t="shared" si="45"/>
        <v>BCBS PAYABLE</v>
      </c>
    </row>
    <row r="2517" spans="5:8" x14ac:dyDescent="0.25">
      <c r="E2517" t="str">
        <f>""</f>
        <v/>
      </c>
      <c r="F2517" t="str">
        <f>""</f>
        <v/>
      </c>
      <c r="G2517" s="3">
        <v>374.3</v>
      </c>
      <c r="H2517" t="str">
        <f t="shared" si="45"/>
        <v>BCBS PAYABLE</v>
      </c>
    </row>
    <row r="2518" spans="5:8" x14ac:dyDescent="0.25">
      <c r="E2518" t="str">
        <f>""</f>
        <v/>
      </c>
      <c r="F2518" t="str">
        <f>""</f>
        <v/>
      </c>
      <c r="G2518" s="3">
        <v>1497.2</v>
      </c>
      <c r="H2518" t="str">
        <f t="shared" si="45"/>
        <v>BCBS PAYABLE</v>
      </c>
    </row>
    <row r="2519" spans="5:8" x14ac:dyDescent="0.25">
      <c r="E2519" t="str">
        <f>""</f>
        <v/>
      </c>
      <c r="F2519" t="str">
        <f>""</f>
        <v/>
      </c>
      <c r="G2519" s="3">
        <v>748.6</v>
      </c>
      <c r="H2519" t="str">
        <f t="shared" si="45"/>
        <v>BCBS PAYABLE</v>
      </c>
    </row>
    <row r="2520" spans="5:8" x14ac:dyDescent="0.25">
      <c r="E2520" t="str">
        <f>""</f>
        <v/>
      </c>
      <c r="F2520" t="str">
        <f>""</f>
        <v/>
      </c>
      <c r="G2520" s="3">
        <v>4.8600000000000003</v>
      </c>
      <c r="H2520" t="str">
        <f t="shared" ref="H2520:H2583" si="46">"BCBS PAYABLE"</f>
        <v>BCBS PAYABLE</v>
      </c>
    </row>
    <row r="2521" spans="5:8" x14ac:dyDescent="0.25">
      <c r="E2521" t="str">
        <f>""</f>
        <v/>
      </c>
      <c r="F2521" t="str">
        <f>""</f>
        <v/>
      </c>
      <c r="G2521" s="3">
        <v>13.21</v>
      </c>
      <c r="H2521" t="str">
        <f t="shared" si="46"/>
        <v>BCBS PAYABLE</v>
      </c>
    </row>
    <row r="2522" spans="5:8" x14ac:dyDescent="0.25">
      <c r="E2522" t="str">
        <f>""</f>
        <v/>
      </c>
      <c r="F2522" t="str">
        <f>""</f>
        <v/>
      </c>
      <c r="G2522" s="3">
        <v>53.14</v>
      </c>
      <c r="H2522" t="str">
        <f t="shared" si="46"/>
        <v>BCBS PAYABLE</v>
      </c>
    </row>
    <row r="2523" spans="5:8" x14ac:dyDescent="0.25">
      <c r="E2523" t="str">
        <f>""</f>
        <v/>
      </c>
      <c r="F2523" t="str">
        <f>""</f>
        <v/>
      </c>
      <c r="G2523" s="3">
        <v>14568.32</v>
      </c>
      <c r="H2523" t="str">
        <f t="shared" si="46"/>
        <v>BCBS PAYABLE</v>
      </c>
    </row>
    <row r="2524" spans="5:8" x14ac:dyDescent="0.25">
      <c r="E2524" t="str">
        <f>"2EC202111227342"</f>
        <v>2EC202111227342</v>
      </c>
      <c r="F2524" t="str">
        <f>"BCBS PAYABLE"</f>
        <v>BCBS PAYABLE</v>
      </c>
      <c r="G2524" s="3">
        <v>1497.2</v>
      </c>
      <c r="H2524" t="str">
        <f t="shared" si="46"/>
        <v>BCBS PAYABLE</v>
      </c>
    </row>
    <row r="2525" spans="5:8" x14ac:dyDescent="0.25">
      <c r="E2525" t="str">
        <f>""</f>
        <v/>
      </c>
      <c r="F2525" t="str">
        <f>""</f>
        <v/>
      </c>
      <c r="G2525" s="3">
        <v>560.32000000000005</v>
      </c>
      <c r="H2525" t="str">
        <f t="shared" si="46"/>
        <v>BCBS PAYABLE</v>
      </c>
    </row>
    <row r="2526" spans="5:8" x14ac:dyDescent="0.25">
      <c r="E2526" t="str">
        <f>"2EF202111097073"</f>
        <v>2EF202111097073</v>
      </c>
      <c r="F2526" t="str">
        <f>"BCBS PAYABLE"</f>
        <v>BCBS PAYABLE</v>
      </c>
      <c r="G2526" s="3">
        <v>374.3</v>
      </c>
      <c r="H2526" t="str">
        <f t="shared" si="46"/>
        <v>BCBS PAYABLE</v>
      </c>
    </row>
    <row r="2527" spans="5:8" x14ac:dyDescent="0.25">
      <c r="E2527" t="str">
        <f>""</f>
        <v/>
      </c>
      <c r="F2527" t="str">
        <f>""</f>
        <v/>
      </c>
      <c r="G2527" s="3">
        <v>9.32</v>
      </c>
      <c r="H2527" t="str">
        <f t="shared" si="46"/>
        <v>BCBS PAYABLE</v>
      </c>
    </row>
    <row r="2528" spans="5:8" x14ac:dyDescent="0.25">
      <c r="E2528" t="str">
        <f>""</f>
        <v/>
      </c>
      <c r="F2528" t="str">
        <f>""</f>
        <v/>
      </c>
      <c r="G2528" s="3">
        <v>739.28</v>
      </c>
      <c r="H2528" t="str">
        <f t="shared" si="46"/>
        <v>BCBS PAYABLE</v>
      </c>
    </row>
    <row r="2529" spans="5:8" x14ac:dyDescent="0.25">
      <c r="E2529" t="str">
        <f>""</f>
        <v/>
      </c>
      <c r="F2529" t="str">
        <f>""</f>
        <v/>
      </c>
      <c r="G2529" s="3">
        <v>1942.89</v>
      </c>
      <c r="H2529" t="str">
        <f t="shared" si="46"/>
        <v>BCBS PAYABLE</v>
      </c>
    </row>
    <row r="2530" spans="5:8" x14ac:dyDescent="0.25">
      <c r="E2530" t="str">
        <f>"2EF202111227341"</f>
        <v>2EF202111227341</v>
      </c>
      <c r="F2530" t="str">
        <f>"BCBS PAYABLE"</f>
        <v>BCBS PAYABLE</v>
      </c>
      <c r="G2530" s="3">
        <v>374.3</v>
      </c>
      <c r="H2530" t="str">
        <f t="shared" si="46"/>
        <v>BCBS PAYABLE</v>
      </c>
    </row>
    <row r="2531" spans="5:8" x14ac:dyDescent="0.25">
      <c r="E2531" t="str">
        <f>""</f>
        <v/>
      </c>
      <c r="F2531" t="str">
        <f>""</f>
        <v/>
      </c>
      <c r="G2531" s="3">
        <v>9.32</v>
      </c>
      <c r="H2531" t="str">
        <f t="shared" si="46"/>
        <v>BCBS PAYABLE</v>
      </c>
    </row>
    <row r="2532" spans="5:8" x14ac:dyDescent="0.25">
      <c r="E2532" t="str">
        <f>""</f>
        <v/>
      </c>
      <c r="F2532" t="str">
        <f>""</f>
        <v/>
      </c>
      <c r="G2532" s="3">
        <v>739.28</v>
      </c>
      <c r="H2532" t="str">
        <f t="shared" si="46"/>
        <v>BCBS PAYABLE</v>
      </c>
    </row>
    <row r="2533" spans="5:8" x14ac:dyDescent="0.25">
      <c r="E2533" t="str">
        <f>""</f>
        <v/>
      </c>
      <c r="F2533" t="str">
        <f>""</f>
        <v/>
      </c>
      <c r="G2533" s="3">
        <v>1942.89</v>
      </c>
      <c r="H2533" t="str">
        <f t="shared" si="46"/>
        <v>BCBS PAYABLE</v>
      </c>
    </row>
    <row r="2534" spans="5:8" x14ac:dyDescent="0.25">
      <c r="E2534" t="str">
        <f>"2EO202111097073"</f>
        <v>2EO202111097073</v>
      </c>
      <c r="F2534" t="str">
        <f>"BCBS PAYABLE"</f>
        <v>BCBS PAYABLE</v>
      </c>
      <c r="G2534" s="3">
        <v>748.6</v>
      </c>
      <c r="H2534" t="str">
        <f t="shared" si="46"/>
        <v>BCBS PAYABLE</v>
      </c>
    </row>
    <row r="2535" spans="5:8" x14ac:dyDescent="0.25">
      <c r="E2535" t="str">
        <f>""</f>
        <v/>
      </c>
      <c r="F2535" t="str">
        <f>""</f>
        <v/>
      </c>
      <c r="G2535" s="3">
        <v>488.4</v>
      </c>
      <c r="H2535" t="str">
        <f t="shared" si="46"/>
        <v>BCBS PAYABLE</v>
      </c>
    </row>
    <row r="2536" spans="5:8" x14ac:dyDescent="0.25">
      <c r="E2536" t="str">
        <f>""</f>
        <v/>
      </c>
      <c r="F2536" t="str">
        <f>""</f>
        <v/>
      </c>
      <c r="G2536" s="3">
        <v>2575.6799999999998</v>
      </c>
      <c r="H2536" t="str">
        <f t="shared" si="46"/>
        <v>BCBS PAYABLE</v>
      </c>
    </row>
    <row r="2537" spans="5:8" x14ac:dyDescent="0.25">
      <c r="E2537" t="str">
        <f>""</f>
        <v/>
      </c>
      <c r="F2537" t="str">
        <f>""</f>
        <v/>
      </c>
      <c r="G2537" s="3">
        <v>748.6</v>
      </c>
      <c r="H2537" t="str">
        <f t="shared" si="46"/>
        <v>BCBS PAYABLE</v>
      </c>
    </row>
    <row r="2538" spans="5:8" x14ac:dyDescent="0.25">
      <c r="E2538" t="str">
        <f>""</f>
        <v/>
      </c>
      <c r="F2538" t="str">
        <f>""</f>
        <v/>
      </c>
      <c r="G2538" s="3">
        <v>374.3</v>
      </c>
      <c r="H2538" t="str">
        <f t="shared" si="46"/>
        <v>BCBS PAYABLE</v>
      </c>
    </row>
    <row r="2539" spans="5:8" x14ac:dyDescent="0.25">
      <c r="E2539" t="str">
        <f>""</f>
        <v/>
      </c>
      <c r="F2539" t="str">
        <f>""</f>
        <v/>
      </c>
      <c r="G2539" s="3">
        <v>374.3</v>
      </c>
      <c r="H2539" t="str">
        <f t="shared" si="46"/>
        <v>BCBS PAYABLE</v>
      </c>
    </row>
    <row r="2540" spans="5:8" x14ac:dyDescent="0.25">
      <c r="E2540" t="str">
        <f>""</f>
        <v/>
      </c>
      <c r="F2540" t="str">
        <f>""</f>
        <v/>
      </c>
      <c r="G2540" s="3">
        <v>5614.5</v>
      </c>
      <c r="H2540" t="str">
        <f t="shared" si="46"/>
        <v>BCBS PAYABLE</v>
      </c>
    </row>
    <row r="2541" spans="5:8" x14ac:dyDescent="0.25">
      <c r="E2541" t="str">
        <f>""</f>
        <v/>
      </c>
      <c r="F2541" t="str">
        <f>""</f>
        <v/>
      </c>
      <c r="G2541" s="3">
        <v>748.6</v>
      </c>
      <c r="H2541" t="str">
        <f t="shared" si="46"/>
        <v>BCBS PAYABLE</v>
      </c>
    </row>
    <row r="2542" spans="5:8" x14ac:dyDescent="0.25">
      <c r="E2542" t="str">
        <f>""</f>
        <v/>
      </c>
      <c r="F2542" t="str">
        <f>""</f>
        <v/>
      </c>
      <c r="G2542" s="3">
        <v>1497.2</v>
      </c>
      <c r="H2542" t="str">
        <f t="shared" si="46"/>
        <v>BCBS PAYABLE</v>
      </c>
    </row>
    <row r="2543" spans="5:8" x14ac:dyDescent="0.25">
      <c r="E2543" t="str">
        <f>""</f>
        <v/>
      </c>
      <c r="F2543" t="str">
        <f>""</f>
        <v/>
      </c>
      <c r="G2543" s="3">
        <v>3743</v>
      </c>
      <c r="H2543" t="str">
        <f t="shared" si="46"/>
        <v>BCBS PAYABLE</v>
      </c>
    </row>
    <row r="2544" spans="5:8" x14ac:dyDescent="0.25">
      <c r="E2544" t="str">
        <f>""</f>
        <v/>
      </c>
      <c r="F2544" t="str">
        <f>""</f>
        <v/>
      </c>
      <c r="G2544" s="3">
        <v>748.6</v>
      </c>
      <c r="H2544" t="str">
        <f t="shared" si="46"/>
        <v>BCBS PAYABLE</v>
      </c>
    </row>
    <row r="2545" spans="5:8" x14ac:dyDescent="0.25">
      <c r="E2545" t="str">
        <f>""</f>
        <v/>
      </c>
      <c r="F2545" t="str">
        <f>""</f>
        <v/>
      </c>
      <c r="G2545" s="3">
        <v>1122.9000000000001</v>
      </c>
      <c r="H2545" t="str">
        <f t="shared" si="46"/>
        <v>BCBS PAYABLE</v>
      </c>
    </row>
    <row r="2546" spans="5:8" x14ac:dyDescent="0.25">
      <c r="E2546" t="str">
        <f>""</f>
        <v/>
      </c>
      <c r="F2546" t="str">
        <f>""</f>
        <v/>
      </c>
      <c r="G2546" s="3">
        <v>374.3</v>
      </c>
      <c r="H2546" t="str">
        <f t="shared" si="46"/>
        <v>BCBS PAYABLE</v>
      </c>
    </row>
    <row r="2547" spans="5:8" x14ac:dyDescent="0.25">
      <c r="E2547" t="str">
        <f>""</f>
        <v/>
      </c>
      <c r="F2547" t="str">
        <f>""</f>
        <v/>
      </c>
      <c r="G2547" s="3">
        <v>1122.9000000000001</v>
      </c>
      <c r="H2547" t="str">
        <f t="shared" si="46"/>
        <v>BCBS PAYABLE</v>
      </c>
    </row>
    <row r="2548" spans="5:8" x14ac:dyDescent="0.25">
      <c r="E2548" t="str">
        <f>""</f>
        <v/>
      </c>
      <c r="F2548" t="str">
        <f>""</f>
        <v/>
      </c>
      <c r="G2548" s="3">
        <v>748.6</v>
      </c>
      <c r="H2548" t="str">
        <f t="shared" si="46"/>
        <v>BCBS PAYABLE</v>
      </c>
    </row>
    <row r="2549" spans="5:8" x14ac:dyDescent="0.25">
      <c r="E2549" t="str">
        <f>""</f>
        <v/>
      </c>
      <c r="F2549" t="str">
        <f>""</f>
        <v/>
      </c>
      <c r="G2549" s="3">
        <v>3719.53</v>
      </c>
      <c r="H2549" t="str">
        <f t="shared" si="46"/>
        <v>BCBS PAYABLE</v>
      </c>
    </row>
    <row r="2550" spans="5:8" x14ac:dyDescent="0.25">
      <c r="E2550" t="str">
        <f>""</f>
        <v/>
      </c>
      <c r="F2550" t="str">
        <f>""</f>
        <v/>
      </c>
      <c r="G2550" s="3">
        <v>1122.9000000000001</v>
      </c>
      <c r="H2550" t="str">
        <f t="shared" si="46"/>
        <v>BCBS PAYABLE</v>
      </c>
    </row>
    <row r="2551" spans="5:8" x14ac:dyDescent="0.25">
      <c r="E2551" t="str">
        <f>""</f>
        <v/>
      </c>
      <c r="F2551" t="str">
        <f>""</f>
        <v/>
      </c>
      <c r="G2551" s="3">
        <v>748.6</v>
      </c>
      <c r="H2551" t="str">
        <f t="shared" si="46"/>
        <v>BCBS PAYABLE</v>
      </c>
    </row>
    <row r="2552" spans="5:8" x14ac:dyDescent="0.25">
      <c r="E2552" t="str">
        <f>""</f>
        <v/>
      </c>
      <c r="F2552" t="str">
        <f>""</f>
        <v/>
      </c>
      <c r="G2552" s="3">
        <v>374.3</v>
      </c>
      <c r="H2552" t="str">
        <f t="shared" si="46"/>
        <v>BCBS PAYABLE</v>
      </c>
    </row>
    <row r="2553" spans="5:8" x14ac:dyDescent="0.25">
      <c r="E2553" t="str">
        <f>""</f>
        <v/>
      </c>
      <c r="F2553" t="str">
        <f>""</f>
        <v/>
      </c>
      <c r="G2553" s="3">
        <v>3743</v>
      </c>
      <c r="H2553" t="str">
        <f t="shared" si="46"/>
        <v>BCBS PAYABLE</v>
      </c>
    </row>
    <row r="2554" spans="5:8" x14ac:dyDescent="0.25">
      <c r="E2554" t="str">
        <f>""</f>
        <v/>
      </c>
      <c r="F2554" t="str">
        <f>""</f>
        <v/>
      </c>
      <c r="G2554" s="3">
        <v>1497.2</v>
      </c>
      <c r="H2554" t="str">
        <f t="shared" si="46"/>
        <v>BCBS PAYABLE</v>
      </c>
    </row>
    <row r="2555" spans="5:8" x14ac:dyDescent="0.25">
      <c r="E2555" t="str">
        <f>""</f>
        <v/>
      </c>
      <c r="F2555" t="str">
        <f>""</f>
        <v/>
      </c>
      <c r="G2555" s="3">
        <v>2994.4</v>
      </c>
      <c r="H2555" t="str">
        <f t="shared" si="46"/>
        <v>BCBS PAYABLE</v>
      </c>
    </row>
    <row r="2556" spans="5:8" x14ac:dyDescent="0.25">
      <c r="E2556" t="str">
        <f>""</f>
        <v/>
      </c>
      <c r="F2556" t="str">
        <f>""</f>
        <v/>
      </c>
      <c r="G2556" s="3">
        <v>3368.7</v>
      </c>
      <c r="H2556" t="str">
        <f t="shared" si="46"/>
        <v>BCBS PAYABLE</v>
      </c>
    </row>
    <row r="2557" spans="5:8" x14ac:dyDescent="0.25">
      <c r="E2557" t="str">
        <f>""</f>
        <v/>
      </c>
      <c r="F2557" t="str">
        <f>""</f>
        <v/>
      </c>
      <c r="G2557" s="3">
        <v>5994.41</v>
      </c>
      <c r="H2557" t="str">
        <f t="shared" si="46"/>
        <v>BCBS PAYABLE</v>
      </c>
    </row>
    <row r="2558" spans="5:8" x14ac:dyDescent="0.25">
      <c r="E2558" t="str">
        <f>""</f>
        <v/>
      </c>
      <c r="F2558" t="str">
        <f>""</f>
        <v/>
      </c>
      <c r="G2558" s="3">
        <v>374.3</v>
      </c>
      <c r="H2558" t="str">
        <f t="shared" si="46"/>
        <v>BCBS PAYABLE</v>
      </c>
    </row>
    <row r="2559" spans="5:8" x14ac:dyDescent="0.25">
      <c r="E2559" t="str">
        <f>""</f>
        <v/>
      </c>
      <c r="F2559" t="str">
        <f>""</f>
        <v/>
      </c>
      <c r="G2559" s="3">
        <v>374.3</v>
      </c>
      <c r="H2559" t="str">
        <f t="shared" si="46"/>
        <v>BCBS PAYABLE</v>
      </c>
    </row>
    <row r="2560" spans="5:8" x14ac:dyDescent="0.25">
      <c r="E2560" t="str">
        <f>""</f>
        <v/>
      </c>
      <c r="F2560" t="str">
        <f>""</f>
        <v/>
      </c>
      <c r="G2560" s="3">
        <v>20489.82</v>
      </c>
      <c r="H2560" t="str">
        <f t="shared" si="46"/>
        <v>BCBS PAYABLE</v>
      </c>
    </row>
    <row r="2561" spans="5:8" x14ac:dyDescent="0.25">
      <c r="E2561" t="str">
        <f>""</f>
        <v/>
      </c>
      <c r="F2561" t="str">
        <f>""</f>
        <v/>
      </c>
      <c r="G2561" s="3">
        <v>1111.8900000000001</v>
      </c>
      <c r="H2561" t="str">
        <f t="shared" si="46"/>
        <v>BCBS PAYABLE</v>
      </c>
    </row>
    <row r="2562" spans="5:8" x14ac:dyDescent="0.25">
      <c r="E2562" t="str">
        <f>""</f>
        <v/>
      </c>
      <c r="F2562" t="str">
        <f>""</f>
        <v/>
      </c>
      <c r="G2562" s="3">
        <v>19572.830000000002</v>
      </c>
      <c r="H2562" t="str">
        <f t="shared" si="46"/>
        <v>BCBS PAYABLE</v>
      </c>
    </row>
    <row r="2563" spans="5:8" x14ac:dyDescent="0.25">
      <c r="E2563" t="str">
        <f>""</f>
        <v/>
      </c>
      <c r="F2563" t="str">
        <f>""</f>
        <v/>
      </c>
      <c r="G2563" s="3">
        <v>5240.2</v>
      </c>
      <c r="H2563" t="str">
        <f t="shared" si="46"/>
        <v>BCBS PAYABLE</v>
      </c>
    </row>
    <row r="2564" spans="5:8" x14ac:dyDescent="0.25">
      <c r="E2564" t="str">
        <f>""</f>
        <v/>
      </c>
      <c r="F2564" t="str">
        <f>""</f>
        <v/>
      </c>
      <c r="G2564" s="3">
        <v>374.3</v>
      </c>
      <c r="H2564" t="str">
        <f t="shared" si="46"/>
        <v>BCBS PAYABLE</v>
      </c>
    </row>
    <row r="2565" spans="5:8" x14ac:dyDescent="0.25">
      <c r="E2565" t="str">
        <f>""</f>
        <v/>
      </c>
      <c r="F2565" t="str">
        <f>""</f>
        <v/>
      </c>
      <c r="G2565" s="3">
        <v>748.6</v>
      </c>
      <c r="H2565" t="str">
        <f t="shared" si="46"/>
        <v>BCBS PAYABLE</v>
      </c>
    </row>
    <row r="2566" spans="5:8" x14ac:dyDescent="0.25">
      <c r="E2566" t="str">
        <f>""</f>
        <v/>
      </c>
      <c r="F2566" t="str">
        <f>""</f>
        <v/>
      </c>
      <c r="G2566" s="3">
        <v>95.82</v>
      </c>
      <c r="H2566" t="str">
        <f t="shared" si="46"/>
        <v>BCBS PAYABLE</v>
      </c>
    </row>
    <row r="2567" spans="5:8" x14ac:dyDescent="0.25">
      <c r="E2567" t="str">
        <f>""</f>
        <v/>
      </c>
      <c r="F2567" t="str">
        <f>""</f>
        <v/>
      </c>
      <c r="G2567" s="3">
        <v>748.6</v>
      </c>
      <c r="H2567" t="str">
        <f t="shared" si="46"/>
        <v>BCBS PAYABLE</v>
      </c>
    </row>
    <row r="2568" spans="5:8" x14ac:dyDescent="0.25">
      <c r="E2568" t="str">
        <f>""</f>
        <v/>
      </c>
      <c r="F2568" t="str">
        <f>""</f>
        <v/>
      </c>
      <c r="G2568" s="3">
        <v>374.3</v>
      </c>
      <c r="H2568" t="str">
        <f t="shared" si="46"/>
        <v>BCBS PAYABLE</v>
      </c>
    </row>
    <row r="2569" spans="5:8" x14ac:dyDescent="0.25">
      <c r="E2569" t="str">
        <f>""</f>
        <v/>
      </c>
      <c r="F2569" t="str">
        <f>""</f>
        <v/>
      </c>
      <c r="G2569" s="3">
        <v>748.6</v>
      </c>
      <c r="H2569" t="str">
        <f t="shared" si="46"/>
        <v>BCBS PAYABLE</v>
      </c>
    </row>
    <row r="2570" spans="5:8" x14ac:dyDescent="0.25">
      <c r="E2570" t="str">
        <f>""</f>
        <v/>
      </c>
      <c r="F2570" t="str">
        <f>""</f>
        <v/>
      </c>
      <c r="G2570" s="3">
        <v>748.6</v>
      </c>
      <c r="H2570" t="str">
        <f t="shared" si="46"/>
        <v>BCBS PAYABLE</v>
      </c>
    </row>
    <row r="2571" spans="5:8" x14ac:dyDescent="0.25">
      <c r="E2571" t="str">
        <f>""</f>
        <v/>
      </c>
      <c r="F2571" t="str">
        <f>""</f>
        <v/>
      </c>
      <c r="G2571" s="3">
        <v>418.72</v>
      </c>
      <c r="H2571" t="str">
        <f t="shared" si="46"/>
        <v>BCBS PAYABLE</v>
      </c>
    </row>
    <row r="2572" spans="5:8" x14ac:dyDescent="0.25">
      <c r="E2572" t="str">
        <f>""</f>
        <v/>
      </c>
      <c r="F2572" t="str">
        <f>""</f>
        <v/>
      </c>
      <c r="G2572" s="3">
        <v>3460.88</v>
      </c>
      <c r="H2572" t="str">
        <f t="shared" si="46"/>
        <v>BCBS PAYABLE</v>
      </c>
    </row>
    <row r="2573" spans="5:8" x14ac:dyDescent="0.25">
      <c r="E2573" t="str">
        <f>""</f>
        <v/>
      </c>
      <c r="F2573" t="str">
        <f>""</f>
        <v/>
      </c>
      <c r="G2573" s="3">
        <v>2175.1799999999998</v>
      </c>
      <c r="H2573" t="str">
        <f t="shared" si="46"/>
        <v>BCBS PAYABLE</v>
      </c>
    </row>
    <row r="2574" spans="5:8" x14ac:dyDescent="0.25">
      <c r="E2574" t="str">
        <f>""</f>
        <v/>
      </c>
      <c r="F2574" t="str">
        <f>""</f>
        <v/>
      </c>
      <c r="G2574" s="3">
        <v>4795.28</v>
      </c>
      <c r="H2574" t="str">
        <f t="shared" si="46"/>
        <v>BCBS PAYABLE</v>
      </c>
    </row>
    <row r="2575" spans="5:8" x14ac:dyDescent="0.25">
      <c r="E2575" t="str">
        <f>""</f>
        <v/>
      </c>
      <c r="F2575" t="str">
        <f>""</f>
        <v/>
      </c>
      <c r="G2575" s="3">
        <v>4046.65</v>
      </c>
      <c r="H2575" t="str">
        <f t="shared" si="46"/>
        <v>BCBS PAYABLE</v>
      </c>
    </row>
    <row r="2576" spans="5:8" x14ac:dyDescent="0.25">
      <c r="E2576" t="str">
        <f>""</f>
        <v/>
      </c>
      <c r="F2576" t="str">
        <f>""</f>
        <v/>
      </c>
      <c r="G2576" s="3">
        <v>652.78</v>
      </c>
      <c r="H2576" t="str">
        <f t="shared" si="46"/>
        <v>BCBS PAYABLE</v>
      </c>
    </row>
    <row r="2577" spans="5:8" x14ac:dyDescent="0.25">
      <c r="E2577" t="str">
        <f>""</f>
        <v/>
      </c>
      <c r="F2577" t="str">
        <f>""</f>
        <v/>
      </c>
      <c r="G2577" s="3">
        <v>9.7200000000000006</v>
      </c>
      <c r="H2577" t="str">
        <f t="shared" si="46"/>
        <v>BCBS PAYABLE</v>
      </c>
    </row>
    <row r="2578" spans="5:8" x14ac:dyDescent="0.25">
      <c r="E2578" t="str">
        <f>""</f>
        <v/>
      </c>
      <c r="F2578" t="str">
        <f>""</f>
        <v/>
      </c>
      <c r="G2578" s="3">
        <v>13.75</v>
      </c>
      <c r="H2578" t="str">
        <f t="shared" si="46"/>
        <v>BCBS PAYABLE</v>
      </c>
    </row>
    <row r="2579" spans="5:8" x14ac:dyDescent="0.25">
      <c r="E2579" t="str">
        <f>""</f>
        <v/>
      </c>
      <c r="F2579" t="str">
        <f>""</f>
        <v/>
      </c>
      <c r="G2579" s="3">
        <v>372.76</v>
      </c>
      <c r="H2579" t="str">
        <f t="shared" si="46"/>
        <v>BCBS PAYABLE</v>
      </c>
    </row>
    <row r="2580" spans="5:8" x14ac:dyDescent="0.25">
      <c r="E2580" t="str">
        <f>"2EO202111097074"</f>
        <v>2EO202111097074</v>
      </c>
      <c r="F2580" t="str">
        <f>"BCBS PAYABLE"</f>
        <v>BCBS PAYABLE</v>
      </c>
      <c r="G2580" s="3">
        <v>3368.7</v>
      </c>
      <c r="H2580" t="str">
        <f t="shared" si="46"/>
        <v>BCBS PAYABLE</v>
      </c>
    </row>
    <row r="2581" spans="5:8" x14ac:dyDescent="0.25">
      <c r="E2581" t="str">
        <f>"2EO202111227341"</f>
        <v>2EO202111227341</v>
      </c>
      <c r="F2581" t="str">
        <f>"BCBS PAYABLE"</f>
        <v>BCBS PAYABLE</v>
      </c>
      <c r="G2581" s="3">
        <v>748.6</v>
      </c>
      <c r="H2581" t="str">
        <f t="shared" si="46"/>
        <v>BCBS PAYABLE</v>
      </c>
    </row>
    <row r="2582" spans="5:8" x14ac:dyDescent="0.25">
      <c r="E2582" t="str">
        <f>""</f>
        <v/>
      </c>
      <c r="F2582" t="str">
        <f>""</f>
        <v/>
      </c>
      <c r="G2582" s="3">
        <v>488.4</v>
      </c>
      <c r="H2582" t="str">
        <f t="shared" si="46"/>
        <v>BCBS PAYABLE</v>
      </c>
    </row>
    <row r="2583" spans="5:8" x14ac:dyDescent="0.25">
      <c r="E2583" t="str">
        <f>""</f>
        <v/>
      </c>
      <c r="F2583" t="str">
        <f>""</f>
        <v/>
      </c>
      <c r="G2583" s="3">
        <v>2575.6799999999998</v>
      </c>
      <c r="H2583" t="str">
        <f t="shared" si="46"/>
        <v>BCBS PAYABLE</v>
      </c>
    </row>
    <row r="2584" spans="5:8" x14ac:dyDescent="0.25">
      <c r="E2584" t="str">
        <f>""</f>
        <v/>
      </c>
      <c r="F2584" t="str">
        <f>""</f>
        <v/>
      </c>
      <c r="G2584" s="3">
        <v>748.6</v>
      </c>
      <c r="H2584" t="str">
        <f t="shared" ref="H2584:H2647" si="47">"BCBS PAYABLE"</f>
        <v>BCBS PAYABLE</v>
      </c>
    </row>
    <row r="2585" spans="5:8" x14ac:dyDescent="0.25">
      <c r="E2585" t="str">
        <f>""</f>
        <v/>
      </c>
      <c r="F2585" t="str">
        <f>""</f>
        <v/>
      </c>
      <c r="G2585" s="3">
        <v>374.3</v>
      </c>
      <c r="H2585" t="str">
        <f t="shared" si="47"/>
        <v>BCBS PAYABLE</v>
      </c>
    </row>
    <row r="2586" spans="5:8" x14ac:dyDescent="0.25">
      <c r="E2586" t="str">
        <f>""</f>
        <v/>
      </c>
      <c r="F2586" t="str">
        <f>""</f>
        <v/>
      </c>
      <c r="G2586" s="3">
        <v>374.3</v>
      </c>
      <c r="H2586" t="str">
        <f t="shared" si="47"/>
        <v>BCBS PAYABLE</v>
      </c>
    </row>
    <row r="2587" spans="5:8" x14ac:dyDescent="0.25">
      <c r="E2587" t="str">
        <f>""</f>
        <v/>
      </c>
      <c r="F2587" t="str">
        <f>""</f>
        <v/>
      </c>
      <c r="G2587" s="3">
        <v>5614.5</v>
      </c>
      <c r="H2587" t="str">
        <f t="shared" si="47"/>
        <v>BCBS PAYABLE</v>
      </c>
    </row>
    <row r="2588" spans="5:8" x14ac:dyDescent="0.25">
      <c r="E2588" t="str">
        <f>""</f>
        <v/>
      </c>
      <c r="F2588" t="str">
        <f>""</f>
        <v/>
      </c>
      <c r="G2588" s="3">
        <v>748.6</v>
      </c>
      <c r="H2588" t="str">
        <f t="shared" si="47"/>
        <v>BCBS PAYABLE</v>
      </c>
    </row>
    <row r="2589" spans="5:8" x14ac:dyDescent="0.25">
      <c r="E2589" t="str">
        <f>""</f>
        <v/>
      </c>
      <c r="F2589" t="str">
        <f>""</f>
        <v/>
      </c>
      <c r="G2589" s="3">
        <v>1497.2</v>
      </c>
      <c r="H2589" t="str">
        <f t="shared" si="47"/>
        <v>BCBS PAYABLE</v>
      </c>
    </row>
    <row r="2590" spans="5:8" x14ac:dyDescent="0.25">
      <c r="E2590" t="str">
        <f>""</f>
        <v/>
      </c>
      <c r="F2590" t="str">
        <f>""</f>
        <v/>
      </c>
      <c r="G2590" s="3">
        <v>3743</v>
      </c>
      <c r="H2590" t="str">
        <f t="shared" si="47"/>
        <v>BCBS PAYABLE</v>
      </c>
    </row>
    <row r="2591" spans="5:8" x14ac:dyDescent="0.25">
      <c r="E2591" t="str">
        <f>""</f>
        <v/>
      </c>
      <c r="F2591" t="str">
        <f>""</f>
        <v/>
      </c>
      <c r="G2591" s="3">
        <v>748.6</v>
      </c>
      <c r="H2591" t="str">
        <f t="shared" si="47"/>
        <v>BCBS PAYABLE</v>
      </c>
    </row>
    <row r="2592" spans="5:8" x14ac:dyDescent="0.25">
      <c r="E2592" t="str">
        <f>""</f>
        <v/>
      </c>
      <c r="F2592" t="str">
        <f>""</f>
        <v/>
      </c>
      <c r="G2592" s="3">
        <v>1122.9000000000001</v>
      </c>
      <c r="H2592" t="str">
        <f t="shared" si="47"/>
        <v>BCBS PAYABLE</v>
      </c>
    </row>
    <row r="2593" spans="5:8" x14ac:dyDescent="0.25">
      <c r="E2593" t="str">
        <f>""</f>
        <v/>
      </c>
      <c r="F2593" t="str">
        <f>""</f>
        <v/>
      </c>
      <c r="G2593" s="3">
        <v>374.3</v>
      </c>
      <c r="H2593" t="str">
        <f t="shared" si="47"/>
        <v>BCBS PAYABLE</v>
      </c>
    </row>
    <row r="2594" spans="5:8" x14ac:dyDescent="0.25">
      <c r="E2594" t="str">
        <f>""</f>
        <v/>
      </c>
      <c r="F2594" t="str">
        <f>""</f>
        <v/>
      </c>
      <c r="G2594" s="3">
        <v>1122.9000000000001</v>
      </c>
      <c r="H2594" t="str">
        <f t="shared" si="47"/>
        <v>BCBS PAYABLE</v>
      </c>
    </row>
    <row r="2595" spans="5:8" x14ac:dyDescent="0.25">
      <c r="E2595" t="str">
        <f>""</f>
        <v/>
      </c>
      <c r="F2595" t="str">
        <f>""</f>
        <v/>
      </c>
      <c r="G2595" s="3">
        <v>748.6</v>
      </c>
      <c r="H2595" t="str">
        <f t="shared" si="47"/>
        <v>BCBS PAYABLE</v>
      </c>
    </row>
    <row r="2596" spans="5:8" x14ac:dyDescent="0.25">
      <c r="E2596" t="str">
        <f>""</f>
        <v/>
      </c>
      <c r="F2596" t="str">
        <f>""</f>
        <v/>
      </c>
      <c r="G2596" s="3">
        <v>3719.53</v>
      </c>
      <c r="H2596" t="str">
        <f t="shared" si="47"/>
        <v>BCBS PAYABLE</v>
      </c>
    </row>
    <row r="2597" spans="5:8" x14ac:dyDescent="0.25">
      <c r="E2597" t="str">
        <f>""</f>
        <v/>
      </c>
      <c r="F2597" t="str">
        <f>""</f>
        <v/>
      </c>
      <c r="G2597" s="3">
        <v>1122.9000000000001</v>
      </c>
      <c r="H2597" t="str">
        <f t="shared" si="47"/>
        <v>BCBS PAYABLE</v>
      </c>
    </row>
    <row r="2598" spans="5:8" x14ac:dyDescent="0.25">
      <c r="E2598" t="str">
        <f>""</f>
        <v/>
      </c>
      <c r="F2598" t="str">
        <f>""</f>
        <v/>
      </c>
      <c r="G2598" s="3">
        <v>748.6</v>
      </c>
      <c r="H2598" t="str">
        <f t="shared" si="47"/>
        <v>BCBS PAYABLE</v>
      </c>
    </row>
    <row r="2599" spans="5:8" x14ac:dyDescent="0.25">
      <c r="E2599" t="str">
        <f>""</f>
        <v/>
      </c>
      <c r="F2599" t="str">
        <f>""</f>
        <v/>
      </c>
      <c r="G2599" s="3">
        <v>374.3</v>
      </c>
      <c r="H2599" t="str">
        <f t="shared" si="47"/>
        <v>BCBS PAYABLE</v>
      </c>
    </row>
    <row r="2600" spans="5:8" x14ac:dyDescent="0.25">
      <c r="E2600" t="str">
        <f>""</f>
        <v/>
      </c>
      <c r="F2600" t="str">
        <f>""</f>
        <v/>
      </c>
      <c r="G2600" s="3">
        <v>3743</v>
      </c>
      <c r="H2600" t="str">
        <f t="shared" si="47"/>
        <v>BCBS PAYABLE</v>
      </c>
    </row>
    <row r="2601" spans="5:8" x14ac:dyDescent="0.25">
      <c r="E2601" t="str">
        <f>""</f>
        <v/>
      </c>
      <c r="F2601" t="str">
        <f>""</f>
        <v/>
      </c>
      <c r="G2601" s="3">
        <v>1497.2</v>
      </c>
      <c r="H2601" t="str">
        <f t="shared" si="47"/>
        <v>BCBS PAYABLE</v>
      </c>
    </row>
    <row r="2602" spans="5:8" x14ac:dyDescent="0.25">
      <c r="E2602" t="str">
        <f>""</f>
        <v/>
      </c>
      <c r="F2602" t="str">
        <f>""</f>
        <v/>
      </c>
      <c r="G2602" s="3">
        <v>2994.4</v>
      </c>
      <c r="H2602" t="str">
        <f t="shared" si="47"/>
        <v>BCBS PAYABLE</v>
      </c>
    </row>
    <row r="2603" spans="5:8" x14ac:dyDescent="0.25">
      <c r="E2603" t="str">
        <f>""</f>
        <v/>
      </c>
      <c r="F2603" t="str">
        <f>""</f>
        <v/>
      </c>
      <c r="G2603" s="3">
        <v>3368.7</v>
      </c>
      <c r="H2603" t="str">
        <f t="shared" si="47"/>
        <v>BCBS PAYABLE</v>
      </c>
    </row>
    <row r="2604" spans="5:8" x14ac:dyDescent="0.25">
      <c r="E2604" t="str">
        <f>""</f>
        <v/>
      </c>
      <c r="F2604" t="str">
        <f>""</f>
        <v/>
      </c>
      <c r="G2604" s="3">
        <v>5994.41</v>
      </c>
      <c r="H2604" t="str">
        <f t="shared" si="47"/>
        <v>BCBS PAYABLE</v>
      </c>
    </row>
    <row r="2605" spans="5:8" x14ac:dyDescent="0.25">
      <c r="E2605" t="str">
        <f>""</f>
        <v/>
      </c>
      <c r="F2605" t="str">
        <f>""</f>
        <v/>
      </c>
      <c r="G2605" s="3">
        <v>374.3</v>
      </c>
      <c r="H2605" t="str">
        <f t="shared" si="47"/>
        <v>BCBS PAYABLE</v>
      </c>
    </row>
    <row r="2606" spans="5:8" x14ac:dyDescent="0.25">
      <c r="E2606" t="str">
        <f>""</f>
        <v/>
      </c>
      <c r="F2606" t="str">
        <f>""</f>
        <v/>
      </c>
      <c r="G2606" s="3">
        <v>374.3</v>
      </c>
      <c r="H2606" t="str">
        <f t="shared" si="47"/>
        <v>BCBS PAYABLE</v>
      </c>
    </row>
    <row r="2607" spans="5:8" x14ac:dyDescent="0.25">
      <c r="E2607" t="str">
        <f>""</f>
        <v/>
      </c>
      <c r="F2607" t="str">
        <f>""</f>
        <v/>
      </c>
      <c r="G2607" s="3">
        <v>20488.75</v>
      </c>
      <c r="H2607" t="str">
        <f t="shared" si="47"/>
        <v>BCBS PAYABLE</v>
      </c>
    </row>
    <row r="2608" spans="5:8" x14ac:dyDescent="0.25">
      <c r="E2608" t="str">
        <f>""</f>
        <v/>
      </c>
      <c r="F2608" t="str">
        <f>""</f>
        <v/>
      </c>
      <c r="G2608" s="3">
        <v>1111.8900000000001</v>
      </c>
      <c r="H2608" t="str">
        <f t="shared" si="47"/>
        <v>BCBS PAYABLE</v>
      </c>
    </row>
    <row r="2609" spans="5:8" x14ac:dyDescent="0.25">
      <c r="E2609" t="str">
        <f>""</f>
        <v/>
      </c>
      <c r="F2609" t="str">
        <f>""</f>
        <v/>
      </c>
      <c r="G2609" s="3">
        <v>19573.900000000001</v>
      </c>
      <c r="H2609" t="str">
        <f t="shared" si="47"/>
        <v>BCBS PAYABLE</v>
      </c>
    </row>
    <row r="2610" spans="5:8" x14ac:dyDescent="0.25">
      <c r="E2610" t="str">
        <f>""</f>
        <v/>
      </c>
      <c r="F2610" t="str">
        <f>""</f>
        <v/>
      </c>
      <c r="G2610" s="3">
        <v>5240.2</v>
      </c>
      <c r="H2610" t="str">
        <f t="shared" si="47"/>
        <v>BCBS PAYABLE</v>
      </c>
    </row>
    <row r="2611" spans="5:8" x14ac:dyDescent="0.25">
      <c r="E2611" t="str">
        <f>""</f>
        <v/>
      </c>
      <c r="F2611" t="str">
        <f>""</f>
        <v/>
      </c>
      <c r="G2611" s="3">
        <v>374.3</v>
      </c>
      <c r="H2611" t="str">
        <f t="shared" si="47"/>
        <v>BCBS PAYABLE</v>
      </c>
    </row>
    <row r="2612" spans="5:8" x14ac:dyDescent="0.25">
      <c r="E2612" t="str">
        <f>""</f>
        <v/>
      </c>
      <c r="F2612" t="str">
        <f>""</f>
        <v/>
      </c>
      <c r="G2612" s="3">
        <v>748.6</v>
      </c>
      <c r="H2612" t="str">
        <f t="shared" si="47"/>
        <v>BCBS PAYABLE</v>
      </c>
    </row>
    <row r="2613" spans="5:8" x14ac:dyDescent="0.25">
      <c r="E2613" t="str">
        <f>""</f>
        <v/>
      </c>
      <c r="F2613" t="str">
        <f>""</f>
        <v/>
      </c>
      <c r="G2613" s="3">
        <v>95.82</v>
      </c>
      <c r="H2613" t="str">
        <f t="shared" si="47"/>
        <v>BCBS PAYABLE</v>
      </c>
    </row>
    <row r="2614" spans="5:8" x14ac:dyDescent="0.25">
      <c r="E2614" t="str">
        <f>""</f>
        <v/>
      </c>
      <c r="F2614" t="str">
        <f>""</f>
        <v/>
      </c>
      <c r="G2614" s="3">
        <v>748.6</v>
      </c>
      <c r="H2614" t="str">
        <f t="shared" si="47"/>
        <v>BCBS PAYABLE</v>
      </c>
    </row>
    <row r="2615" spans="5:8" x14ac:dyDescent="0.25">
      <c r="E2615" t="str">
        <f>""</f>
        <v/>
      </c>
      <c r="F2615" t="str">
        <f>""</f>
        <v/>
      </c>
      <c r="G2615" s="3">
        <v>374.3</v>
      </c>
      <c r="H2615" t="str">
        <f t="shared" si="47"/>
        <v>BCBS PAYABLE</v>
      </c>
    </row>
    <row r="2616" spans="5:8" x14ac:dyDescent="0.25">
      <c r="E2616" t="str">
        <f>""</f>
        <v/>
      </c>
      <c r="F2616" t="str">
        <f>""</f>
        <v/>
      </c>
      <c r="G2616" s="3">
        <v>748.6</v>
      </c>
      <c r="H2616" t="str">
        <f t="shared" si="47"/>
        <v>BCBS PAYABLE</v>
      </c>
    </row>
    <row r="2617" spans="5:8" x14ac:dyDescent="0.25">
      <c r="E2617" t="str">
        <f>""</f>
        <v/>
      </c>
      <c r="F2617" t="str">
        <f>""</f>
        <v/>
      </c>
      <c r="G2617" s="3">
        <v>748.6</v>
      </c>
      <c r="H2617" t="str">
        <f t="shared" si="47"/>
        <v>BCBS PAYABLE</v>
      </c>
    </row>
    <row r="2618" spans="5:8" x14ac:dyDescent="0.25">
      <c r="E2618" t="str">
        <f>""</f>
        <v/>
      </c>
      <c r="F2618" t="str">
        <f>""</f>
        <v/>
      </c>
      <c r="G2618" s="3">
        <v>418.72</v>
      </c>
      <c r="H2618" t="str">
        <f t="shared" si="47"/>
        <v>BCBS PAYABLE</v>
      </c>
    </row>
    <row r="2619" spans="5:8" x14ac:dyDescent="0.25">
      <c r="E2619" t="str">
        <f>""</f>
        <v/>
      </c>
      <c r="F2619" t="str">
        <f>""</f>
        <v/>
      </c>
      <c r="G2619" s="3">
        <v>3460.88</v>
      </c>
      <c r="H2619" t="str">
        <f t="shared" si="47"/>
        <v>BCBS PAYABLE</v>
      </c>
    </row>
    <row r="2620" spans="5:8" x14ac:dyDescent="0.25">
      <c r="E2620" t="str">
        <f>""</f>
        <v/>
      </c>
      <c r="F2620" t="str">
        <f>""</f>
        <v/>
      </c>
      <c r="G2620" s="3">
        <v>2175.1799999999998</v>
      </c>
      <c r="H2620" t="str">
        <f t="shared" si="47"/>
        <v>BCBS PAYABLE</v>
      </c>
    </row>
    <row r="2621" spans="5:8" x14ac:dyDescent="0.25">
      <c r="E2621" t="str">
        <f>""</f>
        <v/>
      </c>
      <c r="F2621" t="str">
        <f>""</f>
        <v/>
      </c>
      <c r="G2621" s="3">
        <v>4795.28</v>
      </c>
      <c r="H2621" t="str">
        <f t="shared" si="47"/>
        <v>BCBS PAYABLE</v>
      </c>
    </row>
    <row r="2622" spans="5:8" x14ac:dyDescent="0.25">
      <c r="E2622" t="str">
        <f>""</f>
        <v/>
      </c>
      <c r="F2622" t="str">
        <f>""</f>
        <v/>
      </c>
      <c r="G2622" s="3">
        <v>4046.65</v>
      </c>
      <c r="H2622" t="str">
        <f t="shared" si="47"/>
        <v>BCBS PAYABLE</v>
      </c>
    </row>
    <row r="2623" spans="5:8" x14ac:dyDescent="0.25">
      <c r="E2623" t="str">
        <f>""</f>
        <v/>
      </c>
      <c r="F2623" t="str">
        <f>""</f>
        <v/>
      </c>
      <c r="G2623" s="3">
        <v>652.78</v>
      </c>
      <c r="H2623" t="str">
        <f t="shared" si="47"/>
        <v>BCBS PAYABLE</v>
      </c>
    </row>
    <row r="2624" spans="5:8" x14ac:dyDescent="0.25">
      <c r="E2624" t="str">
        <f>""</f>
        <v/>
      </c>
      <c r="F2624" t="str">
        <f>""</f>
        <v/>
      </c>
      <c r="G2624" s="3">
        <v>9.7200000000000006</v>
      </c>
      <c r="H2624" t="str">
        <f t="shared" si="47"/>
        <v>BCBS PAYABLE</v>
      </c>
    </row>
    <row r="2625" spans="5:8" x14ac:dyDescent="0.25">
      <c r="E2625" t="str">
        <f>""</f>
        <v/>
      </c>
      <c r="F2625" t="str">
        <f>""</f>
        <v/>
      </c>
      <c r="G2625" s="3">
        <v>13.75</v>
      </c>
      <c r="H2625" t="str">
        <f t="shared" si="47"/>
        <v>BCBS PAYABLE</v>
      </c>
    </row>
    <row r="2626" spans="5:8" x14ac:dyDescent="0.25">
      <c r="E2626" t="str">
        <f>""</f>
        <v/>
      </c>
      <c r="F2626" t="str">
        <f>""</f>
        <v/>
      </c>
      <c r="G2626" s="3">
        <v>372.76</v>
      </c>
      <c r="H2626" t="str">
        <f t="shared" si="47"/>
        <v>BCBS PAYABLE</v>
      </c>
    </row>
    <row r="2627" spans="5:8" x14ac:dyDescent="0.25">
      <c r="E2627" t="str">
        <f>"2EO202111227342"</f>
        <v>2EO202111227342</v>
      </c>
      <c r="F2627" t="str">
        <f>"BCBS PAYABLE"</f>
        <v>BCBS PAYABLE</v>
      </c>
      <c r="G2627" s="3">
        <v>3368.7</v>
      </c>
      <c r="H2627" t="str">
        <f t="shared" si="47"/>
        <v>BCBS PAYABLE</v>
      </c>
    </row>
    <row r="2628" spans="5:8" x14ac:dyDescent="0.25">
      <c r="E2628" t="str">
        <f>"2ES202111097073"</f>
        <v>2ES202111097073</v>
      </c>
      <c r="F2628" t="str">
        <f>"BCBS PAYABLE"</f>
        <v>BCBS PAYABLE</v>
      </c>
      <c r="G2628" s="3">
        <v>374.3</v>
      </c>
      <c r="H2628" t="str">
        <f t="shared" si="47"/>
        <v>BCBS PAYABLE</v>
      </c>
    </row>
    <row r="2629" spans="5:8" x14ac:dyDescent="0.25">
      <c r="E2629" t="str">
        <f>""</f>
        <v/>
      </c>
      <c r="F2629" t="str">
        <f>""</f>
        <v/>
      </c>
      <c r="G2629" s="3">
        <v>748.6</v>
      </c>
      <c r="H2629" t="str">
        <f t="shared" si="47"/>
        <v>BCBS PAYABLE</v>
      </c>
    </row>
    <row r="2630" spans="5:8" x14ac:dyDescent="0.25">
      <c r="E2630" t="str">
        <f>""</f>
        <v/>
      </c>
      <c r="F2630" t="str">
        <f>""</f>
        <v/>
      </c>
      <c r="G2630" s="3">
        <v>374.3</v>
      </c>
      <c r="H2630" t="str">
        <f t="shared" si="47"/>
        <v>BCBS PAYABLE</v>
      </c>
    </row>
    <row r="2631" spans="5:8" x14ac:dyDescent="0.25">
      <c r="E2631" t="str">
        <f>""</f>
        <v/>
      </c>
      <c r="F2631" t="str">
        <f>""</f>
        <v/>
      </c>
      <c r="G2631" s="3">
        <v>374.3</v>
      </c>
      <c r="H2631" t="str">
        <f t="shared" si="47"/>
        <v>BCBS PAYABLE</v>
      </c>
    </row>
    <row r="2632" spans="5:8" x14ac:dyDescent="0.25">
      <c r="E2632" t="str">
        <f>""</f>
        <v/>
      </c>
      <c r="F2632" t="str">
        <f>""</f>
        <v/>
      </c>
      <c r="G2632" s="3">
        <v>374.3</v>
      </c>
      <c r="H2632" t="str">
        <f t="shared" si="47"/>
        <v>BCBS PAYABLE</v>
      </c>
    </row>
    <row r="2633" spans="5:8" x14ac:dyDescent="0.25">
      <c r="E2633" t="str">
        <f>""</f>
        <v/>
      </c>
      <c r="F2633" t="str">
        <f>""</f>
        <v/>
      </c>
      <c r="G2633" s="3">
        <v>374.3</v>
      </c>
      <c r="H2633" t="str">
        <f t="shared" si="47"/>
        <v>BCBS PAYABLE</v>
      </c>
    </row>
    <row r="2634" spans="5:8" x14ac:dyDescent="0.25">
      <c r="E2634" t="str">
        <f>""</f>
        <v/>
      </c>
      <c r="F2634" t="str">
        <f>""</f>
        <v/>
      </c>
      <c r="G2634" s="3">
        <v>374.3</v>
      </c>
      <c r="H2634" t="str">
        <f t="shared" si="47"/>
        <v>BCBS PAYABLE</v>
      </c>
    </row>
    <row r="2635" spans="5:8" x14ac:dyDescent="0.25">
      <c r="E2635" t="str">
        <f>""</f>
        <v/>
      </c>
      <c r="F2635" t="str">
        <f>""</f>
        <v/>
      </c>
      <c r="G2635" s="3">
        <v>374.3</v>
      </c>
      <c r="H2635" t="str">
        <f t="shared" si="47"/>
        <v>BCBS PAYABLE</v>
      </c>
    </row>
    <row r="2636" spans="5:8" x14ac:dyDescent="0.25">
      <c r="E2636" t="str">
        <f>""</f>
        <v/>
      </c>
      <c r="F2636" t="str">
        <f>""</f>
        <v/>
      </c>
      <c r="G2636" s="3">
        <v>374.3</v>
      </c>
      <c r="H2636" t="str">
        <f t="shared" si="47"/>
        <v>BCBS PAYABLE</v>
      </c>
    </row>
    <row r="2637" spans="5:8" x14ac:dyDescent="0.25">
      <c r="E2637" t="str">
        <f>""</f>
        <v/>
      </c>
      <c r="F2637" t="str">
        <f>""</f>
        <v/>
      </c>
      <c r="G2637" s="3">
        <v>748.6</v>
      </c>
      <c r="H2637" t="str">
        <f t="shared" si="47"/>
        <v>BCBS PAYABLE</v>
      </c>
    </row>
    <row r="2638" spans="5:8" x14ac:dyDescent="0.25">
      <c r="E2638" t="str">
        <f>""</f>
        <v/>
      </c>
      <c r="F2638" t="str">
        <f>""</f>
        <v/>
      </c>
      <c r="G2638" s="3">
        <v>4145.8500000000004</v>
      </c>
      <c r="H2638" t="str">
        <f t="shared" si="47"/>
        <v>BCBS PAYABLE</v>
      </c>
    </row>
    <row r="2639" spans="5:8" x14ac:dyDescent="0.25">
      <c r="E2639" t="str">
        <f>""</f>
        <v/>
      </c>
      <c r="F2639" t="str">
        <f>""</f>
        <v/>
      </c>
      <c r="G2639" s="3">
        <v>2217.25</v>
      </c>
      <c r="H2639" t="str">
        <f t="shared" si="47"/>
        <v>BCBS PAYABLE</v>
      </c>
    </row>
    <row r="2640" spans="5:8" x14ac:dyDescent="0.25">
      <c r="E2640" t="str">
        <f>""</f>
        <v/>
      </c>
      <c r="F2640" t="str">
        <f>""</f>
        <v/>
      </c>
      <c r="G2640" s="3">
        <v>374.3</v>
      </c>
      <c r="H2640" t="str">
        <f t="shared" si="47"/>
        <v>BCBS PAYABLE</v>
      </c>
    </row>
    <row r="2641" spans="5:8" x14ac:dyDescent="0.25">
      <c r="E2641" t="str">
        <f>""</f>
        <v/>
      </c>
      <c r="F2641" t="str">
        <f>""</f>
        <v/>
      </c>
      <c r="G2641" s="3">
        <v>374.3</v>
      </c>
      <c r="H2641" t="str">
        <f t="shared" si="47"/>
        <v>BCBS PAYABLE</v>
      </c>
    </row>
    <row r="2642" spans="5:8" x14ac:dyDescent="0.25">
      <c r="E2642" t="str">
        <f>""</f>
        <v/>
      </c>
      <c r="F2642" t="str">
        <f>""</f>
        <v/>
      </c>
      <c r="G2642" s="3">
        <v>748.6</v>
      </c>
      <c r="H2642" t="str">
        <f t="shared" si="47"/>
        <v>BCBS PAYABLE</v>
      </c>
    </row>
    <row r="2643" spans="5:8" x14ac:dyDescent="0.25">
      <c r="E2643" t="str">
        <f>""</f>
        <v/>
      </c>
      <c r="F2643" t="str">
        <f>""</f>
        <v/>
      </c>
      <c r="G2643" s="3">
        <v>374.3</v>
      </c>
      <c r="H2643" t="str">
        <f t="shared" si="47"/>
        <v>BCBS PAYABLE</v>
      </c>
    </row>
    <row r="2644" spans="5:8" x14ac:dyDescent="0.25">
      <c r="E2644" t="str">
        <f>""</f>
        <v/>
      </c>
      <c r="F2644" t="str">
        <f>""</f>
        <v/>
      </c>
      <c r="G2644" s="3">
        <v>374.3</v>
      </c>
      <c r="H2644" t="str">
        <f t="shared" si="47"/>
        <v>BCBS PAYABLE</v>
      </c>
    </row>
    <row r="2645" spans="5:8" x14ac:dyDescent="0.25">
      <c r="E2645" t="str">
        <f>""</f>
        <v/>
      </c>
      <c r="F2645" t="str">
        <f>""</f>
        <v/>
      </c>
      <c r="G2645" s="3">
        <v>748.6</v>
      </c>
      <c r="H2645" t="str">
        <f t="shared" si="47"/>
        <v>BCBS PAYABLE</v>
      </c>
    </row>
    <row r="2646" spans="5:8" x14ac:dyDescent="0.25">
      <c r="E2646" t="str">
        <f>""</f>
        <v/>
      </c>
      <c r="F2646" t="str">
        <f>""</f>
        <v/>
      </c>
      <c r="G2646" s="3">
        <v>8175.89</v>
      </c>
      <c r="H2646" t="str">
        <f t="shared" si="47"/>
        <v>BCBS PAYABLE</v>
      </c>
    </row>
    <row r="2647" spans="5:8" x14ac:dyDescent="0.25">
      <c r="E2647" t="str">
        <f>"2ES202111097074"</f>
        <v>2ES202111097074</v>
      </c>
      <c r="F2647" t="str">
        <f>"BCBS PAYABLE"</f>
        <v>BCBS PAYABLE</v>
      </c>
      <c r="G2647" s="3">
        <v>374.3</v>
      </c>
      <c r="H2647" t="str">
        <f t="shared" si="47"/>
        <v>BCBS PAYABLE</v>
      </c>
    </row>
    <row r="2648" spans="5:8" x14ac:dyDescent="0.25">
      <c r="E2648" t="str">
        <f>""</f>
        <v/>
      </c>
      <c r="F2648" t="str">
        <f>""</f>
        <v/>
      </c>
      <c r="G2648" s="3">
        <v>220.97</v>
      </c>
      <c r="H2648" t="str">
        <f t="shared" ref="H2648:H2669" si="48">"BCBS PAYABLE"</f>
        <v>BCBS PAYABLE</v>
      </c>
    </row>
    <row r="2649" spans="5:8" x14ac:dyDescent="0.25">
      <c r="E2649" t="str">
        <f>"2ES202111227341"</f>
        <v>2ES202111227341</v>
      </c>
      <c r="F2649" t="str">
        <f>"BCBS PAYABLE"</f>
        <v>BCBS PAYABLE</v>
      </c>
      <c r="G2649" s="3">
        <v>374.3</v>
      </c>
      <c r="H2649" t="str">
        <f t="shared" si="48"/>
        <v>BCBS PAYABLE</v>
      </c>
    </row>
    <row r="2650" spans="5:8" x14ac:dyDescent="0.25">
      <c r="E2650" t="str">
        <f>""</f>
        <v/>
      </c>
      <c r="F2650" t="str">
        <f>""</f>
        <v/>
      </c>
      <c r="G2650" s="3">
        <v>748.6</v>
      </c>
      <c r="H2650" t="str">
        <f t="shared" si="48"/>
        <v>BCBS PAYABLE</v>
      </c>
    </row>
    <row r="2651" spans="5:8" x14ac:dyDescent="0.25">
      <c r="E2651" t="str">
        <f>""</f>
        <v/>
      </c>
      <c r="F2651" t="str">
        <f>""</f>
        <v/>
      </c>
      <c r="G2651" s="3">
        <v>374.3</v>
      </c>
      <c r="H2651" t="str">
        <f t="shared" si="48"/>
        <v>BCBS PAYABLE</v>
      </c>
    </row>
    <row r="2652" spans="5:8" x14ac:dyDescent="0.25">
      <c r="E2652" t="str">
        <f>""</f>
        <v/>
      </c>
      <c r="F2652" t="str">
        <f>""</f>
        <v/>
      </c>
      <c r="G2652" s="3">
        <v>374.3</v>
      </c>
      <c r="H2652" t="str">
        <f t="shared" si="48"/>
        <v>BCBS PAYABLE</v>
      </c>
    </row>
    <row r="2653" spans="5:8" x14ac:dyDescent="0.25">
      <c r="E2653" t="str">
        <f>""</f>
        <v/>
      </c>
      <c r="F2653" t="str">
        <f>""</f>
        <v/>
      </c>
      <c r="G2653" s="3">
        <v>374.3</v>
      </c>
      <c r="H2653" t="str">
        <f t="shared" si="48"/>
        <v>BCBS PAYABLE</v>
      </c>
    </row>
    <row r="2654" spans="5:8" x14ac:dyDescent="0.25">
      <c r="E2654" t="str">
        <f>""</f>
        <v/>
      </c>
      <c r="F2654" t="str">
        <f>""</f>
        <v/>
      </c>
      <c r="G2654" s="3">
        <v>374.3</v>
      </c>
      <c r="H2654" t="str">
        <f t="shared" si="48"/>
        <v>BCBS PAYABLE</v>
      </c>
    </row>
    <row r="2655" spans="5:8" x14ac:dyDescent="0.25">
      <c r="E2655" t="str">
        <f>""</f>
        <v/>
      </c>
      <c r="F2655" t="str">
        <f>""</f>
        <v/>
      </c>
      <c r="G2655" s="3">
        <v>374.3</v>
      </c>
      <c r="H2655" t="str">
        <f t="shared" si="48"/>
        <v>BCBS PAYABLE</v>
      </c>
    </row>
    <row r="2656" spans="5:8" x14ac:dyDescent="0.25">
      <c r="E2656" t="str">
        <f>""</f>
        <v/>
      </c>
      <c r="F2656" t="str">
        <f>""</f>
        <v/>
      </c>
      <c r="G2656" s="3">
        <v>374.3</v>
      </c>
      <c r="H2656" t="str">
        <f t="shared" si="48"/>
        <v>BCBS PAYABLE</v>
      </c>
    </row>
    <row r="2657" spans="1:8" x14ac:dyDescent="0.25">
      <c r="E2657" t="str">
        <f>""</f>
        <v/>
      </c>
      <c r="F2657" t="str">
        <f>""</f>
        <v/>
      </c>
      <c r="G2657" s="3">
        <v>374.3</v>
      </c>
      <c r="H2657" t="str">
        <f t="shared" si="48"/>
        <v>BCBS PAYABLE</v>
      </c>
    </row>
    <row r="2658" spans="1:8" x14ac:dyDescent="0.25">
      <c r="E2658" t="str">
        <f>""</f>
        <v/>
      </c>
      <c r="F2658" t="str">
        <f>""</f>
        <v/>
      </c>
      <c r="G2658" s="3">
        <v>748.6</v>
      </c>
      <c r="H2658" t="str">
        <f t="shared" si="48"/>
        <v>BCBS PAYABLE</v>
      </c>
    </row>
    <row r="2659" spans="1:8" x14ac:dyDescent="0.25">
      <c r="E2659" t="str">
        <f>""</f>
        <v/>
      </c>
      <c r="F2659" t="str">
        <f>""</f>
        <v/>
      </c>
      <c r="G2659" s="3">
        <v>4145.8500000000004</v>
      </c>
      <c r="H2659" t="str">
        <f t="shared" si="48"/>
        <v>BCBS PAYABLE</v>
      </c>
    </row>
    <row r="2660" spans="1:8" x14ac:dyDescent="0.25">
      <c r="E2660" t="str">
        <f>""</f>
        <v/>
      </c>
      <c r="F2660" t="str">
        <f>""</f>
        <v/>
      </c>
      <c r="G2660" s="3">
        <v>2217.25</v>
      </c>
      <c r="H2660" t="str">
        <f t="shared" si="48"/>
        <v>BCBS PAYABLE</v>
      </c>
    </row>
    <row r="2661" spans="1:8" x14ac:dyDescent="0.25">
      <c r="E2661" t="str">
        <f>""</f>
        <v/>
      </c>
      <c r="F2661" t="str">
        <f>""</f>
        <v/>
      </c>
      <c r="G2661" s="3">
        <v>374.3</v>
      </c>
      <c r="H2661" t="str">
        <f t="shared" si="48"/>
        <v>BCBS PAYABLE</v>
      </c>
    </row>
    <row r="2662" spans="1:8" x14ac:dyDescent="0.25">
      <c r="E2662" t="str">
        <f>""</f>
        <v/>
      </c>
      <c r="F2662" t="str">
        <f>""</f>
        <v/>
      </c>
      <c r="G2662" s="3">
        <v>374.3</v>
      </c>
      <c r="H2662" t="str">
        <f t="shared" si="48"/>
        <v>BCBS PAYABLE</v>
      </c>
    </row>
    <row r="2663" spans="1:8" x14ac:dyDescent="0.25">
      <c r="E2663" t="str">
        <f>""</f>
        <v/>
      </c>
      <c r="F2663" t="str">
        <f>""</f>
        <v/>
      </c>
      <c r="G2663" s="3">
        <v>748.6</v>
      </c>
      <c r="H2663" t="str">
        <f t="shared" si="48"/>
        <v>BCBS PAYABLE</v>
      </c>
    </row>
    <row r="2664" spans="1:8" x14ac:dyDescent="0.25">
      <c r="E2664" t="str">
        <f>""</f>
        <v/>
      </c>
      <c r="F2664" t="str">
        <f>""</f>
        <v/>
      </c>
      <c r="G2664" s="3">
        <v>374.3</v>
      </c>
      <c r="H2664" t="str">
        <f t="shared" si="48"/>
        <v>BCBS PAYABLE</v>
      </c>
    </row>
    <row r="2665" spans="1:8" x14ac:dyDescent="0.25">
      <c r="E2665" t="str">
        <f>""</f>
        <v/>
      </c>
      <c r="F2665" t="str">
        <f>""</f>
        <v/>
      </c>
      <c r="G2665" s="3">
        <v>374.3</v>
      </c>
      <c r="H2665" t="str">
        <f t="shared" si="48"/>
        <v>BCBS PAYABLE</v>
      </c>
    </row>
    <row r="2666" spans="1:8" x14ac:dyDescent="0.25">
      <c r="E2666" t="str">
        <f>""</f>
        <v/>
      </c>
      <c r="F2666" t="str">
        <f>""</f>
        <v/>
      </c>
      <c r="G2666" s="3">
        <v>748.6</v>
      </c>
      <c r="H2666" t="str">
        <f t="shared" si="48"/>
        <v>BCBS PAYABLE</v>
      </c>
    </row>
    <row r="2667" spans="1:8" x14ac:dyDescent="0.25">
      <c r="E2667" t="str">
        <f>""</f>
        <v/>
      </c>
      <c r="F2667" t="str">
        <f>""</f>
        <v/>
      </c>
      <c r="G2667" s="3">
        <v>8396.86</v>
      </c>
      <c r="H2667" t="str">
        <f t="shared" si="48"/>
        <v>BCBS PAYABLE</v>
      </c>
    </row>
    <row r="2668" spans="1:8" x14ac:dyDescent="0.25">
      <c r="E2668" t="str">
        <f>"2ES202111227342"</f>
        <v>2ES202111227342</v>
      </c>
      <c r="F2668" t="str">
        <f>"BCBS PAYABLE"</f>
        <v>BCBS PAYABLE</v>
      </c>
      <c r="G2668" s="3">
        <v>374.3</v>
      </c>
      <c r="H2668" t="str">
        <f t="shared" si="48"/>
        <v>BCBS PAYABLE</v>
      </c>
    </row>
    <row r="2669" spans="1:8" x14ac:dyDescent="0.25">
      <c r="E2669" t="str">
        <f>""</f>
        <v/>
      </c>
      <c r="F2669" t="str">
        <f>""</f>
        <v/>
      </c>
      <c r="G2669" s="3">
        <v>220.97</v>
      </c>
      <c r="H2669" t="str">
        <f t="shared" si="48"/>
        <v>BCBS PAYABLE</v>
      </c>
    </row>
    <row r="2670" spans="1:8" x14ac:dyDescent="0.25">
      <c r="A2670" t="s">
        <v>625</v>
      </c>
      <c r="B2670">
        <v>1416</v>
      </c>
      <c r="C2670" s="3">
        <v>7129.34</v>
      </c>
      <c r="D2670" s="6">
        <v>44512</v>
      </c>
      <c r="E2670" t="str">
        <f>"CPI202111097073"</f>
        <v>CPI202111097073</v>
      </c>
      <c r="F2670" t="str">
        <f>"DEFERRED COMP 457B PAYABLE"</f>
        <v>DEFERRED COMP 457B PAYABLE</v>
      </c>
      <c r="G2670" s="3">
        <v>5264.77</v>
      </c>
      <c r="H2670" t="str">
        <f>"DEFERRED COMP 457B PAYABLE"</f>
        <v>DEFERRED COMP 457B PAYABLE</v>
      </c>
    </row>
    <row r="2671" spans="1:8" x14ac:dyDescent="0.25">
      <c r="E2671" t="str">
        <f>"CPI202111097074"</f>
        <v>CPI202111097074</v>
      </c>
      <c r="F2671" t="str">
        <f>"DEFERRED COMP 457B PAYABLE"</f>
        <v>DEFERRED COMP 457B PAYABLE</v>
      </c>
      <c r="G2671" s="3">
        <v>120</v>
      </c>
      <c r="H2671" t="str">
        <f>"DEFERRED COMP 457B PAYABLE"</f>
        <v>DEFERRED COMP 457B PAYABLE</v>
      </c>
    </row>
    <row r="2672" spans="1:8" x14ac:dyDescent="0.25">
      <c r="E2672" t="str">
        <f>"CPL202111097073"</f>
        <v>CPL202111097073</v>
      </c>
      <c r="F2672" t="str">
        <f>"LOAN ON DEFERRED COMP"</f>
        <v>LOAN ON DEFERRED COMP</v>
      </c>
      <c r="G2672" s="3">
        <v>1744.57</v>
      </c>
      <c r="H2672" t="str">
        <f>"LOAN ON DEFERRED COMP"</f>
        <v>LOAN ON DEFERRED COMP</v>
      </c>
    </row>
    <row r="2673" spans="1:8" x14ac:dyDescent="0.25">
      <c r="A2673" t="s">
        <v>625</v>
      </c>
      <c r="B2673">
        <v>1424</v>
      </c>
      <c r="C2673" s="3">
        <v>7129.34</v>
      </c>
      <c r="D2673" s="6">
        <v>44524</v>
      </c>
      <c r="E2673" t="str">
        <f>"CPI202111227341"</f>
        <v>CPI202111227341</v>
      </c>
      <c r="F2673" t="str">
        <f>"DEFERRED COMP 457B PAYABLE"</f>
        <v>DEFERRED COMP 457B PAYABLE</v>
      </c>
      <c r="G2673" s="3">
        <v>5264.77</v>
      </c>
      <c r="H2673" t="str">
        <f>"DEFERRED COMP 457B PAYABLE"</f>
        <v>DEFERRED COMP 457B PAYABLE</v>
      </c>
    </row>
    <row r="2674" spans="1:8" x14ac:dyDescent="0.25">
      <c r="E2674" t="str">
        <f>"CPI202111227342"</f>
        <v>CPI202111227342</v>
      </c>
      <c r="F2674" t="str">
        <f>"DEFERRED COMP 457B PAYABLE"</f>
        <v>DEFERRED COMP 457B PAYABLE</v>
      </c>
      <c r="G2674" s="3">
        <v>120</v>
      </c>
      <c r="H2674" t="str">
        <f>"DEFERRED COMP 457B PAYABLE"</f>
        <v>DEFERRED COMP 457B PAYABLE</v>
      </c>
    </row>
    <row r="2675" spans="1:8" x14ac:dyDescent="0.25">
      <c r="E2675" t="str">
        <f>"CPL202111227341"</f>
        <v>CPL202111227341</v>
      </c>
      <c r="F2675" t="str">
        <f>"LOAN ON DEFERRED COMP"</f>
        <v>LOAN ON DEFERRED COMP</v>
      </c>
      <c r="G2675" s="3">
        <v>1744.57</v>
      </c>
      <c r="H2675" t="str">
        <f>"LOAN ON DEFERRED COMP"</f>
        <v>LOAN ON DEFERRED COMP</v>
      </c>
    </row>
    <row r="2676" spans="1:8" x14ac:dyDescent="0.25">
      <c r="A2676" t="s">
        <v>626</v>
      </c>
      <c r="B2676">
        <v>1415</v>
      </c>
      <c r="C2676" s="3">
        <v>4103.18</v>
      </c>
      <c r="D2676" s="6">
        <v>44512</v>
      </c>
      <c r="E2676" t="str">
        <f>"C2 202111097074"</f>
        <v>C2 202111097074</v>
      </c>
      <c r="F2676" t="str">
        <f>"0012982132CCL7445"</f>
        <v>0012982132CCL7445</v>
      </c>
      <c r="G2676" s="3">
        <v>692.31</v>
      </c>
      <c r="H2676" t="str">
        <f>"0012982132CCL7445"</f>
        <v>0012982132CCL7445</v>
      </c>
    </row>
    <row r="2677" spans="1:8" x14ac:dyDescent="0.25">
      <c r="E2677" t="str">
        <f>"C20202111097073"</f>
        <v>C20202111097073</v>
      </c>
      <c r="F2677" t="str">
        <f>"001003981107-12252"</f>
        <v>001003981107-12252</v>
      </c>
      <c r="G2677" s="3">
        <v>115.39</v>
      </c>
      <c r="H2677" t="str">
        <f>"001003981107-12252"</f>
        <v>001003981107-12252</v>
      </c>
    </row>
    <row r="2678" spans="1:8" x14ac:dyDescent="0.25">
      <c r="E2678" t="str">
        <f>"C42202111097073"</f>
        <v>C42202111097073</v>
      </c>
      <c r="F2678" t="str">
        <f>"001236769211-14410"</f>
        <v>001236769211-14410</v>
      </c>
      <c r="G2678" s="3">
        <v>230.31</v>
      </c>
      <c r="H2678" t="str">
        <f>"001236769211-14410"</f>
        <v>001236769211-14410</v>
      </c>
    </row>
    <row r="2679" spans="1:8" x14ac:dyDescent="0.25">
      <c r="E2679" t="str">
        <f>"C46202111097073"</f>
        <v>C46202111097073</v>
      </c>
      <c r="F2679" t="str">
        <f>"CAUSE# 11-14911"</f>
        <v>CAUSE# 11-14911</v>
      </c>
      <c r="G2679" s="3">
        <v>238.62</v>
      </c>
      <c r="H2679" t="str">
        <f>"CAUSE# 11-14911"</f>
        <v>CAUSE# 11-14911</v>
      </c>
    </row>
    <row r="2680" spans="1:8" x14ac:dyDescent="0.25">
      <c r="E2680" t="str">
        <f>"C60202111097073"</f>
        <v>C60202111097073</v>
      </c>
      <c r="F2680" t="str">
        <f>"00130730762012V300"</f>
        <v>00130730762012V300</v>
      </c>
      <c r="G2680" s="3">
        <v>399.32</v>
      </c>
      <c r="H2680" t="str">
        <f>"00130730762012V300"</f>
        <v>00130730762012V300</v>
      </c>
    </row>
    <row r="2681" spans="1:8" x14ac:dyDescent="0.25">
      <c r="E2681" t="str">
        <f>"C62202111097073"</f>
        <v>C62202111097073</v>
      </c>
      <c r="F2681" t="str">
        <f>"# 0012128865"</f>
        <v># 0012128865</v>
      </c>
      <c r="G2681" s="3">
        <v>243.23</v>
      </c>
      <c r="H2681" t="str">
        <f>"# 0012128865"</f>
        <v># 0012128865</v>
      </c>
    </row>
    <row r="2682" spans="1:8" x14ac:dyDescent="0.25">
      <c r="E2682" t="str">
        <f>"C66202111097073"</f>
        <v>C66202111097073</v>
      </c>
      <c r="F2682" t="str">
        <f>"# 0012871801"</f>
        <v># 0012871801</v>
      </c>
      <c r="G2682" s="3">
        <v>90</v>
      </c>
      <c r="H2682" t="str">
        <f>"# 0012871801"</f>
        <v># 0012871801</v>
      </c>
    </row>
    <row r="2683" spans="1:8" x14ac:dyDescent="0.25">
      <c r="E2683" t="str">
        <f>"C67202111097073"</f>
        <v>C67202111097073</v>
      </c>
      <c r="F2683" t="str">
        <f>"13154657"</f>
        <v>13154657</v>
      </c>
      <c r="G2683" s="3">
        <v>101.99</v>
      </c>
      <c r="H2683" t="str">
        <f>"13154657"</f>
        <v>13154657</v>
      </c>
    </row>
    <row r="2684" spans="1:8" x14ac:dyDescent="0.25">
      <c r="E2684" t="str">
        <f>"C69202111097073"</f>
        <v>C69202111097073</v>
      </c>
      <c r="F2684" t="str">
        <f>"0012046911423672"</f>
        <v>0012046911423672</v>
      </c>
      <c r="G2684" s="3">
        <v>138.91999999999999</v>
      </c>
      <c r="H2684" t="str">
        <f>"0012046911423672"</f>
        <v>0012046911423672</v>
      </c>
    </row>
    <row r="2685" spans="1:8" x14ac:dyDescent="0.25">
      <c r="E2685" t="str">
        <f>"C72202111097073"</f>
        <v>C72202111097073</v>
      </c>
      <c r="F2685" t="str">
        <f>"0012797601C20130529B"</f>
        <v>0012797601C20130529B</v>
      </c>
      <c r="G2685" s="3">
        <v>241.85</v>
      </c>
      <c r="H2685" t="str">
        <f>"0012797601C20130529B"</f>
        <v>0012797601C20130529B</v>
      </c>
    </row>
    <row r="2686" spans="1:8" x14ac:dyDescent="0.25">
      <c r="E2686" t="str">
        <f>"C78202111097073"</f>
        <v>C78202111097073</v>
      </c>
      <c r="F2686" t="str">
        <f>"00105115972005106221"</f>
        <v>00105115972005106221</v>
      </c>
      <c r="G2686" s="3">
        <v>245.08</v>
      </c>
      <c r="H2686" t="str">
        <f>"00105115972005106221"</f>
        <v>00105115972005106221</v>
      </c>
    </row>
    <row r="2687" spans="1:8" x14ac:dyDescent="0.25">
      <c r="E2687" t="str">
        <f>"C85202111097073"</f>
        <v>C85202111097073</v>
      </c>
      <c r="F2687" t="str">
        <f>"0012469425201770874"</f>
        <v>0012469425201770874</v>
      </c>
      <c r="G2687" s="3">
        <v>138.46</v>
      </c>
      <c r="H2687" t="str">
        <f>"0012469425201770874"</f>
        <v>0012469425201770874</v>
      </c>
    </row>
    <row r="2688" spans="1:8" x14ac:dyDescent="0.25">
      <c r="E2688" t="str">
        <f>"C86202111097073"</f>
        <v>C86202111097073</v>
      </c>
      <c r="F2688" t="str">
        <f>"0013854015101285F"</f>
        <v>0013854015101285F</v>
      </c>
      <c r="G2688" s="3">
        <v>241.85</v>
      </c>
      <c r="H2688" t="str">
        <f>"0013854015101285F"</f>
        <v>0013854015101285F</v>
      </c>
    </row>
    <row r="2689" spans="1:8" x14ac:dyDescent="0.25">
      <c r="E2689" t="str">
        <f>"C87202111097073"</f>
        <v>C87202111097073</v>
      </c>
      <c r="F2689" t="str">
        <f>"0012963634L130019CVB"</f>
        <v>0012963634L130019CVB</v>
      </c>
      <c r="G2689" s="3">
        <v>249.23</v>
      </c>
      <c r="H2689" t="str">
        <f>"0012963634L130019CVB"</f>
        <v>0012963634L130019CVB</v>
      </c>
    </row>
    <row r="2690" spans="1:8" x14ac:dyDescent="0.25">
      <c r="E2690" t="str">
        <f>"C89202111097073"</f>
        <v>C89202111097073</v>
      </c>
      <c r="F2690" t="str">
        <f>"00127760434232477"</f>
        <v>00127760434232477</v>
      </c>
      <c r="G2690" s="3">
        <v>129.69</v>
      </c>
      <c r="H2690" t="str">
        <f>"00127760434232477"</f>
        <v>00127760434232477</v>
      </c>
    </row>
    <row r="2691" spans="1:8" x14ac:dyDescent="0.25">
      <c r="E2691" t="str">
        <f>"C94202111097073"</f>
        <v>C94202111097073</v>
      </c>
      <c r="F2691" t="str">
        <f>"00135877551718312"</f>
        <v>00135877551718312</v>
      </c>
      <c r="G2691" s="3">
        <v>221.54</v>
      </c>
      <c r="H2691" t="str">
        <f>"00135877551718312"</f>
        <v>00135877551718312</v>
      </c>
    </row>
    <row r="2692" spans="1:8" x14ac:dyDescent="0.25">
      <c r="E2692" t="str">
        <f>"C95202111097073"</f>
        <v>C95202111097073</v>
      </c>
      <c r="F2692" t="str">
        <f>"0011792526423338"</f>
        <v>0011792526423338</v>
      </c>
      <c r="G2692" s="3">
        <v>154.62</v>
      </c>
      <c r="H2692" t="str">
        <f>"0011792526423338"</f>
        <v>0011792526423338</v>
      </c>
    </row>
    <row r="2693" spans="1:8" x14ac:dyDescent="0.25">
      <c r="E2693" t="str">
        <f>"C96202111097073"</f>
        <v>C96202111097073</v>
      </c>
      <c r="F2693" t="str">
        <f>"00141985294237814"</f>
        <v>00141985294237814</v>
      </c>
      <c r="G2693" s="3">
        <v>230.77</v>
      </c>
      <c r="H2693" t="str">
        <f>"00141985294237814"</f>
        <v>00141985294237814</v>
      </c>
    </row>
    <row r="2694" spans="1:8" x14ac:dyDescent="0.25">
      <c r="A2694" t="s">
        <v>626</v>
      </c>
      <c r="B2694">
        <v>1423</v>
      </c>
      <c r="C2694" s="3">
        <v>4222.5200000000004</v>
      </c>
      <c r="D2694" s="6">
        <v>44524</v>
      </c>
      <c r="E2694" t="str">
        <f>"C2 202111227342"</f>
        <v>C2 202111227342</v>
      </c>
      <c r="F2694" t="str">
        <f>"0012982132CCL7445"</f>
        <v>0012982132CCL7445</v>
      </c>
      <c r="G2694" s="3">
        <v>692.31</v>
      </c>
      <c r="H2694" t="str">
        <f>"0012982132CCL7445"</f>
        <v>0012982132CCL7445</v>
      </c>
    </row>
    <row r="2695" spans="1:8" x14ac:dyDescent="0.25">
      <c r="E2695" t="str">
        <f>"C20202111227341"</f>
        <v>C20202111227341</v>
      </c>
      <c r="F2695" t="str">
        <f>"001003981107-12252"</f>
        <v>001003981107-12252</v>
      </c>
      <c r="G2695" s="3">
        <v>115.39</v>
      </c>
      <c r="H2695" t="str">
        <f>"001003981107-12252"</f>
        <v>001003981107-12252</v>
      </c>
    </row>
    <row r="2696" spans="1:8" x14ac:dyDescent="0.25">
      <c r="E2696" t="str">
        <f>"C42202111227341"</f>
        <v>C42202111227341</v>
      </c>
      <c r="F2696" t="str">
        <f>"001236769211-14410"</f>
        <v>001236769211-14410</v>
      </c>
      <c r="G2696" s="3">
        <v>230.31</v>
      </c>
      <c r="H2696" t="str">
        <f>"001236769211-14410"</f>
        <v>001236769211-14410</v>
      </c>
    </row>
    <row r="2697" spans="1:8" x14ac:dyDescent="0.25">
      <c r="E2697" t="str">
        <f>"C46202111227341"</f>
        <v>C46202111227341</v>
      </c>
      <c r="F2697" t="str">
        <f>"CAUSE# 11-14911"</f>
        <v>CAUSE# 11-14911</v>
      </c>
      <c r="G2697" s="3">
        <v>238.62</v>
      </c>
      <c r="H2697" t="str">
        <f>"CAUSE# 11-14911"</f>
        <v>CAUSE# 11-14911</v>
      </c>
    </row>
    <row r="2698" spans="1:8" x14ac:dyDescent="0.25">
      <c r="E2698" t="str">
        <f>"C60202111227341"</f>
        <v>C60202111227341</v>
      </c>
      <c r="F2698" t="str">
        <f>"00130730762012V300"</f>
        <v>00130730762012V300</v>
      </c>
      <c r="G2698" s="3">
        <v>399.32</v>
      </c>
      <c r="H2698" t="str">
        <f>"00130730762012V300"</f>
        <v>00130730762012V300</v>
      </c>
    </row>
    <row r="2699" spans="1:8" x14ac:dyDescent="0.25">
      <c r="E2699" t="str">
        <f>"C62202111227341"</f>
        <v>C62202111227341</v>
      </c>
      <c r="F2699" t="str">
        <f>"# 0012128865"</f>
        <v># 0012128865</v>
      </c>
      <c r="G2699" s="3">
        <v>243.23</v>
      </c>
      <c r="H2699" t="str">
        <f>"# 0012128865"</f>
        <v># 0012128865</v>
      </c>
    </row>
    <row r="2700" spans="1:8" x14ac:dyDescent="0.25">
      <c r="E2700" t="str">
        <f>"C66202111227341"</f>
        <v>C66202111227341</v>
      </c>
      <c r="F2700" t="str">
        <f>"# 0012871801"</f>
        <v># 0012871801</v>
      </c>
      <c r="G2700" s="3">
        <v>90</v>
      </c>
      <c r="H2700" t="str">
        <f>"# 0012871801"</f>
        <v># 0012871801</v>
      </c>
    </row>
    <row r="2701" spans="1:8" x14ac:dyDescent="0.25">
      <c r="E2701" t="str">
        <f>"C67202111227341"</f>
        <v>C67202111227341</v>
      </c>
      <c r="F2701" t="str">
        <f>"13154657"</f>
        <v>13154657</v>
      </c>
      <c r="G2701" s="3">
        <v>101.99</v>
      </c>
      <c r="H2701" t="str">
        <f>"13154657"</f>
        <v>13154657</v>
      </c>
    </row>
    <row r="2702" spans="1:8" x14ac:dyDescent="0.25">
      <c r="E2702" t="str">
        <f>"C69202111227341"</f>
        <v>C69202111227341</v>
      </c>
      <c r="F2702" t="str">
        <f>"0012046911423672"</f>
        <v>0012046911423672</v>
      </c>
      <c r="G2702" s="3">
        <v>138.91999999999999</v>
      </c>
      <c r="H2702" t="str">
        <f>"0012046911423672"</f>
        <v>0012046911423672</v>
      </c>
    </row>
    <row r="2703" spans="1:8" x14ac:dyDescent="0.25">
      <c r="E2703" t="str">
        <f>"C72202111227341"</f>
        <v>C72202111227341</v>
      </c>
      <c r="F2703" t="str">
        <f>"0012797601C20130529B"</f>
        <v>0012797601C20130529B</v>
      </c>
      <c r="G2703" s="3">
        <v>241.85</v>
      </c>
      <c r="H2703" t="str">
        <f>"0012797601C20130529B"</f>
        <v>0012797601C20130529B</v>
      </c>
    </row>
    <row r="2704" spans="1:8" x14ac:dyDescent="0.25">
      <c r="E2704" t="str">
        <f>"C78202111227341"</f>
        <v>C78202111227341</v>
      </c>
      <c r="F2704" t="str">
        <f>"00105115972005106221"</f>
        <v>00105115972005106221</v>
      </c>
      <c r="G2704" s="3">
        <v>245.08</v>
      </c>
      <c r="H2704" t="str">
        <f>"00105115972005106221"</f>
        <v>00105115972005106221</v>
      </c>
    </row>
    <row r="2705" spans="1:8" x14ac:dyDescent="0.25">
      <c r="E2705" t="str">
        <f>"C85202111227341"</f>
        <v>C85202111227341</v>
      </c>
      <c r="F2705" t="str">
        <f>"0012469425201770874"</f>
        <v>0012469425201770874</v>
      </c>
      <c r="G2705" s="3">
        <v>138.46</v>
      </c>
      <c r="H2705" t="str">
        <f>"0012469425201770874"</f>
        <v>0012469425201770874</v>
      </c>
    </row>
    <row r="2706" spans="1:8" x14ac:dyDescent="0.25">
      <c r="E2706" t="str">
        <f>"C86202111227341"</f>
        <v>C86202111227341</v>
      </c>
      <c r="F2706" t="str">
        <f>"0013854015101285F"</f>
        <v>0013854015101285F</v>
      </c>
      <c r="G2706" s="3">
        <v>241.85</v>
      </c>
      <c r="H2706" t="str">
        <f>"0013854015101285F"</f>
        <v>0013854015101285F</v>
      </c>
    </row>
    <row r="2707" spans="1:8" x14ac:dyDescent="0.25">
      <c r="E2707" t="str">
        <f>"C87202111227341"</f>
        <v>C87202111227341</v>
      </c>
      <c r="F2707" t="str">
        <f>"0012963634L130019CVB"</f>
        <v>0012963634L130019CVB</v>
      </c>
      <c r="G2707" s="3">
        <v>249.23</v>
      </c>
      <c r="H2707" t="str">
        <f>"0012963634L130019CVB"</f>
        <v>0012963634L130019CVB</v>
      </c>
    </row>
    <row r="2708" spans="1:8" x14ac:dyDescent="0.25">
      <c r="E2708" t="str">
        <f>"C89202111227341"</f>
        <v>C89202111227341</v>
      </c>
      <c r="F2708" t="str">
        <f>"00127760434232477"</f>
        <v>00127760434232477</v>
      </c>
      <c r="G2708" s="3">
        <v>129.69</v>
      </c>
      <c r="H2708" t="str">
        <f>"00127760434232477"</f>
        <v>00127760434232477</v>
      </c>
    </row>
    <row r="2709" spans="1:8" x14ac:dyDescent="0.25">
      <c r="E2709" t="str">
        <f>"C94202111227341"</f>
        <v>C94202111227341</v>
      </c>
      <c r="F2709" t="str">
        <f>"00135877551718312"</f>
        <v>00135877551718312</v>
      </c>
      <c r="G2709" s="3">
        <v>221.54</v>
      </c>
      <c r="H2709" t="str">
        <f>"00135877551718312"</f>
        <v>00135877551718312</v>
      </c>
    </row>
    <row r="2710" spans="1:8" x14ac:dyDescent="0.25">
      <c r="E2710" t="str">
        <f>"C95202111227341"</f>
        <v>C95202111227341</v>
      </c>
      <c r="F2710" t="str">
        <f>"0011792526423338"</f>
        <v>0011792526423338</v>
      </c>
      <c r="G2710" s="3">
        <v>154.62</v>
      </c>
      <c r="H2710" t="str">
        <f>"0011792526423338"</f>
        <v>0011792526423338</v>
      </c>
    </row>
    <row r="2711" spans="1:8" x14ac:dyDescent="0.25">
      <c r="E2711" t="str">
        <f>"C96202111227341"</f>
        <v>C96202111227341</v>
      </c>
      <c r="F2711" t="str">
        <f>"00141985294237814"</f>
        <v>00141985294237814</v>
      </c>
      <c r="G2711" s="3">
        <v>230.77</v>
      </c>
      <c r="H2711" t="str">
        <f>"00141985294237814"</f>
        <v>00141985294237814</v>
      </c>
    </row>
    <row r="2712" spans="1:8" x14ac:dyDescent="0.25">
      <c r="E2712" t="str">
        <f>"C98202111227341"</f>
        <v>C98202111227341</v>
      </c>
      <c r="F2712" t="str">
        <f>"00115180722007EM5054"</f>
        <v>00115180722007EM5054</v>
      </c>
      <c r="G2712" s="3">
        <v>119.34</v>
      </c>
      <c r="H2712" t="str">
        <f>"00115180722007EM5054"</f>
        <v>00115180722007EM5054</v>
      </c>
    </row>
    <row r="2713" spans="1:8" x14ac:dyDescent="0.25">
      <c r="A2713" t="s">
        <v>627</v>
      </c>
      <c r="B2713">
        <v>1425</v>
      </c>
      <c r="C2713" s="3">
        <v>492361.11</v>
      </c>
      <c r="D2713" s="6">
        <v>44524</v>
      </c>
      <c r="E2713" t="str">
        <f>"RET202111097073"</f>
        <v>RET202111097073</v>
      </c>
      <c r="F2713" t="str">
        <f>"TEXAS COUNTY &amp; DISTRICT RET"</f>
        <v>TEXAS COUNTY &amp; DISTRICT RET</v>
      </c>
      <c r="G2713" s="3">
        <v>936.22</v>
      </c>
      <c r="H2713" t="str">
        <f t="shared" ref="H2713:H2744" si="49">"TEXAS COUNTY &amp; DISTRICT RET"</f>
        <v>TEXAS COUNTY &amp; DISTRICT RET</v>
      </c>
    </row>
    <row r="2714" spans="1:8" x14ac:dyDescent="0.25">
      <c r="E2714" t="str">
        <f>""</f>
        <v/>
      </c>
      <c r="F2714" t="str">
        <f>""</f>
        <v/>
      </c>
      <c r="G2714" s="3">
        <v>666.6</v>
      </c>
      <c r="H2714" t="str">
        <f t="shared" si="49"/>
        <v>TEXAS COUNTY &amp; DISTRICT RET</v>
      </c>
    </row>
    <row r="2715" spans="1:8" x14ac:dyDescent="0.25">
      <c r="E2715" t="str">
        <f>""</f>
        <v/>
      </c>
      <c r="F2715" t="str">
        <f>""</f>
        <v/>
      </c>
      <c r="G2715" s="3">
        <v>1795.34</v>
      </c>
      <c r="H2715" t="str">
        <f t="shared" si="49"/>
        <v>TEXAS COUNTY &amp; DISTRICT RET</v>
      </c>
    </row>
    <row r="2716" spans="1:8" x14ac:dyDescent="0.25">
      <c r="E2716" t="str">
        <f>""</f>
        <v/>
      </c>
      <c r="F2716" t="str">
        <f>""</f>
        <v/>
      </c>
      <c r="G2716" s="3">
        <v>742.59</v>
      </c>
      <c r="H2716" t="str">
        <f t="shared" si="49"/>
        <v>TEXAS COUNTY &amp; DISTRICT RET</v>
      </c>
    </row>
    <row r="2717" spans="1:8" x14ac:dyDescent="0.25">
      <c r="E2717" t="str">
        <f>""</f>
        <v/>
      </c>
      <c r="F2717" t="str">
        <f>""</f>
        <v/>
      </c>
      <c r="G2717" s="3">
        <v>201.03</v>
      </c>
      <c r="H2717" t="str">
        <f t="shared" si="49"/>
        <v>TEXAS COUNTY &amp; DISTRICT RET</v>
      </c>
    </row>
    <row r="2718" spans="1:8" x14ac:dyDescent="0.25">
      <c r="E2718" t="str">
        <f>""</f>
        <v/>
      </c>
      <c r="F2718" t="str">
        <f>""</f>
        <v/>
      </c>
      <c r="G2718" s="3">
        <v>1434.81</v>
      </c>
      <c r="H2718" t="str">
        <f t="shared" si="49"/>
        <v>TEXAS COUNTY &amp; DISTRICT RET</v>
      </c>
    </row>
    <row r="2719" spans="1:8" x14ac:dyDescent="0.25">
      <c r="E2719" t="str">
        <f>""</f>
        <v/>
      </c>
      <c r="F2719" t="str">
        <f>""</f>
        <v/>
      </c>
      <c r="G2719" s="3">
        <v>4298.04</v>
      </c>
      <c r="H2719" t="str">
        <f t="shared" si="49"/>
        <v>TEXAS COUNTY &amp; DISTRICT RET</v>
      </c>
    </row>
    <row r="2720" spans="1:8" x14ac:dyDescent="0.25">
      <c r="E2720" t="str">
        <f>""</f>
        <v/>
      </c>
      <c r="F2720" t="str">
        <f>""</f>
        <v/>
      </c>
      <c r="G2720" s="3">
        <v>1487.54</v>
      </c>
      <c r="H2720" t="str">
        <f t="shared" si="49"/>
        <v>TEXAS COUNTY &amp; DISTRICT RET</v>
      </c>
    </row>
    <row r="2721" spans="5:8" x14ac:dyDescent="0.25">
      <c r="E2721" t="str">
        <f>""</f>
        <v/>
      </c>
      <c r="F2721" t="str">
        <f>""</f>
        <v/>
      </c>
      <c r="G2721" s="3">
        <v>1475.83</v>
      </c>
      <c r="H2721" t="str">
        <f t="shared" si="49"/>
        <v>TEXAS COUNTY &amp; DISTRICT RET</v>
      </c>
    </row>
    <row r="2722" spans="5:8" x14ac:dyDescent="0.25">
      <c r="E2722" t="str">
        <f>""</f>
        <v/>
      </c>
      <c r="F2722" t="str">
        <f>""</f>
        <v/>
      </c>
      <c r="G2722" s="3">
        <v>2813.53</v>
      </c>
      <c r="H2722" t="str">
        <f t="shared" si="49"/>
        <v>TEXAS COUNTY &amp; DISTRICT RET</v>
      </c>
    </row>
    <row r="2723" spans="5:8" x14ac:dyDescent="0.25">
      <c r="E2723" t="str">
        <f>""</f>
        <v/>
      </c>
      <c r="F2723" t="str">
        <f>""</f>
        <v/>
      </c>
      <c r="G2723" s="3">
        <v>828.9</v>
      </c>
      <c r="H2723" t="str">
        <f t="shared" si="49"/>
        <v>TEXAS COUNTY &amp; DISTRICT RET</v>
      </c>
    </row>
    <row r="2724" spans="5:8" x14ac:dyDescent="0.25">
      <c r="E2724" t="str">
        <f>""</f>
        <v/>
      </c>
      <c r="F2724" t="str">
        <f>""</f>
        <v/>
      </c>
      <c r="G2724" s="3">
        <v>855.55</v>
      </c>
      <c r="H2724" t="str">
        <f t="shared" si="49"/>
        <v>TEXAS COUNTY &amp; DISTRICT RET</v>
      </c>
    </row>
    <row r="2725" spans="5:8" x14ac:dyDescent="0.25">
      <c r="E2725" t="str">
        <f>""</f>
        <v/>
      </c>
      <c r="F2725" t="str">
        <f>""</f>
        <v/>
      </c>
      <c r="G2725" s="3">
        <v>740.89</v>
      </c>
      <c r="H2725" t="str">
        <f t="shared" si="49"/>
        <v>TEXAS COUNTY &amp; DISTRICT RET</v>
      </c>
    </row>
    <row r="2726" spans="5:8" x14ac:dyDescent="0.25">
      <c r="E2726" t="str">
        <f>""</f>
        <v/>
      </c>
      <c r="F2726" t="str">
        <f>""</f>
        <v/>
      </c>
      <c r="G2726" s="3">
        <v>755.97</v>
      </c>
      <c r="H2726" t="str">
        <f t="shared" si="49"/>
        <v>TEXAS COUNTY &amp; DISTRICT RET</v>
      </c>
    </row>
    <row r="2727" spans="5:8" x14ac:dyDescent="0.25">
      <c r="E2727" t="str">
        <f>""</f>
        <v/>
      </c>
      <c r="F2727" t="str">
        <f>""</f>
        <v/>
      </c>
      <c r="G2727" s="3">
        <v>396.74</v>
      </c>
      <c r="H2727" t="str">
        <f t="shared" si="49"/>
        <v>TEXAS COUNTY &amp; DISTRICT RET</v>
      </c>
    </row>
    <row r="2728" spans="5:8" x14ac:dyDescent="0.25">
      <c r="E2728" t="str">
        <f>""</f>
        <v/>
      </c>
      <c r="F2728" t="str">
        <f>""</f>
        <v/>
      </c>
      <c r="G2728" s="3">
        <v>4854.1000000000004</v>
      </c>
      <c r="H2728" t="str">
        <f t="shared" si="49"/>
        <v>TEXAS COUNTY &amp; DISTRICT RET</v>
      </c>
    </row>
    <row r="2729" spans="5:8" x14ac:dyDescent="0.25">
      <c r="E2729" t="str">
        <f>""</f>
        <v/>
      </c>
      <c r="F2729" t="str">
        <f>""</f>
        <v/>
      </c>
      <c r="G2729" s="3">
        <v>2097.5</v>
      </c>
      <c r="H2729" t="str">
        <f t="shared" si="49"/>
        <v>TEXAS COUNTY &amp; DISTRICT RET</v>
      </c>
    </row>
    <row r="2730" spans="5:8" x14ac:dyDescent="0.25">
      <c r="E2730" t="str">
        <f>""</f>
        <v/>
      </c>
      <c r="F2730" t="str">
        <f>""</f>
        <v/>
      </c>
      <c r="G2730" s="3">
        <v>967.18</v>
      </c>
      <c r="H2730" t="str">
        <f t="shared" si="49"/>
        <v>TEXAS COUNTY &amp; DISTRICT RET</v>
      </c>
    </row>
    <row r="2731" spans="5:8" x14ac:dyDescent="0.25">
      <c r="E2731" t="str">
        <f>""</f>
        <v/>
      </c>
      <c r="F2731" t="str">
        <f>""</f>
        <v/>
      </c>
      <c r="G2731" s="3">
        <v>887.64</v>
      </c>
      <c r="H2731" t="str">
        <f t="shared" si="49"/>
        <v>TEXAS COUNTY &amp; DISTRICT RET</v>
      </c>
    </row>
    <row r="2732" spans="5:8" x14ac:dyDescent="0.25">
      <c r="E2732" t="str">
        <f>""</f>
        <v/>
      </c>
      <c r="F2732" t="str">
        <f>""</f>
        <v/>
      </c>
      <c r="G2732" s="3">
        <v>3378.31</v>
      </c>
      <c r="H2732" t="str">
        <f t="shared" si="49"/>
        <v>TEXAS COUNTY &amp; DISTRICT RET</v>
      </c>
    </row>
    <row r="2733" spans="5:8" x14ac:dyDescent="0.25">
      <c r="E2733" t="str">
        <f>""</f>
        <v/>
      </c>
      <c r="F2733" t="str">
        <f>""</f>
        <v/>
      </c>
      <c r="G2733" s="3">
        <v>1346.96</v>
      </c>
      <c r="H2733" t="str">
        <f t="shared" si="49"/>
        <v>TEXAS COUNTY &amp; DISTRICT RET</v>
      </c>
    </row>
    <row r="2734" spans="5:8" x14ac:dyDescent="0.25">
      <c r="E2734" t="str">
        <f>""</f>
        <v/>
      </c>
      <c r="F2734" t="str">
        <f>""</f>
        <v/>
      </c>
      <c r="G2734" s="3">
        <v>3268.12</v>
      </c>
      <c r="H2734" t="str">
        <f t="shared" si="49"/>
        <v>TEXAS COUNTY &amp; DISTRICT RET</v>
      </c>
    </row>
    <row r="2735" spans="5:8" x14ac:dyDescent="0.25">
      <c r="E2735" t="str">
        <f>""</f>
        <v/>
      </c>
      <c r="F2735" t="str">
        <f>""</f>
        <v/>
      </c>
      <c r="G2735" s="3">
        <v>2221</v>
      </c>
      <c r="H2735" t="str">
        <f t="shared" si="49"/>
        <v>TEXAS COUNTY &amp; DISTRICT RET</v>
      </c>
    </row>
    <row r="2736" spans="5:8" x14ac:dyDescent="0.25">
      <c r="E2736" t="str">
        <f>""</f>
        <v/>
      </c>
      <c r="F2736" t="str">
        <f>""</f>
        <v/>
      </c>
      <c r="G2736" s="3">
        <v>4522.49</v>
      </c>
      <c r="H2736" t="str">
        <f t="shared" si="49"/>
        <v>TEXAS COUNTY &amp; DISTRICT RET</v>
      </c>
    </row>
    <row r="2737" spans="5:8" x14ac:dyDescent="0.25">
      <c r="E2737" t="str">
        <f>""</f>
        <v/>
      </c>
      <c r="F2737" t="str">
        <f>""</f>
        <v/>
      </c>
      <c r="G2737" s="3">
        <v>247.39</v>
      </c>
      <c r="H2737" t="str">
        <f t="shared" si="49"/>
        <v>TEXAS COUNTY &amp; DISTRICT RET</v>
      </c>
    </row>
    <row r="2738" spans="5:8" x14ac:dyDescent="0.25">
      <c r="E2738" t="str">
        <f>""</f>
        <v/>
      </c>
      <c r="F2738" t="str">
        <f>""</f>
        <v/>
      </c>
      <c r="G2738" s="3">
        <v>247.39</v>
      </c>
      <c r="H2738" t="str">
        <f t="shared" si="49"/>
        <v>TEXAS COUNTY &amp; DISTRICT RET</v>
      </c>
    </row>
    <row r="2739" spans="5:8" x14ac:dyDescent="0.25">
      <c r="E2739" t="str">
        <f>""</f>
        <v/>
      </c>
      <c r="F2739" t="str">
        <f>""</f>
        <v/>
      </c>
      <c r="G2739" s="3">
        <v>247.39</v>
      </c>
      <c r="H2739" t="str">
        <f t="shared" si="49"/>
        <v>TEXAS COUNTY &amp; DISTRICT RET</v>
      </c>
    </row>
    <row r="2740" spans="5:8" x14ac:dyDescent="0.25">
      <c r="E2740" t="str">
        <f>""</f>
        <v/>
      </c>
      <c r="F2740" t="str">
        <f>""</f>
        <v/>
      </c>
      <c r="G2740" s="3">
        <v>247.39</v>
      </c>
      <c r="H2740" t="str">
        <f t="shared" si="49"/>
        <v>TEXAS COUNTY &amp; DISTRICT RET</v>
      </c>
    </row>
    <row r="2741" spans="5:8" x14ac:dyDescent="0.25">
      <c r="E2741" t="str">
        <f>""</f>
        <v/>
      </c>
      <c r="F2741" t="str">
        <f>""</f>
        <v/>
      </c>
      <c r="G2741" s="3">
        <v>24096.7</v>
      </c>
      <c r="H2741" t="str">
        <f t="shared" si="49"/>
        <v>TEXAS COUNTY &amp; DISTRICT RET</v>
      </c>
    </row>
    <row r="2742" spans="5:8" x14ac:dyDescent="0.25">
      <c r="E2742" t="str">
        <f>""</f>
        <v/>
      </c>
      <c r="F2742" t="str">
        <f>""</f>
        <v/>
      </c>
      <c r="G2742" s="3">
        <v>967.34</v>
      </c>
      <c r="H2742" t="str">
        <f t="shared" si="49"/>
        <v>TEXAS COUNTY &amp; DISTRICT RET</v>
      </c>
    </row>
    <row r="2743" spans="5:8" x14ac:dyDescent="0.25">
      <c r="E2743" t="str">
        <f>""</f>
        <v/>
      </c>
      <c r="F2743" t="str">
        <f>""</f>
        <v/>
      </c>
      <c r="G2743" s="3">
        <v>19448.86</v>
      </c>
      <c r="H2743" t="str">
        <f t="shared" si="49"/>
        <v>TEXAS COUNTY &amp; DISTRICT RET</v>
      </c>
    </row>
    <row r="2744" spans="5:8" x14ac:dyDescent="0.25">
      <c r="E2744" t="str">
        <f>""</f>
        <v/>
      </c>
      <c r="F2744" t="str">
        <f>""</f>
        <v/>
      </c>
      <c r="G2744" s="3">
        <v>3054.32</v>
      </c>
      <c r="H2744" t="str">
        <f t="shared" si="49"/>
        <v>TEXAS COUNTY &amp; DISTRICT RET</v>
      </c>
    </row>
    <row r="2745" spans="5:8" x14ac:dyDescent="0.25">
      <c r="E2745" t="str">
        <f>""</f>
        <v/>
      </c>
      <c r="F2745" t="str">
        <f>""</f>
        <v/>
      </c>
      <c r="G2745" s="3">
        <v>218.01</v>
      </c>
      <c r="H2745" t="str">
        <f t="shared" ref="H2745:H2762" si="50">"TEXAS COUNTY &amp; DISTRICT RET"</f>
        <v>TEXAS COUNTY &amp; DISTRICT RET</v>
      </c>
    </row>
    <row r="2746" spans="5:8" x14ac:dyDescent="0.25">
      <c r="E2746" t="str">
        <f>""</f>
        <v/>
      </c>
      <c r="F2746" t="str">
        <f>""</f>
        <v/>
      </c>
      <c r="G2746" s="3">
        <v>929.45</v>
      </c>
      <c r="H2746" t="str">
        <f t="shared" si="50"/>
        <v>TEXAS COUNTY &amp; DISTRICT RET</v>
      </c>
    </row>
    <row r="2747" spans="5:8" x14ac:dyDescent="0.25">
      <c r="E2747" t="str">
        <f>""</f>
        <v/>
      </c>
      <c r="F2747" t="str">
        <f>""</f>
        <v/>
      </c>
      <c r="G2747" s="3">
        <v>61.69</v>
      </c>
      <c r="H2747" t="str">
        <f t="shared" si="50"/>
        <v>TEXAS COUNTY &amp; DISTRICT RET</v>
      </c>
    </row>
    <row r="2748" spans="5:8" x14ac:dyDescent="0.25">
      <c r="E2748" t="str">
        <f>""</f>
        <v/>
      </c>
      <c r="F2748" t="str">
        <f>""</f>
        <v/>
      </c>
      <c r="G2748" s="3">
        <v>463.72</v>
      </c>
      <c r="H2748" t="str">
        <f t="shared" si="50"/>
        <v>TEXAS COUNTY &amp; DISTRICT RET</v>
      </c>
    </row>
    <row r="2749" spans="5:8" x14ac:dyDescent="0.25">
      <c r="E2749" t="str">
        <f>""</f>
        <v/>
      </c>
      <c r="F2749" t="str">
        <f>""</f>
        <v/>
      </c>
      <c r="G2749" s="3">
        <v>205.87</v>
      </c>
      <c r="H2749" t="str">
        <f t="shared" si="50"/>
        <v>TEXAS COUNTY &amp; DISTRICT RET</v>
      </c>
    </row>
    <row r="2750" spans="5:8" x14ac:dyDescent="0.25">
      <c r="E2750" t="str">
        <f>""</f>
        <v/>
      </c>
      <c r="F2750" t="str">
        <f>""</f>
        <v/>
      </c>
      <c r="G2750" s="3">
        <v>836.6</v>
      </c>
      <c r="H2750" t="str">
        <f t="shared" si="50"/>
        <v>TEXAS COUNTY &amp; DISTRICT RET</v>
      </c>
    </row>
    <row r="2751" spans="5:8" x14ac:dyDescent="0.25">
      <c r="E2751" t="str">
        <f>""</f>
        <v/>
      </c>
      <c r="F2751" t="str">
        <f>""</f>
        <v/>
      </c>
      <c r="G2751" s="3">
        <v>351.6</v>
      </c>
      <c r="H2751" t="str">
        <f t="shared" si="50"/>
        <v>TEXAS COUNTY &amp; DISTRICT RET</v>
      </c>
    </row>
    <row r="2752" spans="5:8" x14ac:dyDescent="0.25">
      <c r="E2752" t="str">
        <f>""</f>
        <v/>
      </c>
      <c r="F2752" t="str">
        <f>""</f>
        <v/>
      </c>
      <c r="G2752" s="3">
        <v>210.15</v>
      </c>
      <c r="H2752" t="str">
        <f t="shared" si="50"/>
        <v>TEXAS COUNTY &amp; DISTRICT RET</v>
      </c>
    </row>
    <row r="2753" spans="5:8" x14ac:dyDescent="0.25">
      <c r="E2753" t="str">
        <f>""</f>
        <v/>
      </c>
      <c r="F2753" t="str">
        <f>""</f>
        <v/>
      </c>
      <c r="G2753" s="3">
        <v>2837.84</v>
      </c>
      <c r="H2753" t="str">
        <f t="shared" si="50"/>
        <v>TEXAS COUNTY &amp; DISTRICT RET</v>
      </c>
    </row>
    <row r="2754" spans="5:8" x14ac:dyDescent="0.25">
      <c r="E2754" t="str">
        <f>""</f>
        <v/>
      </c>
      <c r="F2754" t="str">
        <f>""</f>
        <v/>
      </c>
      <c r="G2754" s="3">
        <v>4805.49</v>
      </c>
      <c r="H2754" t="str">
        <f t="shared" si="50"/>
        <v>TEXAS COUNTY &amp; DISTRICT RET</v>
      </c>
    </row>
    <row r="2755" spans="5:8" x14ac:dyDescent="0.25">
      <c r="E2755" t="str">
        <f>""</f>
        <v/>
      </c>
      <c r="F2755" t="str">
        <f>""</f>
        <v/>
      </c>
      <c r="G2755" s="3">
        <v>2966.65</v>
      </c>
      <c r="H2755" t="str">
        <f t="shared" si="50"/>
        <v>TEXAS COUNTY &amp; DISTRICT RET</v>
      </c>
    </row>
    <row r="2756" spans="5:8" x14ac:dyDescent="0.25">
      <c r="E2756" t="str">
        <f>""</f>
        <v/>
      </c>
      <c r="F2756" t="str">
        <f>""</f>
        <v/>
      </c>
      <c r="G2756" s="3">
        <v>3562.9</v>
      </c>
      <c r="H2756" t="str">
        <f t="shared" si="50"/>
        <v>TEXAS COUNTY &amp; DISTRICT RET</v>
      </c>
    </row>
    <row r="2757" spans="5:8" x14ac:dyDescent="0.25">
      <c r="E2757" t="str">
        <f>""</f>
        <v/>
      </c>
      <c r="F2757" t="str">
        <f>""</f>
        <v/>
      </c>
      <c r="G2757" s="3">
        <v>415.4</v>
      </c>
      <c r="H2757" t="str">
        <f t="shared" si="50"/>
        <v>TEXAS COUNTY &amp; DISTRICT RET</v>
      </c>
    </row>
    <row r="2758" spans="5:8" x14ac:dyDescent="0.25">
      <c r="E2758" t="str">
        <f>""</f>
        <v/>
      </c>
      <c r="F2758" t="str">
        <f>""</f>
        <v/>
      </c>
      <c r="G2758" s="3">
        <v>12.79</v>
      </c>
      <c r="H2758" t="str">
        <f t="shared" si="50"/>
        <v>TEXAS COUNTY &amp; DISTRICT RET</v>
      </c>
    </row>
    <row r="2759" spans="5:8" x14ac:dyDescent="0.25">
      <c r="E2759" t="str">
        <f>""</f>
        <v/>
      </c>
      <c r="F2759" t="str">
        <f>""</f>
        <v/>
      </c>
      <c r="G2759" s="3">
        <v>26.87</v>
      </c>
      <c r="H2759" t="str">
        <f t="shared" si="50"/>
        <v>TEXAS COUNTY &amp; DISTRICT RET</v>
      </c>
    </row>
    <row r="2760" spans="5:8" x14ac:dyDescent="0.25">
      <c r="E2760" t="str">
        <f>""</f>
        <v/>
      </c>
      <c r="F2760" t="str">
        <f>""</f>
        <v/>
      </c>
      <c r="G2760" s="3">
        <v>39.090000000000003</v>
      </c>
      <c r="H2760" t="str">
        <f t="shared" si="50"/>
        <v>TEXAS COUNTY &amp; DISTRICT RET</v>
      </c>
    </row>
    <row r="2761" spans="5:8" x14ac:dyDescent="0.25">
      <c r="E2761" t="str">
        <f>""</f>
        <v/>
      </c>
      <c r="F2761" t="str">
        <f>""</f>
        <v/>
      </c>
      <c r="G2761" s="3">
        <v>653.80999999999995</v>
      </c>
      <c r="H2761" t="str">
        <f t="shared" si="50"/>
        <v>TEXAS COUNTY &amp; DISTRICT RET</v>
      </c>
    </row>
    <row r="2762" spans="5:8" x14ac:dyDescent="0.25">
      <c r="E2762" t="str">
        <f>""</f>
        <v/>
      </c>
      <c r="F2762" t="str">
        <f>""</f>
        <v/>
      </c>
      <c r="G2762" s="3">
        <v>71511.62</v>
      </c>
      <c r="H2762" t="str">
        <f t="shared" si="50"/>
        <v>TEXAS COUNTY &amp; DISTRICT RET</v>
      </c>
    </row>
    <row r="2763" spans="5:8" x14ac:dyDescent="0.25">
      <c r="E2763" t="str">
        <f>"RET202111097074"</f>
        <v>RET202111097074</v>
      </c>
      <c r="F2763" t="str">
        <f>"TEXAS COUNTY  DISTRICT RET"</f>
        <v>TEXAS COUNTY  DISTRICT RET</v>
      </c>
      <c r="G2763" s="3">
        <v>3661.81</v>
      </c>
      <c r="H2763" t="str">
        <f>"TEXAS COUNTY  DISTRICT RET"</f>
        <v>TEXAS COUNTY  DISTRICT RET</v>
      </c>
    </row>
    <row r="2764" spans="5:8" x14ac:dyDescent="0.25">
      <c r="E2764" t="str">
        <f>""</f>
        <v/>
      </c>
      <c r="F2764" t="str">
        <f>""</f>
        <v/>
      </c>
      <c r="G2764" s="3">
        <v>2377.79</v>
      </c>
      <c r="H2764" t="str">
        <f>"TEXAS COUNTY  DISTRICT RET"</f>
        <v>TEXAS COUNTY  DISTRICT RET</v>
      </c>
    </row>
    <row r="2765" spans="5:8" x14ac:dyDescent="0.25">
      <c r="E2765" t="str">
        <f>"RET202111097075"</f>
        <v>RET202111097075</v>
      </c>
      <c r="F2765" t="str">
        <f>"TEXAS COUNTY &amp; DISTRICT RET"</f>
        <v>TEXAS COUNTY &amp; DISTRICT RET</v>
      </c>
      <c r="G2765" s="3">
        <v>4148.7</v>
      </c>
      <c r="H2765" t="str">
        <f t="shared" ref="H2765:H2810" si="51">"TEXAS COUNTY &amp; DISTRICT RET"</f>
        <v>TEXAS COUNTY &amp; DISTRICT RET</v>
      </c>
    </row>
    <row r="2766" spans="5:8" x14ac:dyDescent="0.25">
      <c r="E2766" t="str">
        <f>""</f>
        <v/>
      </c>
      <c r="F2766" t="str">
        <f>""</f>
        <v/>
      </c>
      <c r="G2766" s="3">
        <v>2693.95</v>
      </c>
      <c r="H2766" t="str">
        <f t="shared" si="51"/>
        <v>TEXAS COUNTY &amp; DISTRICT RET</v>
      </c>
    </row>
    <row r="2767" spans="5:8" x14ac:dyDescent="0.25">
      <c r="E2767" t="str">
        <f>"RET202111167178"</f>
        <v>RET202111167178</v>
      </c>
      <c r="F2767" t="str">
        <f>"TEXAS COUNTY &amp; DISTRICT RET"</f>
        <v>TEXAS COUNTY &amp; DISTRICT RET</v>
      </c>
      <c r="G2767" s="3">
        <v>278.12</v>
      </c>
      <c r="H2767" t="str">
        <f t="shared" si="51"/>
        <v>TEXAS COUNTY &amp; DISTRICT RET</v>
      </c>
    </row>
    <row r="2768" spans="5:8" x14ac:dyDescent="0.25">
      <c r="E2768" t="str">
        <f>""</f>
        <v/>
      </c>
      <c r="F2768" t="str">
        <f>""</f>
        <v/>
      </c>
      <c r="G2768" s="3">
        <v>274.25</v>
      </c>
      <c r="H2768" t="str">
        <f t="shared" si="51"/>
        <v>TEXAS COUNTY &amp; DISTRICT RET</v>
      </c>
    </row>
    <row r="2769" spans="5:8" x14ac:dyDescent="0.25">
      <c r="E2769" t="str">
        <f>""</f>
        <v/>
      </c>
      <c r="F2769" t="str">
        <f>""</f>
        <v/>
      </c>
      <c r="G2769" s="3">
        <v>2478.75</v>
      </c>
      <c r="H2769" t="str">
        <f t="shared" si="51"/>
        <v>TEXAS COUNTY &amp; DISTRICT RET</v>
      </c>
    </row>
    <row r="2770" spans="5:8" x14ac:dyDescent="0.25">
      <c r="E2770" t="str">
        <f>""</f>
        <v/>
      </c>
      <c r="F2770" t="str">
        <f>""</f>
        <v/>
      </c>
      <c r="G2770" s="3">
        <v>338.06</v>
      </c>
      <c r="H2770" t="str">
        <f t="shared" si="51"/>
        <v>TEXAS COUNTY &amp; DISTRICT RET</v>
      </c>
    </row>
    <row r="2771" spans="5:8" x14ac:dyDescent="0.25">
      <c r="E2771" t="str">
        <f>""</f>
        <v/>
      </c>
      <c r="F2771" t="str">
        <f>""</f>
        <v/>
      </c>
      <c r="G2771" s="3">
        <v>1118.0999999999999</v>
      </c>
      <c r="H2771" t="str">
        <f t="shared" si="51"/>
        <v>TEXAS COUNTY &amp; DISTRICT RET</v>
      </c>
    </row>
    <row r="2772" spans="5:8" x14ac:dyDescent="0.25">
      <c r="E2772" t="str">
        <f>""</f>
        <v/>
      </c>
      <c r="F2772" t="str">
        <f>""</f>
        <v/>
      </c>
      <c r="G2772" s="3">
        <v>458.8</v>
      </c>
      <c r="H2772" t="str">
        <f t="shared" si="51"/>
        <v>TEXAS COUNTY &amp; DISTRICT RET</v>
      </c>
    </row>
    <row r="2773" spans="5:8" x14ac:dyDescent="0.25">
      <c r="E2773" t="str">
        <f>""</f>
        <v/>
      </c>
      <c r="F2773" t="str">
        <f>""</f>
        <v/>
      </c>
      <c r="G2773" s="3">
        <v>2945.75</v>
      </c>
      <c r="H2773" t="str">
        <f t="shared" si="51"/>
        <v>TEXAS COUNTY &amp; DISTRICT RET</v>
      </c>
    </row>
    <row r="2774" spans="5:8" x14ac:dyDescent="0.25">
      <c r="E2774" t="str">
        <f>""</f>
        <v/>
      </c>
      <c r="F2774" t="str">
        <f>""</f>
        <v/>
      </c>
      <c r="G2774" s="3">
        <v>2006.81</v>
      </c>
      <c r="H2774" t="str">
        <f t="shared" si="51"/>
        <v>TEXAS COUNTY &amp; DISTRICT RET</v>
      </c>
    </row>
    <row r="2775" spans="5:8" x14ac:dyDescent="0.25">
      <c r="E2775" t="str">
        <f>""</f>
        <v/>
      </c>
      <c r="F2775" t="str">
        <f>""</f>
        <v/>
      </c>
      <c r="G2775" s="3">
        <v>192.74</v>
      </c>
      <c r="H2775" t="str">
        <f t="shared" si="51"/>
        <v>TEXAS COUNTY &amp; DISTRICT RET</v>
      </c>
    </row>
    <row r="2776" spans="5:8" x14ac:dyDescent="0.25">
      <c r="E2776" t="str">
        <f>""</f>
        <v/>
      </c>
      <c r="F2776" t="str">
        <f>""</f>
        <v/>
      </c>
      <c r="G2776" s="3">
        <v>2025.78</v>
      </c>
      <c r="H2776" t="str">
        <f t="shared" si="51"/>
        <v>TEXAS COUNTY &amp; DISTRICT RET</v>
      </c>
    </row>
    <row r="2777" spans="5:8" x14ac:dyDescent="0.25">
      <c r="E2777" t="str">
        <f>""</f>
        <v/>
      </c>
      <c r="F2777" t="str">
        <f>""</f>
        <v/>
      </c>
      <c r="G2777" s="3">
        <v>933.55</v>
      </c>
      <c r="H2777" t="str">
        <f t="shared" si="51"/>
        <v>TEXAS COUNTY &amp; DISTRICT RET</v>
      </c>
    </row>
    <row r="2778" spans="5:8" x14ac:dyDescent="0.25">
      <c r="E2778" t="str">
        <f>""</f>
        <v/>
      </c>
      <c r="F2778" t="str">
        <f>""</f>
        <v/>
      </c>
      <c r="G2778" s="3">
        <v>964.6</v>
      </c>
      <c r="H2778" t="str">
        <f t="shared" si="51"/>
        <v>TEXAS COUNTY &amp; DISTRICT RET</v>
      </c>
    </row>
    <row r="2779" spans="5:8" x14ac:dyDescent="0.25">
      <c r="E2779" t="str">
        <f>""</f>
        <v/>
      </c>
      <c r="F2779" t="str">
        <f>""</f>
        <v/>
      </c>
      <c r="G2779" s="3">
        <v>252.9</v>
      </c>
      <c r="H2779" t="str">
        <f t="shared" si="51"/>
        <v>TEXAS COUNTY &amp; DISTRICT RET</v>
      </c>
    </row>
    <row r="2780" spans="5:8" x14ac:dyDescent="0.25">
      <c r="E2780" t="str">
        <f>""</f>
        <v/>
      </c>
      <c r="F2780" t="str">
        <f>""</f>
        <v/>
      </c>
      <c r="G2780" s="3">
        <v>2801.52</v>
      </c>
      <c r="H2780" t="str">
        <f t="shared" si="51"/>
        <v>TEXAS COUNTY &amp; DISTRICT RET</v>
      </c>
    </row>
    <row r="2781" spans="5:8" x14ac:dyDescent="0.25">
      <c r="E2781" t="str">
        <f>""</f>
        <v/>
      </c>
      <c r="F2781" t="str">
        <f>""</f>
        <v/>
      </c>
      <c r="G2781" s="3">
        <v>1353.97</v>
      </c>
      <c r="H2781" t="str">
        <f t="shared" si="51"/>
        <v>TEXAS COUNTY &amp; DISTRICT RET</v>
      </c>
    </row>
    <row r="2782" spans="5:8" x14ac:dyDescent="0.25">
      <c r="E2782" t="str">
        <f>""</f>
        <v/>
      </c>
      <c r="F2782" t="str">
        <f>""</f>
        <v/>
      </c>
      <c r="G2782" s="3">
        <v>648.96</v>
      </c>
      <c r="H2782" t="str">
        <f t="shared" si="51"/>
        <v>TEXAS COUNTY &amp; DISTRICT RET</v>
      </c>
    </row>
    <row r="2783" spans="5:8" x14ac:dyDescent="0.25">
      <c r="E2783" t="str">
        <f>""</f>
        <v/>
      </c>
      <c r="F2783" t="str">
        <f>""</f>
        <v/>
      </c>
      <c r="G2783" s="3">
        <v>199.21</v>
      </c>
      <c r="H2783" t="str">
        <f t="shared" si="51"/>
        <v>TEXAS COUNTY &amp; DISTRICT RET</v>
      </c>
    </row>
    <row r="2784" spans="5:8" x14ac:dyDescent="0.25">
      <c r="E2784" t="str">
        <f>""</f>
        <v/>
      </c>
      <c r="F2784" t="str">
        <f>""</f>
        <v/>
      </c>
      <c r="G2784" s="3">
        <v>777.67</v>
      </c>
      <c r="H2784" t="str">
        <f t="shared" si="51"/>
        <v>TEXAS COUNTY &amp; DISTRICT RET</v>
      </c>
    </row>
    <row r="2785" spans="5:8" x14ac:dyDescent="0.25">
      <c r="E2785" t="str">
        <f>""</f>
        <v/>
      </c>
      <c r="F2785" t="str">
        <f>""</f>
        <v/>
      </c>
      <c r="G2785" s="3">
        <v>1693.54</v>
      </c>
      <c r="H2785" t="str">
        <f t="shared" si="51"/>
        <v>TEXAS COUNTY &amp; DISTRICT RET</v>
      </c>
    </row>
    <row r="2786" spans="5:8" x14ac:dyDescent="0.25">
      <c r="E2786" t="str">
        <f>""</f>
        <v/>
      </c>
      <c r="F2786" t="str">
        <f>""</f>
        <v/>
      </c>
      <c r="G2786" s="3">
        <v>1787.63</v>
      </c>
      <c r="H2786" t="str">
        <f t="shared" si="51"/>
        <v>TEXAS COUNTY &amp; DISTRICT RET</v>
      </c>
    </row>
    <row r="2787" spans="5:8" x14ac:dyDescent="0.25">
      <c r="E2787" t="str">
        <f>""</f>
        <v/>
      </c>
      <c r="F2787" t="str">
        <f>""</f>
        <v/>
      </c>
      <c r="G2787" s="3">
        <v>429.69</v>
      </c>
      <c r="H2787" t="str">
        <f t="shared" si="51"/>
        <v>TEXAS COUNTY &amp; DISTRICT RET</v>
      </c>
    </row>
    <row r="2788" spans="5:8" x14ac:dyDescent="0.25">
      <c r="E2788" t="str">
        <f>""</f>
        <v/>
      </c>
      <c r="F2788" t="str">
        <f>""</f>
        <v/>
      </c>
      <c r="G2788" s="3">
        <v>1898.69</v>
      </c>
      <c r="H2788" t="str">
        <f t="shared" si="51"/>
        <v>TEXAS COUNTY &amp; DISTRICT RET</v>
      </c>
    </row>
    <row r="2789" spans="5:8" x14ac:dyDescent="0.25">
      <c r="E2789" t="str">
        <f>""</f>
        <v/>
      </c>
      <c r="F2789" t="str">
        <f>""</f>
        <v/>
      </c>
      <c r="G2789" s="3">
        <v>398.43</v>
      </c>
      <c r="H2789" t="str">
        <f t="shared" si="51"/>
        <v>TEXAS COUNTY &amp; DISTRICT RET</v>
      </c>
    </row>
    <row r="2790" spans="5:8" x14ac:dyDescent="0.25">
      <c r="E2790" t="str">
        <f>""</f>
        <v/>
      </c>
      <c r="F2790" t="str">
        <f>""</f>
        <v/>
      </c>
      <c r="G2790" s="3">
        <v>535.54999999999995</v>
      </c>
      <c r="H2790" t="str">
        <f t="shared" si="51"/>
        <v>TEXAS COUNTY &amp; DISTRICT RET</v>
      </c>
    </row>
    <row r="2791" spans="5:8" x14ac:dyDescent="0.25">
      <c r="E2791" t="str">
        <f>""</f>
        <v/>
      </c>
      <c r="F2791" t="str">
        <f>""</f>
        <v/>
      </c>
      <c r="G2791" s="3">
        <v>506.44</v>
      </c>
      <c r="H2791" t="str">
        <f t="shared" si="51"/>
        <v>TEXAS COUNTY &amp; DISTRICT RET</v>
      </c>
    </row>
    <row r="2792" spans="5:8" x14ac:dyDescent="0.25">
      <c r="E2792" t="str">
        <f>""</f>
        <v/>
      </c>
      <c r="F2792" t="str">
        <f>""</f>
        <v/>
      </c>
      <c r="G2792" s="3">
        <v>253.55</v>
      </c>
      <c r="H2792" t="str">
        <f t="shared" si="51"/>
        <v>TEXAS COUNTY &amp; DISTRICT RET</v>
      </c>
    </row>
    <row r="2793" spans="5:8" x14ac:dyDescent="0.25">
      <c r="E2793" t="str">
        <f>""</f>
        <v/>
      </c>
      <c r="F2793" t="str">
        <f>""</f>
        <v/>
      </c>
      <c r="G2793" s="3">
        <v>11223.05</v>
      </c>
      <c r="H2793" t="str">
        <f t="shared" si="51"/>
        <v>TEXAS COUNTY &amp; DISTRICT RET</v>
      </c>
    </row>
    <row r="2794" spans="5:8" x14ac:dyDescent="0.25">
      <c r="E2794" t="str">
        <f>""</f>
        <v/>
      </c>
      <c r="F2794" t="str">
        <f>""</f>
        <v/>
      </c>
      <c r="G2794" s="3">
        <v>1033.3699999999999</v>
      </c>
      <c r="H2794" t="str">
        <f t="shared" si="51"/>
        <v>TEXAS COUNTY &amp; DISTRICT RET</v>
      </c>
    </row>
    <row r="2795" spans="5:8" x14ac:dyDescent="0.25">
      <c r="E2795" t="str">
        <f>""</f>
        <v/>
      </c>
      <c r="F2795" t="str">
        <f>""</f>
        <v/>
      </c>
      <c r="G2795" s="3">
        <v>8000.05</v>
      </c>
      <c r="H2795" t="str">
        <f t="shared" si="51"/>
        <v>TEXAS COUNTY &amp; DISTRICT RET</v>
      </c>
    </row>
    <row r="2796" spans="5:8" x14ac:dyDescent="0.25">
      <c r="E2796" t="str">
        <f>""</f>
        <v/>
      </c>
      <c r="F2796" t="str">
        <f>""</f>
        <v/>
      </c>
      <c r="G2796" s="3">
        <v>597.96</v>
      </c>
      <c r="H2796" t="str">
        <f t="shared" si="51"/>
        <v>TEXAS COUNTY &amp; DISTRICT RET</v>
      </c>
    </row>
    <row r="2797" spans="5:8" x14ac:dyDescent="0.25">
      <c r="E2797" t="str">
        <f>""</f>
        <v/>
      </c>
      <c r="F2797" t="str">
        <f>""</f>
        <v/>
      </c>
      <c r="G2797" s="3">
        <v>539</v>
      </c>
      <c r="H2797" t="str">
        <f t="shared" si="51"/>
        <v>TEXAS COUNTY &amp; DISTRICT RET</v>
      </c>
    </row>
    <row r="2798" spans="5:8" x14ac:dyDescent="0.25">
      <c r="E2798" t="str">
        <f>""</f>
        <v/>
      </c>
      <c r="F2798" t="str">
        <f>""</f>
        <v/>
      </c>
      <c r="G2798" s="3">
        <v>220.34</v>
      </c>
      <c r="H2798" t="str">
        <f t="shared" si="51"/>
        <v>TEXAS COUNTY &amp; DISTRICT RET</v>
      </c>
    </row>
    <row r="2799" spans="5:8" x14ac:dyDescent="0.25">
      <c r="E2799" t="str">
        <f>""</f>
        <v/>
      </c>
      <c r="F2799" t="str">
        <f>""</f>
        <v/>
      </c>
      <c r="G2799" s="3">
        <v>1068.08</v>
      </c>
      <c r="H2799" t="str">
        <f t="shared" si="51"/>
        <v>TEXAS COUNTY &amp; DISTRICT RET</v>
      </c>
    </row>
    <row r="2800" spans="5:8" x14ac:dyDescent="0.25">
      <c r="E2800" t="str">
        <f>""</f>
        <v/>
      </c>
      <c r="F2800" t="str">
        <f>""</f>
        <v/>
      </c>
      <c r="G2800" s="3">
        <v>76.319999999999993</v>
      </c>
      <c r="H2800" t="str">
        <f t="shared" si="51"/>
        <v>TEXAS COUNTY &amp; DISTRICT RET</v>
      </c>
    </row>
    <row r="2801" spans="5:8" x14ac:dyDescent="0.25">
      <c r="E2801" t="str">
        <f>""</f>
        <v/>
      </c>
      <c r="F2801" t="str">
        <f>""</f>
        <v/>
      </c>
      <c r="G2801" s="3">
        <v>391.95</v>
      </c>
      <c r="H2801" t="str">
        <f t="shared" si="51"/>
        <v>TEXAS COUNTY &amp; DISTRICT RET</v>
      </c>
    </row>
    <row r="2802" spans="5:8" x14ac:dyDescent="0.25">
      <c r="E2802" t="str">
        <f>""</f>
        <v/>
      </c>
      <c r="F2802" t="str">
        <f>""</f>
        <v/>
      </c>
      <c r="G2802" s="3">
        <v>191.67</v>
      </c>
      <c r="H2802" t="str">
        <f t="shared" si="51"/>
        <v>TEXAS COUNTY &amp; DISTRICT RET</v>
      </c>
    </row>
    <row r="2803" spans="5:8" x14ac:dyDescent="0.25">
      <c r="E2803" t="str">
        <f>""</f>
        <v/>
      </c>
      <c r="F2803" t="str">
        <f>""</f>
        <v/>
      </c>
      <c r="G2803" s="3">
        <v>477.34</v>
      </c>
      <c r="H2803" t="str">
        <f t="shared" si="51"/>
        <v>TEXAS COUNTY &amp; DISTRICT RET</v>
      </c>
    </row>
    <row r="2804" spans="5:8" x14ac:dyDescent="0.25">
      <c r="E2804" t="str">
        <f>""</f>
        <v/>
      </c>
      <c r="F2804" t="str">
        <f>""</f>
        <v/>
      </c>
      <c r="G2804" s="3">
        <v>1550.58</v>
      </c>
      <c r="H2804" t="str">
        <f t="shared" si="51"/>
        <v>TEXAS COUNTY &amp; DISTRICT RET</v>
      </c>
    </row>
    <row r="2805" spans="5:8" x14ac:dyDescent="0.25">
      <c r="E2805" t="str">
        <f>""</f>
        <v/>
      </c>
      <c r="F2805" t="str">
        <f>""</f>
        <v/>
      </c>
      <c r="G2805" s="3">
        <v>2696.18</v>
      </c>
      <c r="H2805" t="str">
        <f t="shared" si="51"/>
        <v>TEXAS COUNTY &amp; DISTRICT RET</v>
      </c>
    </row>
    <row r="2806" spans="5:8" x14ac:dyDescent="0.25">
      <c r="E2806" t="str">
        <f>""</f>
        <v/>
      </c>
      <c r="F2806" t="str">
        <f>""</f>
        <v/>
      </c>
      <c r="G2806" s="3">
        <v>1279.3800000000001</v>
      </c>
      <c r="H2806" t="str">
        <f t="shared" si="51"/>
        <v>TEXAS COUNTY &amp; DISTRICT RET</v>
      </c>
    </row>
    <row r="2807" spans="5:8" x14ac:dyDescent="0.25">
      <c r="E2807" t="str">
        <f>""</f>
        <v/>
      </c>
      <c r="F2807" t="str">
        <f>""</f>
        <v/>
      </c>
      <c r="G2807" s="3">
        <v>1938.24</v>
      </c>
      <c r="H2807" t="str">
        <f t="shared" si="51"/>
        <v>TEXAS COUNTY &amp; DISTRICT RET</v>
      </c>
    </row>
    <row r="2808" spans="5:8" x14ac:dyDescent="0.25">
      <c r="E2808" t="str">
        <f>""</f>
        <v/>
      </c>
      <c r="F2808" t="str">
        <f>""</f>
        <v/>
      </c>
      <c r="G2808" s="3">
        <v>188.87</v>
      </c>
      <c r="H2808" t="str">
        <f t="shared" si="51"/>
        <v>TEXAS COUNTY &amp; DISTRICT RET</v>
      </c>
    </row>
    <row r="2809" spans="5:8" x14ac:dyDescent="0.25">
      <c r="E2809" t="str">
        <f>""</f>
        <v/>
      </c>
      <c r="F2809" t="str">
        <f>""</f>
        <v/>
      </c>
      <c r="G2809" s="3">
        <v>50.45</v>
      </c>
      <c r="H2809" t="str">
        <f t="shared" si="51"/>
        <v>TEXAS COUNTY &amp; DISTRICT RET</v>
      </c>
    </row>
    <row r="2810" spans="5:8" x14ac:dyDescent="0.25">
      <c r="E2810" t="str">
        <f>""</f>
        <v/>
      </c>
      <c r="F2810" t="str">
        <f>""</f>
        <v/>
      </c>
      <c r="G2810" s="3">
        <v>38360.980000000003</v>
      </c>
      <c r="H2810" t="str">
        <f t="shared" si="51"/>
        <v>TEXAS COUNTY &amp; DISTRICT RET</v>
      </c>
    </row>
    <row r="2811" spans="5:8" x14ac:dyDescent="0.25">
      <c r="E2811" t="str">
        <f>"RET202111167179"</f>
        <v>RET202111167179</v>
      </c>
      <c r="F2811" t="str">
        <f>"TEXAS COUNTY  DISTRICT RET"</f>
        <v>TEXAS COUNTY  DISTRICT RET</v>
      </c>
      <c r="G2811" s="3">
        <v>3837.68</v>
      </c>
      <c r="H2811" t="str">
        <f>"TEXAS COUNTY  DISTRICT RET"</f>
        <v>TEXAS COUNTY  DISTRICT RET</v>
      </c>
    </row>
    <row r="2812" spans="5:8" x14ac:dyDescent="0.25">
      <c r="E2812" t="str">
        <f>""</f>
        <v/>
      </c>
      <c r="F2812" t="str">
        <f>""</f>
        <v/>
      </c>
      <c r="G2812" s="3">
        <v>2492</v>
      </c>
      <c r="H2812" t="str">
        <f>"TEXAS COUNTY  DISTRICT RET"</f>
        <v>TEXAS COUNTY  DISTRICT RET</v>
      </c>
    </row>
    <row r="2813" spans="5:8" x14ac:dyDescent="0.25">
      <c r="E2813" t="str">
        <f>"RET202111167180"</f>
        <v>RET202111167180</v>
      </c>
      <c r="F2813" t="str">
        <f>"TEXAS COUNTY &amp; DISTRICT RET"</f>
        <v>TEXAS COUNTY &amp; DISTRICT RET</v>
      </c>
      <c r="G2813" s="3">
        <v>2201.4699999999998</v>
      </c>
      <c r="H2813" t="str">
        <f t="shared" ref="H2813:H2844" si="52">"TEXAS COUNTY &amp; DISTRICT RET"</f>
        <v>TEXAS COUNTY &amp; DISTRICT RET</v>
      </c>
    </row>
    <row r="2814" spans="5:8" x14ac:dyDescent="0.25">
      <c r="E2814" t="str">
        <f>""</f>
        <v/>
      </c>
      <c r="F2814" t="str">
        <f>""</f>
        <v/>
      </c>
      <c r="G2814" s="3">
        <v>1429.54</v>
      </c>
      <c r="H2814" t="str">
        <f t="shared" si="52"/>
        <v>TEXAS COUNTY &amp; DISTRICT RET</v>
      </c>
    </row>
    <row r="2815" spans="5:8" x14ac:dyDescent="0.25">
      <c r="E2815" t="str">
        <f>"RET202111227341"</f>
        <v>RET202111227341</v>
      </c>
      <c r="F2815" t="str">
        <f>"TEXAS COUNTY &amp; DISTRICT RET"</f>
        <v>TEXAS COUNTY &amp; DISTRICT RET</v>
      </c>
      <c r="G2815" s="3">
        <v>936.22</v>
      </c>
      <c r="H2815" t="str">
        <f t="shared" si="52"/>
        <v>TEXAS COUNTY &amp; DISTRICT RET</v>
      </c>
    </row>
    <row r="2816" spans="5:8" x14ac:dyDescent="0.25">
      <c r="E2816" t="str">
        <f>""</f>
        <v/>
      </c>
      <c r="F2816" t="str">
        <f>""</f>
        <v/>
      </c>
      <c r="G2816" s="3">
        <v>666.6</v>
      </c>
      <c r="H2816" t="str">
        <f t="shared" si="52"/>
        <v>TEXAS COUNTY &amp; DISTRICT RET</v>
      </c>
    </row>
    <row r="2817" spans="5:8" x14ac:dyDescent="0.25">
      <c r="E2817" t="str">
        <f>""</f>
        <v/>
      </c>
      <c r="F2817" t="str">
        <f>""</f>
        <v/>
      </c>
      <c r="G2817" s="3">
        <v>1795.34</v>
      </c>
      <c r="H2817" t="str">
        <f t="shared" si="52"/>
        <v>TEXAS COUNTY &amp; DISTRICT RET</v>
      </c>
    </row>
    <row r="2818" spans="5:8" x14ac:dyDescent="0.25">
      <c r="E2818" t="str">
        <f>""</f>
        <v/>
      </c>
      <c r="F2818" t="str">
        <f>""</f>
        <v/>
      </c>
      <c r="G2818" s="3">
        <v>742.59</v>
      </c>
      <c r="H2818" t="str">
        <f t="shared" si="52"/>
        <v>TEXAS COUNTY &amp; DISTRICT RET</v>
      </c>
    </row>
    <row r="2819" spans="5:8" x14ac:dyDescent="0.25">
      <c r="E2819" t="str">
        <f>""</f>
        <v/>
      </c>
      <c r="F2819" t="str">
        <f>""</f>
        <v/>
      </c>
      <c r="G2819" s="3">
        <v>81.41</v>
      </c>
      <c r="H2819" t="str">
        <f t="shared" si="52"/>
        <v>TEXAS COUNTY &amp; DISTRICT RET</v>
      </c>
    </row>
    <row r="2820" spans="5:8" x14ac:dyDescent="0.25">
      <c r="E2820" t="str">
        <f>""</f>
        <v/>
      </c>
      <c r="F2820" t="str">
        <f>""</f>
        <v/>
      </c>
      <c r="G2820" s="3">
        <v>1521.54</v>
      </c>
      <c r="H2820" t="str">
        <f t="shared" si="52"/>
        <v>TEXAS COUNTY &amp; DISTRICT RET</v>
      </c>
    </row>
    <row r="2821" spans="5:8" x14ac:dyDescent="0.25">
      <c r="E2821" t="str">
        <f>""</f>
        <v/>
      </c>
      <c r="F2821" t="str">
        <f>""</f>
        <v/>
      </c>
      <c r="G2821" s="3">
        <v>4430.1899999999996</v>
      </c>
      <c r="H2821" t="str">
        <f t="shared" si="52"/>
        <v>TEXAS COUNTY &amp; DISTRICT RET</v>
      </c>
    </row>
    <row r="2822" spans="5:8" x14ac:dyDescent="0.25">
      <c r="E2822" t="str">
        <f>""</f>
        <v/>
      </c>
      <c r="F2822" t="str">
        <f>""</f>
        <v/>
      </c>
      <c r="G2822" s="3">
        <v>1487.54</v>
      </c>
      <c r="H2822" t="str">
        <f t="shared" si="52"/>
        <v>TEXAS COUNTY &amp; DISTRICT RET</v>
      </c>
    </row>
    <row r="2823" spans="5:8" x14ac:dyDescent="0.25">
      <c r="E2823" t="str">
        <f>""</f>
        <v/>
      </c>
      <c r="F2823" t="str">
        <f>""</f>
        <v/>
      </c>
      <c r="G2823" s="3">
        <v>1475.83</v>
      </c>
      <c r="H2823" t="str">
        <f t="shared" si="52"/>
        <v>TEXAS COUNTY &amp; DISTRICT RET</v>
      </c>
    </row>
    <row r="2824" spans="5:8" x14ac:dyDescent="0.25">
      <c r="E2824" t="str">
        <f>""</f>
        <v/>
      </c>
      <c r="F2824" t="str">
        <f>""</f>
        <v/>
      </c>
      <c r="G2824" s="3">
        <v>2813.53</v>
      </c>
      <c r="H2824" t="str">
        <f t="shared" si="52"/>
        <v>TEXAS COUNTY &amp; DISTRICT RET</v>
      </c>
    </row>
    <row r="2825" spans="5:8" x14ac:dyDescent="0.25">
      <c r="E2825" t="str">
        <f>""</f>
        <v/>
      </c>
      <c r="F2825" t="str">
        <f>""</f>
        <v/>
      </c>
      <c r="G2825" s="3">
        <v>828.9</v>
      </c>
      <c r="H2825" t="str">
        <f t="shared" si="52"/>
        <v>TEXAS COUNTY &amp; DISTRICT RET</v>
      </c>
    </row>
    <row r="2826" spans="5:8" x14ac:dyDescent="0.25">
      <c r="E2826" t="str">
        <f>""</f>
        <v/>
      </c>
      <c r="F2826" t="str">
        <f>""</f>
        <v/>
      </c>
      <c r="G2826" s="3">
        <v>855.55</v>
      </c>
      <c r="H2826" t="str">
        <f t="shared" si="52"/>
        <v>TEXAS COUNTY &amp; DISTRICT RET</v>
      </c>
    </row>
    <row r="2827" spans="5:8" x14ac:dyDescent="0.25">
      <c r="E2827" t="str">
        <f>""</f>
        <v/>
      </c>
      <c r="F2827" t="str">
        <f>""</f>
        <v/>
      </c>
      <c r="G2827" s="3">
        <v>740.89</v>
      </c>
      <c r="H2827" t="str">
        <f t="shared" si="52"/>
        <v>TEXAS COUNTY &amp; DISTRICT RET</v>
      </c>
    </row>
    <row r="2828" spans="5:8" x14ac:dyDescent="0.25">
      <c r="E2828" t="str">
        <f>""</f>
        <v/>
      </c>
      <c r="F2828" t="str">
        <f>""</f>
        <v/>
      </c>
      <c r="G2828" s="3">
        <v>755.97</v>
      </c>
      <c r="H2828" t="str">
        <f t="shared" si="52"/>
        <v>TEXAS COUNTY &amp; DISTRICT RET</v>
      </c>
    </row>
    <row r="2829" spans="5:8" x14ac:dyDescent="0.25">
      <c r="E2829" t="str">
        <f>""</f>
        <v/>
      </c>
      <c r="F2829" t="str">
        <f>""</f>
        <v/>
      </c>
      <c r="G2829" s="3">
        <v>468.32</v>
      </c>
      <c r="H2829" t="str">
        <f t="shared" si="52"/>
        <v>TEXAS COUNTY &amp; DISTRICT RET</v>
      </c>
    </row>
    <row r="2830" spans="5:8" x14ac:dyDescent="0.25">
      <c r="E2830" t="str">
        <f>""</f>
        <v/>
      </c>
      <c r="F2830" t="str">
        <f>""</f>
        <v/>
      </c>
      <c r="G2830" s="3">
        <v>4854.1000000000004</v>
      </c>
      <c r="H2830" t="str">
        <f t="shared" si="52"/>
        <v>TEXAS COUNTY &amp; DISTRICT RET</v>
      </c>
    </row>
    <row r="2831" spans="5:8" x14ac:dyDescent="0.25">
      <c r="E2831" t="str">
        <f>""</f>
        <v/>
      </c>
      <c r="F2831" t="str">
        <f>""</f>
        <v/>
      </c>
      <c r="G2831" s="3">
        <v>2100.06</v>
      </c>
      <c r="H2831" t="str">
        <f t="shared" si="52"/>
        <v>TEXAS COUNTY &amp; DISTRICT RET</v>
      </c>
    </row>
    <row r="2832" spans="5:8" x14ac:dyDescent="0.25">
      <c r="E2832" t="str">
        <f>""</f>
        <v/>
      </c>
      <c r="F2832" t="str">
        <f>""</f>
        <v/>
      </c>
      <c r="G2832" s="3">
        <v>967.18</v>
      </c>
      <c r="H2832" t="str">
        <f t="shared" si="52"/>
        <v>TEXAS COUNTY &amp; DISTRICT RET</v>
      </c>
    </row>
    <row r="2833" spans="5:8" x14ac:dyDescent="0.25">
      <c r="E2833" t="str">
        <f>""</f>
        <v/>
      </c>
      <c r="F2833" t="str">
        <f>""</f>
        <v/>
      </c>
      <c r="G2833" s="3">
        <v>887.64</v>
      </c>
      <c r="H2833" t="str">
        <f t="shared" si="52"/>
        <v>TEXAS COUNTY &amp; DISTRICT RET</v>
      </c>
    </row>
    <row r="2834" spans="5:8" x14ac:dyDescent="0.25">
      <c r="E2834" t="str">
        <f>""</f>
        <v/>
      </c>
      <c r="F2834" t="str">
        <f>""</f>
        <v/>
      </c>
      <c r="G2834" s="3">
        <v>2700.7</v>
      </c>
      <c r="H2834" t="str">
        <f t="shared" si="52"/>
        <v>TEXAS COUNTY &amp; DISTRICT RET</v>
      </c>
    </row>
    <row r="2835" spans="5:8" x14ac:dyDescent="0.25">
      <c r="E2835" t="str">
        <f>""</f>
        <v/>
      </c>
      <c r="F2835" t="str">
        <f>""</f>
        <v/>
      </c>
      <c r="G2835" s="3">
        <v>1344.27</v>
      </c>
      <c r="H2835" t="str">
        <f t="shared" si="52"/>
        <v>TEXAS COUNTY &amp; DISTRICT RET</v>
      </c>
    </row>
    <row r="2836" spans="5:8" x14ac:dyDescent="0.25">
      <c r="E2836" t="str">
        <f>""</f>
        <v/>
      </c>
      <c r="F2836" t="str">
        <f>""</f>
        <v/>
      </c>
      <c r="G2836" s="3">
        <v>3286.78</v>
      </c>
      <c r="H2836" t="str">
        <f t="shared" si="52"/>
        <v>TEXAS COUNTY &amp; DISTRICT RET</v>
      </c>
    </row>
    <row r="2837" spans="5:8" x14ac:dyDescent="0.25">
      <c r="E2837" t="str">
        <f>""</f>
        <v/>
      </c>
      <c r="F2837" t="str">
        <f>""</f>
        <v/>
      </c>
      <c r="G2837" s="3">
        <v>2221</v>
      </c>
      <c r="H2837" t="str">
        <f t="shared" si="52"/>
        <v>TEXAS COUNTY &amp; DISTRICT RET</v>
      </c>
    </row>
    <row r="2838" spans="5:8" x14ac:dyDescent="0.25">
      <c r="E2838" t="str">
        <f>""</f>
        <v/>
      </c>
      <c r="F2838" t="str">
        <f>""</f>
        <v/>
      </c>
      <c r="G2838" s="3">
        <v>4360.0200000000004</v>
      </c>
      <c r="H2838" t="str">
        <f t="shared" si="52"/>
        <v>TEXAS COUNTY &amp; DISTRICT RET</v>
      </c>
    </row>
    <row r="2839" spans="5:8" x14ac:dyDescent="0.25">
      <c r="E2839" t="str">
        <f>""</f>
        <v/>
      </c>
      <c r="F2839" t="str">
        <f>""</f>
        <v/>
      </c>
      <c r="G2839" s="3">
        <v>247.39</v>
      </c>
      <c r="H2839" t="str">
        <f t="shared" si="52"/>
        <v>TEXAS COUNTY &amp; DISTRICT RET</v>
      </c>
    </row>
    <row r="2840" spans="5:8" x14ac:dyDescent="0.25">
      <c r="E2840" t="str">
        <f>""</f>
        <v/>
      </c>
      <c r="F2840" t="str">
        <f>""</f>
        <v/>
      </c>
      <c r="G2840" s="3">
        <v>247.39</v>
      </c>
      <c r="H2840" t="str">
        <f t="shared" si="52"/>
        <v>TEXAS COUNTY &amp; DISTRICT RET</v>
      </c>
    </row>
    <row r="2841" spans="5:8" x14ac:dyDescent="0.25">
      <c r="E2841" t="str">
        <f>""</f>
        <v/>
      </c>
      <c r="F2841" t="str">
        <f>""</f>
        <v/>
      </c>
      <c r="G2841" s="3">
        <v>247.39</v>
      </c>
      <c r="H2841" t="str">
        <f t="shared" si="52"/>
        <v>TEXAS COUNTY &amp; DISTRICT RET</v>
      </c>
    </row>
    <row r="2842" spans="5:8" x14ac:dyDescent="0.25">
      <c r="E2842" t="str">
        <f>""</f>
        <v/>
      </c>
      <c r="F2842" t="str">
        <f>""</f>
        <v/>
      </c>
      <c r="G2842" s="3">
        <v>247.39</v>
      </c>
      <c r="H2842" t="str">
        <f t="shared" si="52"/>
        <v>TEXAS COUNTY &amp; DISTRICT RET</v>
      </c>
    </row>
    <row r="2843" spans="5:8" x14ac:dyDescent="0.25">
      <c r="E2843" t="str">
        <f>""</f>
        <v/>
      </c>
      <c r="F2843" t="str">
        <f>""</f>
        <v/>
      </c>
      <c r="G2843" s="3">
        <v>24631.29</v>
      </c>
      <c r="H2843" t="str">
        <f t="shared" si="52"/>
        <v>TEXAS COUNTY &amp; DISTRICT RET</v>
      </c>
    </row>
    <row r="2844" spans="5:8" x14ac:dyDescent="0.25">
      <c r="E2844" t="str">
        <f>""</f>
        <v/>
      </c>
      <c r="F2844" t="str">
        <f>""</f>
        <v/>
      </c>
      <c r="G2844" s="3">
        <v>967.34</v>
      </c>
      <c r="H2844" t="str">
        <f t="shared" si="52"/>
        <v>TEXAS COUNTY &amp; DISTRICT RET</v>
      </c>
    </row>
    <row r="2845" spans="5:8" x14ac:dyDescent="0.25">
      <c r="E2845" t="str">
        <f>""</f>
        <v/>
      </c>
      <c r="F2845" t="str">
        <f>""</f>
        <v/>
      </c>
      <c r="G2845" s="3">
        <v>19435.75</v>
      </c>
      <c r="H2845" t="str">
        <f t="shared" ref="H2845:H2864" si="53">"TEXAS COUNTY &amp; DISTRICT RET"</f>
        <v>TEXAS COUNTY &amp; DISTRICT RET</v>
      </c>
    </row>
    <row r="2846" spans="5:8" x14ac:dyDescent="0.25">
      <c r="E2846" t="str">
        <f>""</f>
        <v/>
      </c>
      <c r="F2846" t="str">
        <f>""</f>
        <v/>
      </c>
      <c r="G2846" s="3">
        <v>3104.47</v>
      </c>
      <c r="H2846" t="str">
        <f t="shared" si="53"/>
        <v>TEXAS COUNTY &amp; DISTRICT RET</v>
      </c>
    </row>
    <row r="2847" spans="5:8" x14ac:dyDescent="0.25">
      <c r="E2847" t="str">
        <f>""</f>
        <v/>
      </c>
      <c r="F2847" t="str">
        <f>""</f>
        <v/>
      </c>
      <c r="G2847" s="3">
        <v>218.01</v>
      </c>
      <c r="H2847" t="str">
        <f t="shared" si="53"/>
        <v>TEXAS COUNTY &amp; DISTRICT RET</v>
      </c>
    </row>
    <row r="2848" spans="5:8" x14ac:dyDescent="0.25">
      <c r="E2848" t="str">
        <f>""</f>
        <v/>
      </c>
      <c r="F2848" t="str">
        <f>""</f>
        <v/>
      </c>
      <c r="G2848" s="3">
        <v>929.45</v>
      </c>
      <c r="H2848" t="str">
        <f t="shared" si="53"/>
        <v>TEXAS COUNTY &amp; DISTRICT RET</v>
      </c>
    </row>
    <row r="2849" spans="5:8" x14ac:dyDescent="0.25">
      <c r="E2849" t="str">
        <f>""</f>
        <v/>
      </c>
      <c r="F2849" t="str">
        <f>""</f>
        <v/>
      </c>
      <c r="G2849" s="3">
        <v>61.69</v>
      </c>
      <c r="H2849" t="str">
        <f t="shared" si="53"/>
        <v>TEXAS COUNTY &amp; DISTRICT RET</v>
      </c>
    </row>
    <row r="2850" spans="5:8" x14ac:dyDescent="0.25">
      <c r="E2850" t="str">
        <f>""</f>
        <v/>
      </c>
      <c r="F2850" t="str">
        <f>""</f>
        <v/>
      </c>
      <c r="G2850" s="3">
        <v>459.93</v>
      </c>
      <c r="H2850" t="str">
        <f t="shared" si="53"/>
        <v>TEXAS COUNTY &amp; DISTRICT RET</v>
      </c>
    </row>
    <row r="2851" spans="5:8" x14ac:dyDescent="0.25">
      <c r="E2851" t="str">
        <f>""</f>
        <v/>
      </c>
      <c r="F2851" t="str">
        <f>""</f>
        <v/>
      </c>
      <c r="G2851" s="3">
        <v>205.87</v>
      </c>
      <c r="H2851" t="str">
        <f t="shared" si="53"/>
        <v>TEXAS COUNTY &amp; DISTRICT RET</v>
      </c>
    </row>
    <row r="2852" spans="5:8" x14ac:dyDescent="0.25">
      <c r="E2852" t="str">
        <f>""</f>
        <v/>
      </c>
      <c r="F2852" t="str">
        <f>""</f>
        <v/>
      </c>
      <c r="G2852" s="3">
        <v>911.79</v>
      </c>
      <c r="H2852" t="str">
        <f t="shared" si="53"/>
        <v>TEXAS COUNTY &amp; DISTRICT RET</v>
      </c>
    </row>
    <row r="2853" spans="5:8" x14ac:dyDescent="0.25">
      <c r="E2853" t="str">
        <f>""</f>
        <v/>
      </c>
      <c r="F2853" t="str">
        <f>""</f>
        <v/>
      </c>
      <c r="G2853" s="3">
        <v>351.6</v>
      </c>
      <c r="H2853" t="str">
        <f t="shared" si="53"/>
        <v>TEXAS COUNTY &amp; DISTRICT RET</v>
      </c>
    </row>
    <row r="2854" spans="5:8" x14ac:dyDescent="0.25">
      <c r="E2854" t="str">
        <f>""</f>
        <v/>
      </c>
      <c r="F2854" t="str">
        <f>""</f>
        <v/>
      </c>
      <c r="G2854" s="3">
        <v>210.15</v>
      </c>
      <c r="H2854" t="str">
        <f t="shared" si="53"/>
        <v>TEXAS COUNTY &amp; DISTRICT RET</v>
      </c>
    </row>
    <row r="2855" spans="5:8" x14ac:dyDescent="0.25">
      <c r="E2855" t="str">
        <f>""</f>
        <v/>
      </c>
      <c r="F2855" t="str">
        <f>""</f>
        <v/>
      </c>
      <c r="G2855" s="3">
        <v>2629.46</v>
      </c>
      <c r="H2855" t="str">
        <f t="shared" si="53"/>
        <v>TEXAS COUNTY &amp; DISTRICT RET</v>
      </c>
    </row>
    <row r="2856" spans="5:8" x14ac:dyDescent="0.25">
      <c r="E2856" t="str">
        <f>""</f>
        <v/>
      </c>
      <c r="F2856" t="str">
        <f>""</f>
        <v/>
      </c>
      <c r="G2856" s="3">
        <v>2928.92</v>
      </c>
      <c r="H2856" t="str">
        <f t="shared" si="53"/>
        <v>TEXAS COUNTY &amp; DISTRICT RET</v>
      </c>
    </row>
    <row r="2857" spans="5:8" x14ac:dyDescent="0.25">
      <c r="E2857" t="str">
        <f>""</f>
        <v/>
      </c>
      <c r="F2857" t="str">
        <f>""</f>
        <v/>
      </c>
      <c r="G2857" s="3">
        <v>2898.16</v>
      </c>
      <c r="H2857" t="str">
        <f t="shared" si="53"/>
        <v>TEXAS COUNTY &amp; DISTRICT RET</v>
      </c>
    </row>
    <row r="2858" spans="5:8" x14ac:dyDescent="0.25">
      <c r="E2858" t="str">
        <f>""</f>
        <v/>
      </c>
      <c r="F2858" t="str">
        <f>""</f>
        <v/>
      </c>
      <c r="G2858" s="3">
        <v>3237.88</v>
      </c>
      <c r="H2858" t="str">
        <f t="shared" si="53"/>
        <v>TEXAS COUNTY &amp; DISTRICT RET</v>
      </c>
    </row>
    <row r="2859" spans="5:8" x14ac:dyDescent="0.25">
      <c r="E2859" t="str">
        <f>""</f>
        <v/>
      </c>
      <c r="F2859" t="str">
        <f>""</f>
        <v/>
      </c>
      <c r="G2859" s="3">
        <v>415.4</v>
      </c>
      <c r="H2859" t="str">
        <f t="shared" si="53"/>
        <v>TEXAS COUNTY &amp; DISTRICT RET</v>
      </c>
    </row>
    <row r="2860" spans="5:8" x14ac:dyDescent="0.25">
      <c r="E2860" t="str">
        <f>""</f>
        <v/>
      </c>
      <c r="F2860" t="str">
        <f>""</f>
        <v/>
      </c>
      <c r="G2860" s="3">
        <v>12.79</v>
      </c>
      <c r="H2860" t="str">
        <f t="shared" si="53"/>
        <v>TEXAS COUNTY &amp; DISTRICT RET</v>
      </c>
    </row>
    <row r="2861" spans="5:8" x14ac:dyDescent="0.25">
      <c r="E2861" t="str">
        <f>""</f>
        <v/>
      </c>
      <c r="F2861" t="str">
        <f>""</f>
        <v/>
      </c>
      <c r="G2861" s="3">
        <v>26.87</v>
      </c>
      <c r="H2861" t="str">
        <f t="shared" si="53"/>
        <v>TEXAS COUNTY &amp; DISTRICT RET</v>
      </c>
    </row>
    <row r="2862" spans="5:8" x14ac:dyDescent="0.25">
      <c r="E2862" t="str">
        <f>""</f>
        <v/>
      </c>
      <c r="F2862" t="str">
        <f>""</f>
        <v/>
      </c>
      <c r="G2862" s="3">
        <v>39.090000000000003</v>
      </c>
      <c r="H2862" t="str">
        <f t="shared" si="53"/>
        <v>TEXAS COUNTY &amp; DISTRICT RET</v>
      </c>
    </row>
    <row r="2863" spans="5:8" x14ac:dyDescent="0.25">
      <c r="E2863" t="str">
        <f>""</f>
        <v/>
      </c>
      <c r="F2863" t="str">
        <f>""</f>
        <v/>
      </c>
      <c r="G2863" s="3">
        <v>653.80999999999995</v>
      </c>
      <c r="H2863" t="str">
        <f t="shared" si="53"/>
        <v>TEXAS COUNTY &amp; DISTRICT RET</v>
      </c>
    </row>
    <row r="2864" spans="5:8" x14ac:dyDescent="0.25">
      <c r="E2864" t="str">
        <f>""</f>
        <v/>
      </c>
      <c r="F2864" t="str">
        <f>""</f>
        <v/>
      </c>
      <c r="G2864" s="3">
        <v>69897.210000000006</v>
      </c>
      <c r="H2864" t="str">
        <f t="shared" si="53"/>
        <v>TEXAS COUNTY &amp; DISTRICT RET</v>
      </c>
    </row>
    <row r="2865" spans="1:8" x14ac:dyDescent="0.25">
      <c r="E2865" t="str">
        <f>"RET202111227342"</f>
        <v>RET202111227342</v>
      </c>
      <c r="F2865" t="str">
        <f>"TEXAS COUNTY  DISTRICT RET"</f>
        <v>TEXAS COUNTY  DISTRICT RET</v>
      </c>
      <c r="G2865" s="3">
        <v>3674.56</v>
      </c>
      <c r="H2865" t="str">
        <f>"TEXAS COUNTY  DISTRICT RET"</f>
        <v>TEXAS COUNTY  DISTRICT RET</v>
      </c>
    </row>
    <row r="2866" spans="1:8" x14ac:dyDescent="0.25">
      <c r="E2866" t="str">
        <f>""</f>
        <v/>
      </c>
      <c r="F2866" t="str">
        <f>""</f>
        <v/>
      </c>
      <c r="G2866" s="3">
        <v>2386.0700000000002</v>
      </c>
      <c r="H2866" t="str">
        <f>"TEXAS COUNTY  DISTRICT RET"</f>
        <v>TEXAS COUNTY  DISTRICT RET</v>
      </c>
    </row>
    <row r="2867" spans="1:8" x14ac:dyDescent="0.25">
      <c r="E2867" t="str">
        <f>"RET202111227343"</f>
        <v>RET202111227343</v>
      </c>
      <c r="F2867" t="str">
        <f>"TEXAS COUNTY &amp; DISTRICT RET"</f>
        <v>TEXAS COUNTY &amp; DISTRICT RET</v>
      </c>
      <c r="G2867" s="3">
        <v>4148.79</v>
      </c>
      <c r="H2867" t="str">
        <f>"TEXAS COUNTY &amp; DISTRICT RET"</f>
        <v>TEXAS COUNTY &amp; DISTRICT RET</v>
      </c>
    </row>
    <row r="2868" spans="1:8" x14ac:dyDescent="0.25">
      <c r="E2868" t="str">
        <f>""</f>
        <v/>
      </c>
      <c r="F2868" t="str">
        <f>""</f>
        <v/>
      </c>
      <c r="G2868" s="3">
        <v>2694.01</v>
      </c>
      <c r="H2868" t="str">
        <f>"TEXAS COUNTY &amp; DISTRICT RET"</f>
        <v>TEXAS COUNTY &amp; DISTRICT RET</v>
      </c>
    </row>
    <row r="2869" spans="1:8" x14ac:dyDescent="0.25">
      <c r="A2869" t="s">
        <v>628</v>
      </c>
      <c r="B2869">
        <v>48534</v>
      </c>
      <c r="C2869" s="3">
        <v>1872</v>
      </c>
      <c r="D2869" s="6">
        <v>44529</v>
      </c>
      <c r="E2869" t="str">
        <f>"LEG202111097073"</f>
        <v>LEG202111097073</v>
      </c>
      <c r="F2869" t="str">
        <f>"TEXAS LEGAL PROTECTION PLAN"</f>
        <v>TEXAS LEGAL PROTECTION PLAN</v>
      </c>
      <c r="G2869" s="3">
        <v>360</v>
      </c>
      <c r="H2869" t="str">
        <f>"TEXAS LEGAL PROTECTION PLAN"</f>
        <v>TEXAS LEGAL PROTECTION PLAN</v>
      </c>
    </row>
    <row r="2870" spans="1:8" x14ac:dyDescent="0.25">
      <c r="E2870" t="str">
        <f>"LEG202111227341"</f>
        <v>LEG202111227341</v>
      </c>
      <c r="F2870" t="str">
        <f>"TEXAS LEGAL PROTECTION PLAN"</f>
        <v>TEXAS LEGAL PROTECTION PLAN</v>
      </c>
      <c r="G2870" s="3">
        <v>360</v>
      </c>
      <c r="H2870" t="str">
        <f>"TEXAS LEGAL PROTECTION PLAN"</f>
        <v>TEXAS LEGAL PROTECTION PLAN</v>
      </c>
    </row>
    <row r="2871" spans="1:8" x14ac:dyDescent="0.25">
      <c r="E2871" t="str">
        <f>"LGF202111097073"</f>
        <v>LGF202111097073</v>
      </c>
      <c r="F2871" t="str">
        <f>"TEXAS LEGAL PROTECTION PLAN"</f>
        <v>TEXAS LEGAL PROTECTION PLAN</v>
      </c>
      <c r="G2871" s="3">
        <v>584</v>
      </c>
      <c r="H2871" t="str">
        <f>"TEXAS LEGAL PROTECTION PLAN"</f>
        <v>TEXAS LEGAL PROTECTION PLAN</v>
      </c>
    </row>
    <row r="2872" spans="1:8" x14ac:dyDescent="0.25">
      <c r="E2872" t="str">
        <f>"LGF202111227341"</f>
        <v>LGF202111227341</v>
      </c>
      <c r="F2872" t="str">
        <f>"TEXAS LEGAL PROTECTION PLAN"</f>
        <v>TEXAS LEGAL PROTECTION PLAN</v>
      </c>
      <c r="G2872" s="3">
        <v>568</v>
      </c>
      <c r="H2872" t="str">
        <f>"TEXAS LEGAL PROTECTION PLAN"</f>
        <v>TEXAS LEGAL PROTECTION PLAN</v>
      </c>
    </row>
    <row r="2873" spans="1:8" x14ac:dyDescent="0.25">
      <c r="A2873" t="s">
        <v>629</v>
      </c>
      <c r="B2873">
        <v>1437</v>
      </c>
      <c r="C2873" s="3">
        <v>84.97</v>
      </c>
      <c r="D2873" s="6">
        <v>44522</v>
      </c>
      <c r="E2873" t="str">
        <f>"202111227375"</f>
        <v>202111227375</v>
      </c>
      <c r="F2873" t="str">
        <f>"ACCT #72-6513 / 11032021"</f>
        <v>ACCT #72-6513 / 11032021</v>
      </c>
      <c r="G2873" s="3">
        <v>84.97</v>
      </c>
      <c r="H2873" t="str">
        <f t="shared" ref="H2873:H2918" si="54">"ACCT #72-6513 / 11032021"</f>
        <v>ACCT #72-6513 / 11032021</v>
      </c>
    </row>
    <row r="2874" spans="1:8" x14ac:dyDescent="0.25">
      <c r="A2874" t="s">
        <v>32</v>
      </c>
      <c r="B2874">
        <v>1450</v>
      </c>
      <c r="C2874" s="3">
        <v>241.78</v>
      </c>
      <c r="D2874" s="6">
        <v>44522</v>
      </c>
      <c r="E2874" t="str">
        <f>"202111227387"</f>
        <v>202111227387</v>
      </c>
      <c r="F2874" t="str">
        <f>"ACCT #72-6513 / 11032021"</f>
        <v>ACCT #72-6513 / 11032021</v>
      </c>
      <c r="G2874" s="3">
        <v>109.08</v>
      </c>
      <c r="H2874" t="str">
        <f t="shared" si="54"/>
        <v>ACCT #72-6513 / 11032021</v>
      </c>
    </row>
    <row r="2875" spans="1:8" x14ac:dyDescent="0.25">
      <c r="E2875" t="str">
        <f>""</f>
        <v/>
      </c>
      <c r="F2875" t="str">
        <f>""</f>
        <v/>
      </c>
      <c r="G2875" s="3">
        <v>79.989999999999995</v>
      </c>
      <c r="H2875" t="str">
        <f t="shared" si="54"/>
        <v>ACCT #72-6513 / 11032021</v>
      </c>
    </row>
    <row r="2876" spans="1:8" x14ac:dyDescent="0.25">
      <c r="E2876" t="str">
        <f>""</f>
        <v/>
      </c>
      <c r="F2876" t="str">
        <f>""</f>
        <v/>
      </c>
      <c r="G2876" s="3">
        <v>52.71</v>
      </c>
      <c r="H2876" t="str">
        <f t="shared" si="54"/>
        <v>ACCT #72-6513 / 11032021</v>
      </c>
    </row>
    <row r="2877" spans="1:8" x14ac:dyDescent="0.25">
      <c r="A2877" t="s">
        <v>33</v>
      </c>
      <c r="B2877">
        <v>1452</v>
      </c>
      <c r="C2877" s="3">
        <v>23.8</v>
      </c>
      <c r="D2877" s="6">
        <v>44522</v>
      </c>
      <c r="E2877" t="str">
        <f>"202111227389"</f>
        <v>202111227389</v>
      </c>
      <c r="F2877" t="str">
        <f t="shared" ref="F2877:F2882" si="55">"ACCT #72-6513 / 11032021"</f>
        <v>ACCT #72-6513 / 11032021</v>
      </c>
      <c r="G2877" s="3">
        <v>23.8</v>
      </c>
      <c r="H2877" t="str">
        <f t="shared" si="54"/>
        <v>ACCT #72-6513 / 11032021</v>
      </c>
    </row>
    <row r="2878" spans="1:8" x14ac:dyDescent="0.25">
      <c r="A2878" t="s">
        <v>39</v>
      </c>
      <c r="B2878">
        <v>1451</v>
      </c>
      <c r="C2878" s="3">
        <v>13.45</v>
      </c>
      <c r="D2878" s="6">
        <v>44522</v>
      </c>
      <c r="E2878" t="str">
        <f>"202111227388"</f>
        <v>202111227388</v>
      </c>
      <c r="F2878" t="str">
        <f t="shared" si="55"/>
        <v>ACCT #72-6513 / 11032021</v>
      </c>
      <c r="G2878" s="3">
        <v>13.45</v>
      </c>
      <c r="H2878" t="str">
        <f t="shared" si="54"/>
        <v>ACCT #72-6513 / 11032021</v>
      </c>
    </row>
    <row r="2879" spans="1:8" x14ac:dyDescent="0.25">
      <c r="A2879" t="s">
        <v>630</v>
      </c>
      <c r="B2879">
        <v>1446</v>
      </c>
      <c r="C2879" s="3">
        <v>174.09</v>
      </c>
      <c r="D2879" s="6">
        <v>44522</v>
      </c>
      <c r="E2879" t="str">
        <f>"202111227384"</f>
        <v>202111227384</v>
      </c>
      <c r="F2879" t="str">
        <f t="shared" si="55"/>
        <v>ACCT #72-6513 / 11032021</v>
      </c>
      <c r="G2879" s="3">
        <v>174.09</v>
      </c>
      <c r="H2879" t="str">
        <f t="shared" si="54"/>
        <v>ACCT #72-6513 / 11032021</v>
      </c>
    </row>
    <row r="2880" spans="1:8" x14ac:dyDescent="0.25">
      <c r="A2880" t="s">
        <v>631</v>
      </c>
      <c r="B2880">
        <v>1441</v>
      </c>
      <c r="C2880" s="3">
        <v>175.3</v>
      </c>
      <c r="D2880" s="6">
        <v>44522</v>
      </c>
      <c r="E2880" t="str">
        <f>"202111227379"</f>
        <v>202111227379</v>
      </c>
      <c r="F2880" t="str">
        <f t="shared" si="55"/>
        <v>ACCT #72-6513 / 11032021</v>
      </c>
      <c r="G2880" s="3">
        <v>175.3</v>
      </c>
      <c r="H2880" t="str">
        <f t="shared" si="54"/>
        <v>ACCT #72-6513 / 11032021</v>
      </c>
    </row>
    <row r="2881" spans="1:8" x14ac:dyDescent="0.25">
      <c r="A2881" t="s">
        <v>632</v>
      </c>
      <c r="B2881">
        <v>1440</v>
      </c>
      <c r="C2881" s="3">
        <v>199</v>
      </c>
      <c r="D2881" s="6">
        <v>44522</v>
      </c>
      <c r="E2881" t="str">
        <f>"202111227378"</f>
        <v>202111227378</v>
      </c>
      <c r="F2881" t="str">
        <f t="shared" si="55"/>
        <v>ACCT #72-6513 / 11032021</v>
      </c>
      <c r="G2881" s="3">
        <v>199</v>
      </c>
      <c r="H2881" t="str">
        <f t="shared" si="54"/>
        <v>ACCT #72-6513 / 11032021</v>
      </c>
    </row>
    <row r="2882" spans="1:8" x14ac:dyDescent="0.25">
      <c r="A2882" t="s">
        <v>633</v>
      </c>
      <c r="B2882">
        <v>1432</v>
      </c>
      <c r="C2882" s="3">
        <v>83.36</v>
      </c>
      <c r="D2882" s="6">
        <v>44522</v>
      </c>
      <c r="E2882" t="str">
        <f>"202111227369"</f>
        <v>202111227369</v>
      </c>
      <c r="F2882" t="str">
        <f t="shared" si="55"/>
        <v>ACCT #72-6513 / 11032021</v>
      </c>
      <c r="G2882" s="3">
        <v>2.41</v>
      </c>
      <c r="H2882" t="str">
        <f t="shared" si="54"/>
        <v>ACCT #72-6513 / 11032021</v>
      </c>
    </row>
    <row r="2883" spans="1:8" x14ac:dyDescent="0.25">
      <c r="E2883" t="str">
        <f>""</f>
        <v/>
      </c>
      <c r="F2883" t="str">
        <f>""</f>
        <v/>
      </c>
      <c r="G2883" s="3">
        <v>4.24</v>
      </c>
      <c r="H2883" t="str">
        <f t="shared" si="54"/>
        <v>ACCT #72-6513 / 11032021</v>
      </c>
    </row>
    <row r="2884" spans="1:8" x14ac:dyDescent="0.25">
      <c r="E2884" t="str">
        <f>""</f>
        <v/>
      </c>
      <c r="F2884" t="str">
        <f>""</f>
        <v/>
      </c>
      <c r="G2884" s="3">
        <v>15.7</v>
      </c>
      <c r="H2884" t="str">
        <f t="shared" si="54"/>
        <v>ACCT #72-6513 / 11032021</v>
      </c>
    </row>
    <row r="2885" spans="1:8" x14ac:dyDescent="0.25">
      <c r="E2885" t="str">
        <f>""</f>
        <v/>
      </c>
      <c r="F2885" t="str">
        <f>""</f>
        <v/>
      </c>
      <c r="G2885" s="3">
        <v>16.61</v>
      </c>
      <c r="H2885" t="str">
        <f t="shared" si="54"/>
        <v>ACCT #72-6513 / 11032021</v>
      </c>
    </row>
    <row r="2886" spans="1:8" x14ac:dyDescent="0.25">
      <c r="E2886" t="str">
        <f>""</f>
        <v/>
      </c>
      <c r="F2886" t="str">
        <f>""</f>
        <v/>
      </c>
      <c r="G2886" s="3">
        <v>6</v>
      </c>
      <c r="H2886" t="str">
        <f t="shared" si="54"/>
        <v>ACCT #72-6513 / 11032021</v>
      </c>
    </row>
    <row r="2887" spans="1:8" x14ac:dyDescent="0.25">
      <c r="E2887" t="str">
        <f>""</f>
        <v/>
      </c>
      <c r="F2887" t="str">
        <f>""</f>
        <v/>
      </c>
      <c r="G2887" s="3">
        <v>8.44</v>
      </c>
      <c r="H2887" t="str">
        <f t="shared" si="54"/>
        <v>ACCT #72-6513 / 11032021</v>
      </c>
    </row>
    <row r="2888" spans="1:8" x14ac:dyDescent="0.25">
      <c r="E2888" t="str">
        <f>""</f>
        <v/>
      </c>
      <c r="F2888" t="str">
        <f>""</f>
        <v/>
      </c>
      <c r="G2888" s="3">
        <v>29.96</v>
      </c>
      <c r="H2888" t="str">
        <f t="shared" si="54"/>
        <v>ACCT #72-6513 / 11032021</v>
      </c>
    </row>
    <row r="2889" spans="1:8" x14ac:dyDescent="0.25">
      <c r="A2889" t="s">
        <v>107</v>
      </c>
      <c r="B2889">
        <v>1458</v>
      </c>
      <c r="C2889" s="3">
        <v>254.4</v>
      </c>
      <c r="D2889" s="6">
        <v>44522</v>
      </c>
      <c r="E2889" t="str">
        <f>"202111227395"</f>
        <v>202111227395</v>
      </c>
      <c r="F2889" t="str">
        <f t="shared" ref="F2889:F2897" si="56">"ACCT #72-6513 / 11032021"</f>
        <v>ACCT #72-6513 / 11032021</v>
      </c>
      <c r="G2889" s="3">
        <v>254.4</v>
      </c>
      <c r="H2889" t="str">
        <f t="shared" si="54"/>
        <v>ACCT #72-6513 / 11032021</v>
      </c>
    </row>
    <row r="2890" spans="1:8" x14ac:dyDescent="0.25">
      <c r="A2890" t="s">
        <v>634</v>
      </c>
      <c r="B2890">
        <v>1453</v>
      </c>
      <c r="C2890" s="3">
        <v>29.49</v>
      </c>
      <c r="D2890" s="6">
        <v>44522</v>
      </c>
      <c r="E2890" t="str">
        <f>"202111227390"</f>
        <v>202111227390</v>
      </c>
      <c r="F2890" t="str">
        <f t="shared" si="56"/>
        <v>ACCT #72-6513 / 11032021</v>
      </c>
      <c r="G2890" s="3">
        <v>29.49</v>
      </c>
      <c r="H2890" t="str">
        <f t="shared" si="54"/>
        <v>ACCT #72-6513 / 11032021</v>
      </c>
    </row>
    <row r="2891" spans="1:8" x14ac:dyDescent="0.25">
      <c r="A2891" t="s">
        <v>635</v>
      </c>
      <c r="B2891">
        <v>1460</v>
      </c>
      <c r="C2891" s="3">
        <v>126.95</v>
      </c>
      <c r="D2891" s="6">
        <v>44522</v>
      </c>
      <c r="E2891" t="str">
        <f>"202111227397"</f>
        <v>202111227397</v>
      </c>
      <c r="F2891" t="str">
        <f t="shared" si="56"/>
        <v>ACCT #72-6513 / 11032021</v>
      </c>
      <c r="G2891" s="3">
        <v>126.95</v>
      </c>
      <c r="H2891" t="str">
        <f t="shared" si="54"/>
        <v>ACCT #72-6513 / 11032021</v>
      </c>
    </row>
    <row r="2892" spans="1:8" x14ac:dyDescent="0.25">
      <c r="A2892" t="s">
        <v>636</v>
      </c>
      <c r="B2892">
        <v>1442</v>
      </c>
      <c r="C2892" s="3">
        <v>189.98</v>
      </c>
      <c r="D2892" s="6">
        <v>44522</v>
      </c>
      <c r="E2892" t="str">
        <f>"202111227380"</f>
        <v>202111227380</v>
      </c>
      <c r="F2892" t="str">
        <f t="shared" si="56"/>
        <v>ACCT #72-6513 / 11032021</v>
      </c>
      <c r="G2892" s="3">
        <v>189.98</v>
      </c>
      <c r="H2892" t="str">
        <f t="shared" si="54"/>
        <v>ACCT #72-6513 / 11032021</v>
      </c>
    </row>
    <row r="2893" spans="1:8" x14ac:dyDescent="0.25">
      <c r="A2893" t="s">
        <v>637</v>
      </c>
      <c r="B2893">
        <v>1449</v>
      </c>
      <c r="C2893" s="3">
        <v>39.880000000000003</v>
      </c>
      <c r="D2893" s="6">
        <v>44522</v>
      </c>
      <c r="E2893" t="str">
        <f>"202111227401"</f>
        <v>202111227401</v>
      </c>
      <c r="F2893" t="str">
        <f t="shared" si="56"/>
        <v>ACCT #72-6513 / 11032021</v>
      </c>
      <c r="G2893" s="3">
        <v>39.880000000000003</v>
      </c>
      <c r="H2893" t="str">
        <f t="shared" si="54"/>
        <v>ACCT #72-6513 / 11032021</v>
      </c>
    </row>
    <row r="2894" spans="1:8" x14ac:dyDescent="0.25">
      <c r="A2894" t="s">
        <v>638</v>
      </c>
      <c r="B2894">
        <v>1443</v>
      </c>
      <c r="C2894" s="3">
        <v>25.58</v>
      </c>
      <c r="D2894" s="6">
        <v>44522</v>
      </c>
      <c r="E2894" t="str">
        <f>"202111227381"</f>
        <v>202111227381</v>
      </c>
      <c r="F2894" t="str">
        <f t="shared" si="56"/>
        <v>ACCT #72-6513 / 11032021</v>
      </c>
      <c r="G2894" s="3">
        <v>25.58</v>
      </c>
      <c r="H2894" t="str">
        <f t="shared" si="54"/>
        <v>ACCT #72-6513 / 11032021</v>
      </c>
    </row>
    <row r="2895" spans="1:8" x14ac:dyDescent="0.25">
      <c r="A2895" t="s">
        <v>639</v>
      </c>
      <c r="B2895">
        <v>1463</v>
      </c>
      <c r="C2895" s="3">
        <v>118.76</v>
      </c>
      <c r="D2895" s="6">
        <v>44522</v>
      </c>
      <c r="E2895" t="str">
        <f>"202111227400"</f>
        <v>202111227400</v>
      </c>
      <c r="F2895" t="str">
        <f t="shared" si="56"/>
        <v>ACCT #72-6513 / 11032021</v>
      </c>
      <c r="G2895" s="3">
        <v>118.76</v>
      </c>
      <c r="H2895" t="str">
        <f t="shared" si="54"/>
        <v>ACCT #72-6513 / 11032021</v>
      </c>
    </row>
    <row r="2896" spans="1:8" x14ac:dyDescent="0.25">
      <c r="A2896" t="s">
        <v>640</v>
      </c>
      <c r="B2896">
        <v>1459</v>
      </c>
      <c r="C2896" s="3">
        <v>14.99</v>
      </c>
      <c r="D2896" s="6">
        <v>44522</v>
      </c>
      <c r="E2896" t="str">
        <f>"202111227396"</f>
        <v>202111227396</v>
      </c>
      <c r="F2896" t="str">
        <f t="shared" si="56"/>
        <v>ACCT #72-6513 / 11032021</v>
      </c>
      <c r="G2896" s="3">
        <v>14.99</v>
      </c>
      <c r="H2896" t="str">
        <f t="shared" si="54"/>
        <v>ACCT #72-6513 / 11032021</v>
      </c>
    </row>
    <row r="2897" spans="1:8" x14ac:dyDescent="0.25">
      <c r="A2897" t="s">
        <v>158</v>
      </c>
      <c r="B2897">
        <v>1431</v>
      </c>
      <c r="C2897" s="3">
        <v>959.67</v>
      </c>
      <c r="D2897" s="6">
        <v>44522</v>
      </c>
      <c r="E2897" t="str">
        <f>"202111227368"</f>
        <v>202111227368</v>
      </c>
      <c r="F2897" t="str">
        <f t="shared" si="56"/>
        <v>ACCT #72-6513 / 11032021</v>
      </c>
      <c r="G2897" s="3">
        <v>160.99</v>
      </c>
      <c r="H2897" t="str">
        <f t="shared" si="54"/>
        <v>ACCT #72-6513 / 11032021</v>
      </c>
    </row>
    <row r="2898" spans="1:8" x14ac:dyDescent="0.25">
      <c r="E2898" t="str">
        <f>""</f>
        <v/>
      </c>
      <c r="F2898" t="str">
        <f>""</f>
        <v/>
      </c>
      <c r="G2898" s="3">
        <v>798.68</v>
      </c>
      <c r="H2898" t="str">
        <f t="shared" si="54"/>
        <v>ACCT #72-6513 / 11032021</v>
      </c>
    </row>
    <row r="2899" spans="1:8" x14ac:dyDescent="0.25">
      <c r="A2899" t="s">
        <v>164</v>
      </c>
      <c r="B2899">
        <v>1433</v>
      </c>
      <c r="C2899" s="3">
        <v>720</v>
      </c>
      <c r="D2899" s="6">
        <v>44522</v>
      </c>
      <c r="E2899" t="str">
        <f>"202111227370"</f>
        <v>202111227370</v>
      </c>
      <c r="F2899" t="str">
        <f>"ACCT #72-6513 / 11032021"</f>
        <v>ACCT #72-6513 / 11032021</v>
      </c>
      <c r="G2899" s="3">
        <v>720</v>
      </c>
      <c r="H2899" t="str">
        <f t="shared" si="54"/>
        <v>ACCT #72-6513 / 11032021</v>
      </c>
    </row>
    <row r="2900" spans="1:8" x14ac:dyDescent="0.25">
      <c r="A2900" t="s">
        <v>641</v>
      </c>
      <c r="B2900">
        <v>1447</v>
      </c>
      <c r="C2900" s="3">
        <v>309</v>
      </c>
      <c r="D2900" s="6">
        <v>44522</v>
      </c>
      <c r="E2900" t="str">
        <f>"202111227385"</f>
        <v>202111227385</v>
      </c>
      <c r="F2900" t="str">
        <f>"ACCT #72-6513 / 11032021"</f>
        <v>ACCT #72-6513 / 11032021</v>
      </c>
      <c r="G2900" s="3">
        <v>309</v>
      </c>
      <c r="H2900" t="str">
        <f t="shared" si="54"/>
        <v>ACCT #72-6513 / 11032021</v>
      </c>
    </row>
    <row r="2901" spans="1:8" x14ac:dyDescent="0.25">
      <c r="A2901" t="s">
        <v>642</v>
      </c>
      <c r="B2901">
        <v>1444</v>
      </c>
      <c r="C2901" s="3">
        <v>3283</v>
      </c>
      <c r="D2901" s="6">
        <v>44522</v>
      </c>
      <c r="E2901" t="str">
        <f>"202111227382"</f>
        <v>202111227382</v>
      </c>
      <c r="F2901" t="str">
        <f>"ACCT #72-6513 / 11032021"</f>
        <v>ACCT #72-6513 / 11032021</v>
      </c>
      <c r="G2901" s="3">
        <v>783</v>
      </c>
      <c r="H2901" t="str">
        <f t="shared" si="54"/>
        <v>ACCT #72-6513 / 11032021</v>
      </c>
    </row>
    <row r="2902" spans="1:8" x14ac:dyDescent="0.25">
      <c r="E2902" t="str">
        <f>""</f>
        <v/>
      </c>
      <c r="F2902" t="str">
        <f>""</f>
        <v/>
      </c>
      <c r="G2902" s="3">
        <v>2500</v>
      </c>
      <c r="H2902" t="str">
        <f t="shared" si="54"/>
        <v>ACCT #72-6513 / 11032021</v>
      </c>
    </row>
    <row r="2903" spans="1:8" x14ac:dyDescent="0.25">
      <c r="A2903" t="s">
        <v>643</v>
      </c>
      <c r="B2903">
        <v>1457</v>
      </c>
      <c r="C2903" s="3">
        <v>266.74</v>
      </c>
      <c r="D2903" s="6">
        <v>44522</v>
      </c>
      <c r="E2903" t="str">
        <f>"202111227394"</f>
        <v>202111227394</v>
      </c>
      <c r="F2903" t="str">
        <f t="shared" ref="F2903:F2916" si="57">"ACCT #72-6513 / 11032021"</f>
        <v>ACCT #72-6513 / 11032021</v>
      </c>
      <c r="G2903" s="3">
        <v>266.74</v>
      </c>
      <c r="H2903" t="str">
        <f t="shared" si="54"/>
        <v>ACCT #72-6513 / 11032021</v>
      </c>
    </row>
    <row r="2904" spans="1:8" x14ac:dyDescent="0.25">
      <c r="A2904" t="s">
        <v>482</v>
      </c>
      <c r="B2904">
        <v>1454</v>
      </c>
      <c r="C2904" s="3">
        <v>42.15</v>
      </c>
      <c r="D2904" s="6">
        <v>44522</v>
      </c>
      <c r="E2904" t="str">
        <f>"202111227391"</f>
        <v>202111227391</v>
      </c>
      <c r="F2904" t="str">
        <f t="shared" si="57"/>
        <v>ACCT #72-6513 / 11032021</v>
      </c>
      <c r="G2904" s="3">
        <v>42.15</v>
      </c>
      <c r="H2904" t="str">
        <f t="shared" si="54"/>
        <v>ACCT #72-6513 / 11032021</v>
      </c>
    </row>
    <row r="2905" spans="1:8" x14ac:dyDescent="0.25">
      <c r="A2905" t="s">
        <v>644</v>
      </c>
      <c r="B2905">
        <v>1438</v>
      </c>
      <c r="C2905" s="3">
        <v>19.989999999999998</v>
      </c>
      <c r="D2905" s="6">
        <v>44522</v>
      </c>
      <c r="E2905" t="str">
        <f>"202111227376"</f>
        <v>202111227376</v>
      </c>
      <c r="F2905" t="str">
        <f t="shared" si="57"/>
        <v>ACCT #72-6513 / 11032021</v>
      </c>
      <c r="G2905" s="3">
        <v>19.989999999999998</v>
      </c>
      <c r="H2905" t="str">
        <f t="shared" si="54"/>
        <v>ACCT #72-6513 / 11032021</v>
      </c>
    </row>
    <row r="2906" spans="1:8" x14ac:dyDescent="0.25">
      <c r="A2906" t="s">
        <v>645</v>
      </c>
      <c r="B2906">
        <v>1435</v>
      </c>
      <c r="C2906" s="3">
        <v>240.38</v>
      </c>
      <c r="D2906" s="6">
        <v>44522</v>
      </c>
      <c r="E2906" t="str">
        <f>"202111227372"</f>
        <v>202111227372</v>
      </c>
      <c r="F2906" t="str">
        <f t="shared" si="57"/>
        <v>ACCT #72-6513 / 11032021</v>
      </c>
      <c r="G2906" s="3">
        <v>240.38</v>
      </c>
      <c r="H2906" t="str">
        <f t="shared" si="54"/>
        <v>ACCT #72-6513 / 11032021</v>
      </c>
    </row>
    <row r="2907" spans="1:8" x14ac:dyDescent="0.25">
      <c r="A2907" t="s">
        <v>646</v>
      </c>
      <c r="B2907">
        <v>1434</v>
      </c>
      <c r="C2907" s="3">
        <v>440.8</v>
      </c>
      <c r="D2907" s="6">
        <v>44522</v>
      </c>
      <c r="E2907" t="str">
        <f>"202111227371"</f>
        <v>202111227371</v>
      </c>
      <c r="F2907" t="str">
        <f t="shared" si="57"/>
        <v>ACCT #72-6513 / 11032021</v>
      </c>
      <c r="G2907" s="3">
        <v>440.8</v>
      </c>
      <c r="H2907" t="str">
        <f t="shared" si="54"/>
        <v>ACCT #72-6513 / 11032021</v>
      </c>
    </row>
    <row r="2908" spans="1:8" x14ac:dyDescent="0.25">
      <c r="A2908" t="s">
        <v>647</v>
      </c>
      <c r="B2908">
        <v>1430</v>
      </c>
      <c r="C2908" s="3">
        <v>100.26</v>
      </c>
      <c r="D2908" s="6">
        <v>44522</v>
      </c>
      <c r="E2908" t="str">
        <f>"202111227367"</f>
        <v>202111227367</v>
      </c>
      <c r="F2908" t="str">
        <f t="shared" si="57"/>
        <v>ACCT #72-6513 / 11032021</v>
      </c>
      <c r="G2908" s="3">
        <v>100.26</v>
      </c>
      <c r="H2908" t="str">
        <f t="shared" si="54"/>
        <v>ACCT #72-6513 / 11032021</v>
      </c>
    </row>
    <row r="2909" spans="1:8" x14ac:dyDescent="0.25">
      <c r="A2909" t="s">
        <v>520</v>
      </c>
      <c r="B2909">
        <v>1436</v>
      </c>
      <c r="C2909" s="3">
        <v>376.02</v>
      </c>
      <c r="D2909" s="6">
        <v>44522</v>
      </c>
      <c r="E2909" t="str">
        <f>"202111227373"</f>
        <v>202111227373</v>
      </c>
      <c r="F2909" t="str">
        <f t="shared" si="57"/>
        <v>ACCT #72-6513 / 11032021</v>
      </c>
      <c r="G2909" s="3">
        <v>376.02</v>
      </c>
      <c r="H2909" t="str">
        <f t="shared" si="54"/>
        <v>ACCT #72-6513 / 11032021</v>
      </c>
    </row>
    <row r="2910" spans="1:8" x14ac:dyDescent="0.25">
      <c r="A2910" t="s">
        <v>648</v>
      </c>
      <c r="B2910">
        <v>1445</v>
      </c>
      <c r="C2910" s="3">
        <v>219</v>
      </c>
      <c r="D2910" s="6">
        <v>44522</v>
      </c>
      <c r="E2910" t="str">
        <f>"202111227383"</f>
        <v>202111227383</v>
      </c>
      <c r="F2910" t="str">
        <f t="shared" si="57"/>
        <v>ACCT #72-6513 / 11032021</v>
      </c>
      <c r="G2910" s="3">
        <v>219</v>
      </c>
      <c r="H2910" t="str">
        <f t="shared" si="54"/>
        <v>ACCT #72-6513 / 11032021</v>
      </c>
    </row>
    <row r="2911" spans="1:8" x14ac:dyDescent="0.25">
      <c r="A2911" t="s">
        <v>570</v>
      </c>
      <c r="B2911">
        <v>1461</v>
      </c>
      <c r="C2911" s="3">
        <v>39.99</v>
      </c>
      <c r="D2911" s="6">
        <v>44522</v>
      </c>
      <c r="E2911" t="str">
        <f>"202111227398"</f>
        <v>202111227398</v>
      </c>
      <c r="F2911" t="str">
        <f t="shared" si="57"/>
        <v>ACCT #72-6513 / 11032021</v>
      </c>
      <c r="G2911" s="3">
        <v>39.99</v>
      </c>
      <c r="H2911" t="str">
        <f t="shared" si="54"/>
        <v>ACCT #72-6513 / 11032021</v>
      </c>
    </row>
    <row r="2912" spans="1:8" x14ac:dyDescent="0.25">
      <c r="A2912" t="s">
        <v>649</v>
      </c>
      <c r="B2912">
        <v>1455</v>
      </c>
      <c r="C2912" s="3">
        <v>362.6</v>
      </c>
      <c r="D2912" s="6">
        <v>44522</v>
      </c>
      <c r="E2912" t="str">
        <f>"202111227392"</f>
        <v>202111227392</v>
      </c>
      <c r="F2912" t="str">
        <f t="shared" si="57"/>
        <v>ACCT #72-6513 / 11032021</v>
      </c>
      <c r="G2912" s="3">
        <v>362.6</v>
      </c>
      <c r="H2912" t="str">
        <f t="shared" si="54"/>
        <v>ACCT #72-6513 / 11032021</v>
      </c>
    </row>
    <row r="2913" spans="1:8" x14ac:dyDescent="0.25">
      <c r="A2913" t="s">
        <v>650</v>
      </c>
      <c r="B2913">
        <v>1456</v>
      </c>
      <c r="C2913" s="3">
        <v>222</v>
      </c>
      <c r="D2913" s="6">
        <v>44522</v>
      </c>
      <c r="E2913" t="str">
        <f>"202111227393"</f>
        <v>202111227393</v>
      </c>
      <c r="F2913" t="str">
        <f t="shared" si="57"/>
        <v>ACCT #72-6513 / 11032021</v>
      </c>
      <c r="G2913" s="3">
        <v>222</v>
      </c>
      <c r="H2913" t="str">
        <f t="shared" si="54"/>
        <v>ACCT #72-6513 / 11032021</v>
      </c>
    </row>
    <row r="2914" spans="1:8" x14ac:dyDescent="0.25">
      <c r="A2914" t="s">
        <v>651</v>
      </c>
      <c r="B2914">
        <v>1439</v>
      </c>
      <c r="C2914" s="3">
        <v>1990</v>
      </c>
      <c r="D2914" s="6">
        <v>44522</v>
      </c>
      <c r="E2914" t="str">
        <f>"202111227377"</f>
        <v>202111227377</v>
      </c>
      <c r="F2914" t="str">
        <f t="shared" si="57"/>
        <v>ACCT #72-6513 / 11032021</v>
      </c>
      <c r="G2914" s="3">
        <v>1990</v>
      </c>
      <c r="H2914" t="str">
        <f t="shared" si="54"/>
        <v>ACCT #72-6513 / 11032021</v>
      </c>
    </row>
    <row r="2915" spans="1:8" x14ac:dyDescent="0.25">
      <c r="A2915" t="s">
        <v>652</v>
      </c>
      <c r="B2915">
        <v>1448</v>
      </c>
      <c r="C2915" s="3">
        <v>45.13</v>
      </c>
      <c r="D2915" s="6">
        <v>44522</v>
      </c>
      <c r="E2915" t="str">
        <f>"202111227386"</f>
        <v>202111227386</v>
      </c>
      <c r="F2915" t="str">
        <f t="shared" si="57"/>
        <v>ACCT #72-6513 / 11032021</v>
      </c>
      <c r="G2915" s="3">
        <v>45.13</v>
      </c>
      <c r="H2915" t="str">
        <f t="shared" si="54"/>
        <v>ACCT #72-6513 / 11032021</v>
      </c>
    </row>
    <row r="2916" spans="1:8" x14ac:dyDescent="0.25">
      <c r="A2916" t="s">
        <v>653</v>
      </c>
      <c r="B2916">
        <v>1462</v>
      </c>
      <c r="C2916" s="3">
        <v>97.45</v>
      </c>
      <c r="D2916" s="6">
        <v>44522</v>
      </c>
      <c r="E2916" t="str">
        <f>"202111227399"</f>
        <v>202111227399</v>
      </c>
      <c r="F2916" t="str">
        <f t="shared" si="57"/>
        <v>ACCT #72-6513 / 11032021</v>
      </c>
      <c r="G2916" s="3">
        <v>22.62</v>
      </c>
      <c r="H2916" t="str">
        <f t="shared" si="54"/>
        <v>ACCT #72-6513 / 11032021</v>
      </c>
    </row>
    <row r="2917" spans="1:8" x14ac:dyDescent="0.25">
      <c r="E2917" t="str">
        <f>""</f>
        <v/>
      </c>
      <c r="F2917" t="str">
        <f>""</f>
        <v/>
      </c>
      <c r="G2917" s="3">
        <v>74.83</v>
      </c>
      <c r="H2917" t="str">
        <f t="shared" si="54"/>
        <v>ACCT #72-6513 / 11032021</v>
      </c>
    </row>
    <row r="2918" spans="1:8" x14ac:dyDescent="0.25">
      <c r="A2918" t="s">
        <v>653</v>
      </c>
      <c r="B2918">
        <v>1464</v>
      </c>
      <c r="C2918" s="3">
        <v>130.9</v>
      </c>
      <c r="D2918" s="6">
        <v>44522</v>
      </c>
      <c r="E2918" t="str">
        <f>"202111227366"</f>
        <v>202111227366</v>
      </c>
      <c r="F2918" t="str">
        <f>"ACCT #72-6513 / 11032021"</f>
        <v>ACCT #72-6513 / 11032021</v>
      </c>
      <c r="G2918" s="3">
        <v>130.9</v>
      </c>
      <c r="H2918" t="str">
        <f t="shared" si="54"/>
        <v>ACCT #72-6513 / 11032021</v>
      </c>
    </row>
    <row r="2919" spans="1:8" ht="15.75" thickBot="1" x14ac:dyDescent="0.3">
      <c r="C2919" s="4">
        <f>SUM(C2:C2918)</f>
        <v>5936965.2100000028</v>
      </c>
      <c r="G2919" s="4">
        <f>SUM(G2:G2918)</f>
        <v>5936965.2099999795</v>
      </c>
    </row>
    <row r="2920" spans="1:8" ht="15.75" thickTop="1" x14ac:dyDescent="0.25"/>
  </sheetData>
  <autoFilter ref="A1:H291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2021-12-09T18:21:28Z</dcterms:created>
  <dcterms:modified xsi:type="dcterms:W3CDTF">2021-12-09T18:58:45Z</dcterms:modified>
</cp:coreProperties>
</file>