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300"/>
  </bookViews>
  <sheets>
    <sheet name="January 2022" sheetId="1" r:id="rId1"/>
  </sheets>
  <definedNames>
    <definedName name="_xlnm._FilterDatabase" localSheetId="0" hidden="1">'January 2022'!$A$1:$H$2530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30" i="1" l="1"/>
  <c r="C2530" i="1"/>
  <c r="G2529" i="1"/>
  <c r="F2529" i="1"/>
  <c r="E2529" i="1"/>
  <c r="G2528" i="1"/>
  <c r="F2528" i="1"/>
  <c r="E2528" i="1"/>
  <c r="G2527" i="1"/>
  <c r="F2527" i="1"/>
  <c r="E2527" i="1"/>
  <c r="G2526" i="1"/>
  <c r="F2526" i="1"/>
  <c r="E2526" i="1"/>
  <c r="G2525" i="1"/>
  <c r="F2525" i="1"/>
  <c r="E2525" i="1"/>
  <c r="G2524" i="1"/>
  <c r="F2524" i="1"/>
  <c r="E2524" i="1"/>
  <c r="G2523" i="1"/>
  <c r="F2523" i="1"/>
  <c r="E2523" i="1"/>
  <c r="G2522" i="1"/>
  <c r="F2522" i="1"/>
  <c r="E2522" i="1"/>
  <c r="G2521" i="1"/>
  <c r="F2521" i="1"/>
  <c r="E2521" i="1"/>
  <c r="G2520" i="1"/>
  <c r="F2520" i="1"/>
  <c r="E2520" i="1"/>
  <c r="G2519" i="1"/>
  <c r="F2519" i="1"/>
  <c r="E2519" i="1"/>
  <c r="G2518" i="1"/>
  <c r="F2518" i="1"/>
  <c r="E2518" i="1"/>
  <c r="G2517" i="1"/>
  <c r="F2517" i="1"/>
  <c r="E2517" i="1"/>
  <c r="G2516" i="1"/>
  <c r="F2516" i="1"/>
  <c r="E2516" i="1"/>
  <c r="G2515" i="1"/>
  <c r="F2515" i="1"/>
  <c r="E2515" i="1"/>
  <c r="G2514" i="1"/>
  <c r="F2514" i="1"/>
  <c r="E2514" i="1"/>
  <c r="G2513" i="1"/>
  <c r="F2513" i="1"/>
  <c r="E2513" i="1"/>
  <c r="G2512" i="1"/>
  <c r="F2512" i="1"/>
  <c r="E2512" i="1"/>
  <c r="G2511" i="1"/>
  <c r="F2511" i="1"/>
  <c r="E2511" i="1"/>
  <c r="G2510" i="1"/>
  <c r="F2510" i="1"/>
  <c r="E2510" i="1"/>
  <c r="G2509" i="1"/>
  <c r="F2509" i="1"/>
  <c r="E2509" i="1"/>
  <c r="G2508" i="1"/>
  <c r="F2508" i="1"/>
  <c r="E2508" i="1"/>
  <c r="G2507" i="1"/>
  <c r="F2507" i="1"/>
  <c r="E2507" i="1"/>
  <c r="G2506" i="1"/>
  <c r="F2506" i="1"/>
  <c r="E2506" i="1"/>
  <c r="G2505" i="1"/>
  <c r="F2505" i="1"/>
  <c r="E2505" i="1"/>
  <c r="G2504" i="1"/>
  <c r="F2504" i="1"/>
  <c r="E2504" i="1"/>
  <c r="G2503" i="1"/>
  <c r="F2503" i="1"/>
  <c r="E2503" i="1"/>
  <c r="G2502" i="1"/>
  <c r="F2502" i="1"/>
  <c r="E2502" i="1"/>
  <c r="G2501" i="1"/>
  <c r="F2501" i="1"/>
  <c r="E2501" i="1"/>
  <c r="G2500" i="1"/>
  <c r="F2500" i="1"/>
  <c r="E2500" i="1"/>
  <c r="G2499" i="1"/>
  <c r="F2499" i="1"/>
  <c r="E2499" i="1"/>
  <c r="G2498" i="1"/>
  <c r="F2498" i="1"/>
  <c r="E2498" i="1"/>
  <c r="G2497" i="1"/>
  <c r="F2497" i="1"/>
  <c r="E2497" i="1"/>
  <c r="G2496" i="1"/>
  <c r="F2496" i="1"/>
  <c r="E2496" i="1"/>
  <c r="G2495" i="1"/>
  <c r="F2495" i="1"/>
  <c r="E2495" i="1"/>
  <c r="G2494" i="1"/>
  <c r="F2494" i="1"/>
  <c r="E2494" i="1"/>
  <c r="G2493" i="1"/>
  <c r="F2493" i="1"/>
  <c r="E2493" i="1"/>
  <c r="G2492" i="1"/>
  <c r="F2492" i="1"/>
  <c r="E2492" i="1"/>
  <c r="G2491" i="1"/>
  <c r="F2491" i="1"/>
  <c r="E2491" i="1"/>
  <c r="G2490" i="1"/>
  <c r="F2490" i="1"/>
  <c r="E2490" i="1"/>
  <c r="G2489" i="1"/>
  <c r="F2489" i="1"/>
  <c r="E2489" i="1"/>
  <c r="G2488" i="1"/>
  <c r="F2488" i="1"/>
  <c r="E2488" i="1"/>
  <c r="G2487" i="1"/>
  <c r="F2487" i="1"/>
  <c r="E2487" i="1"/>
  <c r="G2486" i="1"/>
  <c r="F2486" i="1"/>
  <c r="E2486" i="1"/>
  <c r="G2485" i="1"/>
  <c r="F2485" i="1"/>
  <c r="E2485" i="1"/>
  <c r="G2484" i="1"/>
  <c r="F2484" i="1"/>
  <c r="E2484" i="1"/>
  <c r="G2483" i="1"/>
  <c r="F2483" i="1"/>
  <c r="E2483" i="1"/>
  <c r="G2482" i="1"/>
  <c r="F2482" i="1"/>
  <c r="E2482" i="1"/>
  <c r="G2481" i="1"/>
  <c r="F2481" i="1"/>
  <c r="E2481" i="1"/>
  <c r="G2480" i="1"/>
  <c r="F2480" i="1"/>
  <c r="E2480" i="1"/>
  <c r="G2479" i="1"/>
  <c r="F2479" i="1"/>
  <c r="E2479" i="1"/>
  <c r="G2478" i="1"/>
  <c r="F2478" i="1"/>
  <c r="E2478" i="1"/>
  <c r="G2477" i="1"/>
  <c r="F2477" i="1"/>
  <c r="E2477" i="1"/>
  <c r="G2476" i="1"/>
  <c r="F2476" i="1"/>
  <c r="E2476" i="1"/>
  <c r="G2475" i="1"/>
  <c r="F2475" i="1"/>
  <c r="E2475" i="1"/>
  <c r="G2474" i="1"/>
  <c r="F2474" i="1"/>
  <c r="E2474" i="1"/>
  <c r="G2473" i="1"/>
  <c r="F2473" i="1"/>
  <c r="E2473" i="1"/>
  <c r="G2472" i="1"/>
  <c r="F2472" i="1"/>
  <c r="E2472" i="1"/>
  <c r="G2471" i="1"/>
  <c r="F2471" i="1"/>
  <c r="E2471" i="1"/>
  <c r="G2470" i="1"/>
  <c r="F2470" i="1"/>
  <c r="E2470" i="1"/>
  <c r="G2469" i="1"/>
  <c r="F2469" i="1"/>
  <c r="E2469" i="1"/>
  <c r="G2468" i="1"/>
  <c r="F2468" i="1"/>
  <c r="E2468" i="1"/>
  <c r="G2467" i="1"/>
  <c r="F2467" i="1"/>
  <c r="E2467" i="1"/>
  <c r="G2466" i="1"/>
  <c r="F2466" i="1"/>
  <c r="E2466" i="1"/>
  <c r="G2465" i="1"/>
  <c r="F2465" i="1"/>
  <c r="E2465" i="1"/>
  <c r="G2464" i="1"/>
  <c r="F2464" i="1"/>
  <c r="E2464" i="1"/>
  <c r="G2463" i="1"/>
  <c r="F2463" i="1"/>
  <c r="E2463" i="1"/>
  <c r="G2462" i="1"/>
  <c r="F2462" i="1"/>
  <c r="E2462" i="1"/>
  <c r="G2461" i="1"/>
  <c r="F2461" i="1"/>
  <c r="E2461" i="1"/>
  <c r="G2460" i="1"/>
  <c r="F2460" i="1"/>
  <c r="E2460" i="1"/>
  <c r="G2459" i="1"/>
  <c r="F2459" i="1"/>
  <c r="E2459" i="1"/>
  <c r="G2458" i="1"/>
  <c r="F2458" i="1"/>
  <c r="E2458" i="1"/>
  <c r="G2457" i="1"/>
  <c r="F2457" i="1"/>
  <c r="E2457" i="1"/>
  <c r="G2456" i="1"/>
  <c r="F2456" i="1"/>
  <c r="E2456" i="1"/>
  <c r="G2455" i="1"/>
  <c r="F2455" i="1"/>
  <c r="E2455" i="1"/>
  <c r="G2454" i="1"/>
  <c r="F2454" i="1"/>
  <c r="E2454" i="1"/>
  <c r="G2453" i="1"/>
  <c r="F2453" i="1"/>
  <c r="E2453" i="1"/>
  <c r="G2452" i="1"/>
  <c r="F2452" i="1"/>
  <c r="E2452" i="1"/>
  <c r="G2451" i="1"/>
  <c r="F2451" i="1"/>
  <c r="E2451" i="1"/>
  <c r="G2450" i="1"/>
  <c r="F2450" i="1"/>
  <c r="E2450" i="1"/>
  <c r="G2449" i="1"/>
  <c r="F2449" i="1"/>
  <c r="E2449" i="1"/>
  <c r="G2448" i="1"/>
  <c r="F2448" i="1"/>
  <c r="E2448" i="1"/>
  <c r="G2447" i="1"/>
  <c r="F2447" i="1"/>
  <c r="E2447" i="1"/>
  <c r="G2446" i="1"/>
  <c r="F2446" i="1"/>
  <c r="E2446" i="1"/>
  <c r="G2445" i="1"/>
  <c r="F2445" i="1"/>
  <c r="E2445" i="1"/>
  <c r="G2444" i="1"/>
  <c r="F2444" i="1"/>
  <c r="E2444" i="1"/>
  <c r="G2443" i="1"/>
  <c r="F2443" i="1"/>
  <c r="E2443" i="1"/>
  <c r="G2442" i="1"/>
  <c r="F2442" i="1"/>
  <c r="E2442" i="1"/>
  <c r="G2441" i="1"/>
  <c r="F2441" i="1"/>
  <c r="E2441" i="1"/>
  <c r="G2440" i="1"/>
  <c r="F2440" i="1"/>
  <c r="E2440" i="1"/>
  <c r="G2439" i="1"/>
  <c r="F2439" i="1"/>
  <c r="E2439" i="1"/>
  <c r="G2438" i="1"/>
  <c r="F2438" i="1"/>
  <c r="E2438" i="1"/>
  <c r="G2437" i="1"/>
  <c r="F2437" i="1"/>
  <c r="E2437" i="1"/>
  <c r="G2436" i="1"/>
  <c r="F2436" i="1"/>
  <c r="E2436" i="1"/>
  <c r="G2435" i="1"/>
  <c r="F2435" i="1"/>
  <c r="E2435" i="1"/>
  <c r="G2434" i="1"/>
  <c r="F2434" i="1"/>
  <c r="E2434" i="1"/>
  <c r="G2433" i="1"/>
  <c r="F2433" i="1"/>
  <c r="E2433" i="1"/>
  <c r="G2432" i="1"/>
  <c r="F2432" i="1"/>
  <c r="E2432" i="1"/>
  <c r="G2431" i="1"/>
  <c r="F2431" i="1"/>
  <c r="E2431" i="1"/>
  <c r="G2430" i="1"/>
  <c r="F2430" i="1"/>
  <c r="E2430" i="1"/>
  <c r="G2429" i="1"/>
  <c r="F2429" i="1"/>
  <c r="E2429" i="1"/>
  <c r="G2428" i="1"/>
  <c r="F2428" i="1"/>
  <c r="E2428" i="1"/>
  <c r="G2427" i="1"/>
  <c r="F2427" i="1"/>
  <c r="E2427" i="1"/>
  <c r="G2426" i="1"/>
  <c r="F2426" i="1"/>
  <c r="E2426" i="1"/>
  <c r="G2425" i="1"/>
  <c r="F2425" i="1"/>
  <c r="E2425" i="1"/>
  <c r="G2424" i="1"/>
  <c r="F2424" i="1"/>
  <c r="E2424" i="1"/>
  <c r="G2423" i="1"/>
  <c r="F2423" i="1"/>
  <c r="E2423" i="1"/>
  <c r="G2422" i="1"/>
  <c r="F2422" i="1"/>
  <c r="E2422" i="1"/>
  <c r="G2421" i="1"/>
  <c r="F2421" i="1"/>
  <c r="E2421" i="1"/>
  <c r="G2420" i="1"/>
  <c r="F2420" i="1"/>
  <c r="E2420" i="1"/>
  <c r="G2419" i="1"/>
  <c r="F2419" i="1"/>
  <c r="E2419" i="1"/>
  <c r="G2418" i="1"/>
  <c r="F2418" i="1"/>
  <c r="E2418" i="1"/>
  <c r="G2417" i="1"/>
  <c r="F2417" i="1"/>
  <c r="E2417" i="1"/>
  <c r="G2416" i="1"/>
  <c r="F2416" i="1"/>
  <c r="E2416" i="1"/>
  <c r="G2415" i="1"/>
  <c r="F2415" i="1"/>
  <c r="E2415" i="1"/>
  <c r="G2414" i="1"/>
  <c r="F2414" i="1"/>
  <c r="E2414" i="1"/>
  <c r="G2413" i="1"/>
  <c r="F2413" i="1"/>
  <c r="E2413" i="1"/>
  <c r="G2412" i="1"/>
  <c r="F2412" i="1"/>
  <c r="E2412" i="1"/>
  <c r="G2411" i="1"/>
  <c r="F2411" i="1"/>
  <c r="E2411" i="1"/>
  <c r="G2410" i="1"/>
  <c r="F2410" i="1"/>
  <c r="E2410" i="1"/>
  <c r="G2409" i="1"/>
  <c r="F2409" i="1"/>
  <c r="E2409" i="1"/>
  <c r="G2408" i="1"/>
  <c r="F2408" i="1"/>
  <c r="E2408" i="1"/>
  <c r="G2407" i="1"/>
  <c r="F2407" i="1"/>
  <c r="E2407" i="1"/>
  <c r="G2406" i="1"/>
  <c r="F2406" i="1"/>
  <c r="E2406" i="1"/>
  <c r="G2405" i="1"/>
  <c r="F2405" i="1"/>
  <c r="E2405" i="1"/>
  <c r="G2404" i="1"/>
  <c r="F2404" i="1"/>
  <c r="E2404" i="1"/>
  <c r="G2403" i="1"/>
  <c r="F2403" i="1"/>
  <c r="E2403" i="1"/>
  <c r="G2402" i="1"/>
  <c r="F2402" i="1"/>
  <c r="E2402" i="1"/>
  <c r="G2401" i="1"/>
  <c r="F2401" i="1"/>
  <c r="E2401" i="1"/>
  <c r="G2400" i="1"/>
  <c r="F2400" i="1"/>
  <c r="E2400" i="1"/>
  <c r="G2399" i="1"/>
  <c r="F2399" i="1"/>
  <c r="E2399" i="1"/>
  <c r="G2398" i="1"/>
  <c r="F2398" i="1"/>
  <c r="E2398" i="1"/>
  <c r="G2397" i="1"/>
  <c r="F2397" i="1"/>
  <c r="E2397" i="1"/>
  <c r="G2396" i="1"/>
  <c r="F2396" i="1"/>
  <c r="E2396" i="1"/>
  <c r="G2395" i="1"/>
  <c r="F2395" i="1"/>
  <c r="E2395" i="1"/>
  <c r="G2394" i="1"/>
  <c r="F2394" i="1"/>
  <c r="E2394" i="1"/>
  <c r="G2393" i="1"/>
  <c r="F2393" i="1"/>
  <c r="E2393" i="1"/>
  <c r="G2392" i="1"/>
  <c r="F2392" i="1"/>
  <c r="E2392" i="1"/>
  <c r="G2391" i="1"/>
  <c r="F2391" i="1"/>
  <c r="E2391" i="1"/>
  <c r="G2390" i="1"/>
  <c r="F2390" i="1"/>
  <c r="E2390" i="1"/>
  <c r="G2389" i="1"/>
  <c r="F2389" i="1"/>
  <c r="E2389" i="1"/>
  <c r="G2388" i="1"/>
  <c r="F2388" i="1"/>
  <c r="E2388" i="1"/>
  <c r="G2387" i="1"/>
  <c r="F2387" i="1"/>
  <c r="E2387" i="1"/>
  <c r="G2386" i="1"/>
  <c r="F2386" i="1"/>
  <c r="E2386" i="1"/>
  <c r="G2385" i="1"/>
  <c r="F2385" i="1"/>
  <c r="E2385" i="1"/>
  <c r="G2384" i="1"/>
  <c r="F2384" i="1"/>
  <c r="E2384" i="1"/>
  <c r="G2383" i="1"/>
  <c r="F2383" i="1"/>
  <c r="E2383" i="1"/>
  <c r="G2382" i="1"/>
  <c r="F2382" i="1"/>
  <c r="E2382" i="1"/>
  <c r="G2381" i="1"/>
  <c r="F2381" i="1"/>
  <c r="E2381" i="1"/>
  <c r="G2380" i="1"/>
  <c r="F2380" i="1"/>
  <c r="E2380" i="1"/>
  <c r="G2379" i="1"/>
  <c r="F2379" i="1"/>
  <c r="E2379" i="1"/>
  <c r="G2378" i="1"/>
  <c r="F2378" i="1"/>
  <c r="E2378" i="1"/>
  <c r="G2377" i="1"/>
  <c r="F2377" i="1"/>
  <c r="E2377" i="1"/>
  <c r="G2376" i="1"/>
  <c r="F2376" i="1"/>
  <c r="E2376" i="1"/>
  <c r="G2375" i="1"/>
  <c r="F2375" i="1"/>
  <c r="E2375" i="1"/>
  <c r="G2374" i="1"/>
  <c r="F2374" i="1"/>
  <c r="E2374" i="1"/>
  <c r="G2373" i="1"/>
  <c r="F2373" i="1"/>
  <c r="E2373" i="1"/>
  <c r="G2372" i="1"/>
  <c r="F2372" i="1"/>
  <c r="E2372" i="1"/>
  <c r="G2371" i="1"/>
  <c r="F2371" i="1"/>
  <c r="E2371" i="1"/>
  <c r="G2370" i="1"/>
  <c r="F2370" i="1"/>
  <c r="E2370" i="1"/>
  <c r="G2369" i="1"/>
  <c r="F2369" i="1"/>
  <c r="E2369" i="1"/>
  <c r="G2368" i="1"/>
  <c r="F2368" i="1"/>
  <c r="E2368" i="1"/>
  <c r="G2367" i="1"/>
  <c r="F2367" i="1"/>
  <c r="E2367" i="1"/>
  <c r="G2366" i="1"/>
  <c r="F2366" i="1"/>
  <c r="E2366" i="1"/>
  <c r="G2365" i="1"/>
  <c r="F2365" i="1"/>
  <c r="E2365" i="1"/>
  <c r="G2364" i="1"/>
  <c r="F2364" i="1"/>
  <c r="E2364" i="1"/>
  <c r="G2363" i="1"/>
  <c r="F2363" i="1"/>
  <c r="E2363" i="1"/>
  <c r="G2362" i="1"/>
  <c r="F2362" i="1"/>
  <c r="E2362" i="1"/>
  <c r="G2361" i="1"/>
  <c r="F2361" i="1"/>
  <c r="E2361" i="1"/>
  <c r="G2360" i="1"/>
  <c r="F2360" i="1"/>
  <c r="E2360" i="1"/>
  <c r="G2359" i="1"/>
  <c r="F2359" i="1"/>
  <c r="E2359" i="1"/>
  <c r="G2358" i="1"/>
  <c r="F2358" i="1"/>
  <c r="E2358" i="1"/>
  <c r="G2357" i="1"/>
  <c r="F2357" i="1"/>
  <c r="E2357" i="1"/>
  <c r="G2356" i="1"/>
  <c r="F2356" i="1"/>
  <c r="E2356" i="1"/>
  <c r="G2355" i="1"/>
  <c r="F2355" i="1"/>
  <c r="E2355" i="1"/>
  <c r="G2354" i="1"/>
  <c r="F2354" i="1"/>
  <c r="E2354" i="1"/>
  <c r="G2353" i="1"/>
  <c r="F2353" i="1"/>
  <c r="E2353" i="1"/>
  <c r="G2352" i="1"/>
  <c r="F2352" i="1"/>
  <c r="E2352" i="1"/>
  <c r="G2351" i="1"/>
  <c r="F2351" i="1"/>
  <c r="E2351" i="1"/>
  <c r="G2350" i="1"/>
  <c r="F2350" i="1"/>
  <c r="E2350" i="1"/>
  <c r="G2349" i="1"/>
  <c r="F2349" i="1"/>
  <c r="E2349" i="1"/>
  <c r="G2348" i="1"/>
  <c r="F2348" i="1"/>
  <c r="E2348" i="1"/>
  <c r="G2347" i="1"/>
  <c r="F2347" i="1"/>
  <c r="E2347" i="1"/>
  <c r="G2346" i="1"/>
  <c r="F2346" i="1"/>
  <c r="E2346" i="1"/>
  <c r="G2345" i="1"/>
  <c r="F2345" i="1"/>
  <c r="E2345" i="1"/>
  <c r="G2344" i="1"/>
  <c r="F2344" i="1"/>
  <c r="E2344" i="1"/>
  <c r="G2343" i="1"/>
  <c r="F2343" i="1"/>
  <c r="E2343" i="1"/>
  <c r="G2342" i="1"/>
  <c r="F2342" i="1"/>
  <c r="E2342" i="1"/>
  <c r="G2341" i="1"/>
  <c r="F2341" i="1"/>
  <c r="E2341" i="1"/>
  <c r="G2340" i="1"/>
  <c r="F2340" i="1"/>
  <c r="E2340" i="1"/>
  <c r="G2339" i="1"/>
  <c r="F2339" i="1"/>
  <c r="E2339" i="1"/>
  <c r="G2338" i="1"/>
  <c r="F2338" i="1"/>
  <c r="E2338" i="1"/>
  <c r="G2337" i="1"/>
  <c r="F2337" i="1"/>
  <c r="E2337" i="1"/>
  <c r="G2336" i="1"/>
  <c r="F2336" i="1"/>
  <c r="E2336" i="1"/>
  <c r="G2335" i="1"/>
  <c r="F2335" i="1"/>
  <c r="E2335" i="1"/>
  <c r="G2334" i="1"/>
  <c r="F2334" i="1"/>
  <c r="E2334" i="1"/>
  <c r="G2333" i="1"/>
  <c r="F2333" i="1"/>
  <c r="E2333" i="1"/>
  <c r="G2332" i="1"/>
  <c r="F2332" i="1"/>
  <c r="E2332" i="1"/>
  <c r="G2331" i="1"/>
  <c r="F2331" i="1"/>
  <c r="E2331" i="1"/>
  <c r="G2330" i="1"/>
  <c r="F2330" i="1"/>
  <c r="E2330" i="1"/>
  <c r="G2329" i="1"/>
  <c r="F2329" i="1"/>
  <c r="E2329" i="1"/>
  <c r="G2328" i="1"/>
  <c r="F2328" i="1"/>
  <c r="E2328" i="1"/>
  <c r="G2327" i="1"/>
  <c r="F2327" i="1"/>
  <c r="E2327" i="1"/>
  <c r="G2326" i="1"/>
  <c r="F2326" i="1"/>
  <c r="E2326" i="1"/>
  <c r="G2325" i="1"/>
  <c r="F2325" i="1"/>
  <c r="E2325" i="1"/>
  <c r="G2324" i="1"/>
  <c r="F2324" i="1"/>
  <c r="E2324" i="1"/>
  <c r="G2323" i="1"/>
  <c r="F2323" i="1"/>
  <c r="E2323" i="1"/>
  <c r="G2322" i="1"/>
  <c r="F2322" i="1"/>
  <c r="E2322" i="1"/>
  <c r="G2321" i="1"/>
  <c r="F2321" i="1"/>
  <c r="E2321" i="1"/>
  <c r="G2320" i="1"/>
  <c r="F2320" i="1"/>
  <c r="E2320" i="1"/>
  <c r="G2319" i="1"/>
  <c r="F2319" i="1"/>
  <c r="E2319" i="1"/>
  <c r="G2318" i="1"/>
  <c r="F2318" i="1"/>
  <c r="E2318" i="1"/>
  <c r="G2317" i="1"/>
  <c r="F2317" i="1"/>
  <c r="E2317" i="1"/>
  <c r="G2316" i="1"/>
  <c r="F2316" i="1"/>
  <c r="E2316" i="1"/>
  <c r="G2315" i="1"/>
  <c r="F2315" i="1"/>
  <c r="E2315" i="1"/>
  <c r="G2314" i="1"/>
  <c r="F2314" i="1"/>
  <c r="E2314" i="1"/>
  <c r="G2313" i="1"/>
  <c r="F2313" i="1"/>
  <c r="E2313" i="1"/>
  <c r="G2312" i="1"/>
  <c r="F2312" i="1"/>
  <c r="E2312" i="1"/>
  <c r="G2311" i="1"/>
  <c r="F2311" i="1"/>
  <c r="E2311" i="1"/>
  <c r="G2310" i="1"/>
  <c r="F2310" i="1"/>
  <c r="E2310" i="1"/>
  <c r="G2309" i="1"/>
  <c r="F2309" i="1"/>
  <c r="E2309" i="1"/>
  <c r="G2308" i="1"/>
  <c r="F2308" i="1"/>
  <c r="E2308" i="1"/>
  <c r="G2307" i="1"/>
  <c r="F2307" i="1"/>
  <c r="E2307" i="1"/>
  <c r="G2306" i="1"/>
  <c r="F2306" i="1"/>
  <c r="E2306" i="1"/>
  <c r="G2305" i="1"/>
  <c r="F2305" i="1"/>
  <c r="E2305" i="1"/>
  <c r="G2304" i="1"/>
  <c r="F2304" i="1"/>
  <c r="E2304" i="1"/>
  <c r="G2303" i="1"/>
  <c r="F2303" i="1"/>
  <c r="E2303" i="1"/>
  <c r="G2302" i="1"/>
  <c r="F2302" i="1"/>
  <c r="E2302" i="1"/>
  <c r="G2301" i="1"/>
  <c r="F2301" i="1"/>
  <c r="E2301" i="1"/>
  <c r="G2300" i="1"/>
  <c r="F2300" i="1"/>
  <c r="E2300" i="1"/>
  <c r="G2299" i="1"/>
  <c r="F2299" i="1"/>
  <c r="E2299" i="1"/>
  <c r="G2298" i="1"/>
  <c r="F2298" i="1"/>
  <c r="E2298" i="1"/>
  <c r="G2297" i="1"/>
  <c r="F2297" i="1"/>
  <c r="E2297" i="1"/>
  <c r="G2296" i="1"/>
  <c r="F2296" i="1"/>
  <c r="E2296" i="1"/>
  <c r="G2295" i="1"/>
  <c r="F2295" i="1"/>
  <c r="E2295" i="1"/>
  <c r="G2294" i="1"/>
  <c r="F2294" i="1"/>
  <c r="E2294" i="1"/>
  <c r="G2293" i="1"/>
  <c r="F2293" i="1"/>
  <c r="E2293" i="1"/>
  <c r="G2292" i="1"/>
  <c r="F2292" i="1"/>
  <c r="E2292" i="1"/>
  <c r="G2291" i="1"/>
  <c r="F2291" i="1"/>
  <c r="E2291" i="1"/>
  <c r="G2290" i="1"/>
  <c r="F2290" i="1"/>
  <c r="E2290" i="1"/>
  <c r="G2289" i="1"/>
  <c r="F2289" i="1"/>
  <c r="E2289" i="1"/>
  <c r="G2288" i="1"/>
  <c r="F2288" i="1"/>
  <c r="E2288" i="1"/>
  <c r="G2287" i="1"/>
  <c r="F2287" i="1"/>
  <c r="E2287" i="1"/>
  <c r="G2286" i="1"/>
  <c r="F2286" i="1"/>
  <c r="E2286" i="1"/>
  <c r="G2285" i="1"/>
  <c r="F2285" i="1"/>
  <c r="E2285" i="1"/>
  <c r="G2284" i="1"/>
  <c r="F2284" i="1"/>
  <c r="E2284" i="1"/>
  <c r="G2283" i="1"/>
  <c r="F2283" i="1"/>
  <c r="E2283" i="1"/>
  <c r="G2282" i="1"/>
  <c r="F2282" i="1"/>
  <c r="E2282" i="1"/>
  <c r="G2281" i="1"/>
  <c r="F2281" i="1"/>
  <c r="E2281" i="1"/>
  <c r="G2280" i="1"/>
  <c r="F2280" i="1"/>
  <c r="E2280" i="1"/>
  <c r="G2279" i="1"/>
  <c r="F2279" i="1"/>
  <c r="E2279" i="1"/>
  <c r="G2278" i="1"/>
  <c r="F2278" i="1"/>
  <c r="E2278" i="1"/>
  <c r="G2277" i="1"/>
  <c r="F2277" i="1"/>
  <c r="E2277" i="1"/>
  <c r="G2276" i="1"/>
  <c r="F2276" i="1"/>
  <c r="E2276" i="1"/>
  <c r="G2275" i="1"/>
  <c r="F2275" i="1"/>
  <c r="E2275" i="1"/>
  <c r="G2274" i="1"/>
  <c r="F2274" i="1"/>
  <c r="E2274" i="1"/>
  <c r="G2273" i="1"/>
  <c r="F2273" i="1"/>
  <c r="E2273" i="1"/>
  <c r="G2272" i="1"/>
  <c r="F2272" i="1"/>
  <c r="E2272" i="1"/>
  <c r="G2271" i="1"/>
  <c r="F2271" i="1"/>
  <c r="E2271" i="1"/>
  <c r="G2270" i="1"/>
  <c r="F2270" i="1"/>
  <c r="E2270" i="1"/>
  <c r="G2269" i="1"/>
  <c r="F2269" i="1"/>
  <c r="E2269" i="1"/>
  <c r="G2268" i="1"/>
  <c r="F2268" i="1"/>
  <c r="E2268" i="1"/>
  <c r="G2267" i="1"/>
  <c r="F2267" i="1"/>
  <c r="E2267" i="1"/>
  <c r="G2266" i="1"/>
  <c r="F2266" i="1"/>
  <c r="E2266" i="1"/>
  <c r="G2265" i="1"/>
  <c r="F2265" i="1"/>
  <c r="E2265" i="1"/>
  <c r="G2264" i="1"/>
  <c r="F2264" i="1"/>
  <c r="E2264" i="1"/>
  <c r="G2263" i="1"/>
  <c r="F2263" i="1"/>
  <c r="E2263" i="1"/>
  <c r="G2262" i="1"/>
  <c r="F2262" i="1"/>
  <c r="E2262" i="1"/>
  <c r="G2261" i="1"/>
  <c r="F2261" i="1"/>
  <c r="E2261" i="1"/>
  <c r="G2260" i="1"/>
  <c r="F2260" i="1"/>
  <c r="E2260" i="1"/>
  <c r="G2259" i="1"/>
  <c r="F2259" i="1"/>
  <c r="E2259" i="1"/>
  <c r="G2258" i="1"/>
  <c r="F2258" i="1"/>
  <c r="E2258" i="1"/>
  <c r="G2257" i="1"/>
  <c r="F2257" i="1"/>
  <c r="E2257" i="1"/>
  <c r="G2256" i="1"/>
  <c r="F2256" i="1"/>
  <c r="E2256" i="1"/>
  <c r="G2255" i="1"/>
  <c r="F2255" i="1"/>
  <c r="E2255" i="1"/>
  <c r="G2254" i="1"/>
  <c r="F2254" i="1"/>
  <c r="E2254" i="1"/>
  <c r="G2253" i="1"/>
  <c r="F2253" i="1"/>
  <c r="E2253" i="1"/>
  <c r="G2252" i="1"/>
  <c r="F2252" i="1"/>
  <c r="E2252" i="1"/>
  <c r="G2251" i="1"/>
  <c r="F2251" i="1"/>
  <c r="E2251" i="1"/>
  <c r="G2250" i="1"/>
  <c r="F2250" i="1"/>
  <c r="E2250" i="1"/>
  <c r="G2249" i="1"/>
  <c r="F2249" i="1"/>
  <c r="E2249" i="1"/>
  <c r="G2248" i="1"/>
  <c r="F2248" i="1"/>
  <c r="E2248" i="1"/>
  <c r="G2247" i="1"/>
  <c r="F2247" i="1"/>
  <c r="E2247" i="1"/>
  <c r="G2246" i="1"/>
  <c r="F2246" i="1"/>
  <c r="E2246" i="1"/>
  <c r="G2245" i="1"/>
  <c r="F2245" i="1"/>
  <c r="E2245" i="1"/>
  <c r="G2244" i="1"/>
  <c r="F2244" i="1"/>
  <c r="E2244" i="1"/>
  <c r="G2243" i="1"/>
  <c r="F2243" i="1"/>
  <c r="E2243" i="1"/>
  <c r="G2242" i="1"/>
  <c r="F2242" i="1"/>
  <c r="E2242" i="1"/>
  <c r="G2241" i="1"/>
  <c r="F2241" i="1"/>
  <c r="E2241" i="1"/>
  <c r="G2240" i="1"/>
  <c r="F2240" i="1"/>
  <c r="E2240" i="1"/>
  <c r="G2239" i="1"/>
  <c r="F2239" i="1"/>
  <c r="E2239" i="1"/>
  <c r="G2238" i="1"/>
  <c r="F2238" i="1"/>
  <c r="E2238" i="1"/>
  <c r="G2237" i="1"/>
  <c r="F2237" i="1"/>
  <c r="E2237" i="1"/>
  <c r="G2236" i="1"/>
  <c r="F2236" i="1"/>
  <c r="E2236" i="1"/>
  <c r="G2235" i="1"/>
  <c r="F2235" i="1"/>
  <c r="E2235" i="1"/>
  <c r="G2234" i="1"/>
  <c r="F2234" i="1"/>
  <c r="E2234" i="1"/>
  <c r="G2233" i="1"/>
  <c r="F2233" i="1"/>
  <c r="E2233" i="1"/>
  <c r="G2232" i="1"/>
  <c r="F2232" i="1"/>
  <c r="E2232" i="1"/>
  <c r="G2231" i="1"/>
  <c r="F2231" i="1"/>
  <c r="E2231" i="1"/>
  <c r="G2230" i="1"/>
  <c r="F2230" i="1"/>
  <c r="E2230" i="1"/>
  <c r="G2229" i="1"/>
  <c r="F2229" i="1"/>
  <c r="E2229" i="1"/>
  <c r="G2228" i="1"/>
  <c r="F2228" i="1"/>
  <c r="E2228" i="1"/>
  <c r="G2227" i="1"/>
  <c r="F2227" i="1"/>
  <c r="E2227" i="1"/>
  <c r="G2226" i="1"/>
  <c r="F2226" i="1"/>
  <c r="E2226" i="1"/>
  <c r="G2225" i="1"/>
  <c r="F2225" i="1"/>
  <c r="E2225" i="1"/>
  <c r="G2224" i="1"/>
  <c r="F2224" i="1"/>
  <c r="E2224" i="1"/>
  <c r="G2223" i="1"/>
  <c r="F2223" i="1"/>
  <c r="E2223" i="1"/>
  <c r="G2222" i="1"/>
  <c r="F2222" i="1"/>
  <c r="E2222" i="1"/>
  <c r="G2221" i="1"/>
  <c r="F2221" i="1"/>
  <c r="E2221" i="1"/>
  <c r="G2220" i="1"/>
  <c r="F2220" i="1"/>
  <c r="E2220" i="1"/>
  <c r="G2219" i="1"/>
  <c r="F2219" i="1"/>
  <c r="E2219" i="1"/>
  <c r="G2218" i="1"/>
  <c r="F2218" i="1"/>
  <c r="E2218" i="1"/>
  <c r="G2217" i="1"/>
  <c r="F2217" i="1"/>
  <c r="E2217" i="1"/>
  <c r="G2216" i="1"/>
  <c r="F2216" i="1"/>
  <c r="E2216" i="1"/>
  <c r="G2215" i="1"/>
  <c r="F2215" i="1"/>
  <c r="E2215" i="1"/>
  <c r="G2214" i="1"/>
  <c r="F2214" i="1"/>
  <c r="E2214" i="1"/>
  <c r="G2213" i="1"/>
  <c r="F2213" i="1"/>
  <c r="E2213" i="1"/>
  <c r="G2212" i="1"/>
  <c r="F2212" i="1"/>
  <c r="E2212" i="1"/>
  <c r="G2211" i="1"/>
  <c r="F2211" i="1"/>
  <c r="E2211" i="1"/>
  <c r="G2210" i="1"/>
  <c r="F2210" i="1"/>
  <c r="E2210" i="1"/>
  <c r="G2209" i="1"/>
  <c r="F2209" i="1"/>
  <c r="E2209" i="1"/>
  <c r="G2208" i="1"/>
  <c r="F2208" i="1"/>
  <c r="E2208" i="1"/>
  <c r="G2207" i="1"/>
  <c r="F2207" i="1"/>
  <c r="E2207" i="1"/>
  <c r="G2206" i="1"/>
  <c r="F2206" i="1"/>
  <c r="E2206" i="1"/>
  <c r="G2205" i="1"/>
  <c r="F2205" i="1"/>
  <c r="E2205" i="1"/>
  <c r="G2204" i="1"/>
  <c r="F2204" i="1"/>
  <c r="E2204" i="1"/>
  <c r="G2203" i="1"/>
  <c r="F2203" i="1"/>
  <c r="E2203" i="1"/>
  <c r="G2202" i="1"/>
  <c r="F2202" i="1"/>
  <c r="E2202" i="1"/>
  <c r="G2201" i="1"/>
  <c r="F2201" i="1"/>
  <c r="E2201" i="1"/>
  <c r="G2200" i="1"/>
  <c r="F2200" i="1"/>
  <c r="E2200" i="1"/>
  <c r="G2199" i="1"/>
  <c r="F2199" i="1"/>
  <c r="E2199" i="1"/>
  <c r="G2198" i="1"/>
  <c r="F2198" i="1"/>
  <c r="E2198" i="1"/>
  <c r="G2197" i="1"/>
  <c r="F2197" i="1"/>
  <c r="E2197" i="1"/>
  <c r="G2196" i="1"/>
  <c r="F2196" i="1"/>
  <c r="E2196" i="1"/>
  <c r="G2195" i="1"/>
  <c r="F2195" i="1"/>
  <c r="E2195" i="1"/>
  <c r="G2194" i="1"/>
  <c r="F2194" i="1"/>
  <c r="E2194" i="1"/>
  <c r="G2193" i="1"/>
  <c r="F2193" i="1"/>
  <c r="E2193" i="1"/>
  <c r="G2192" i="1"/>
  <c r="F2192" i="1"/>
  <c r="E2192" i="1"/>
  <c r="G2191" i="1"/>
  <c r="F2191" i="1"/>
  <c r="E2191" i="1"/>
  <c r="G2190" i="1"/>
  <c r="F2190" i="1"/>
  <c r="E2190" i="1"/>
  <c r="G2189" i="1"/>
  <c r="F2189" i="1"/>
  <c r="E2189" i="1"/>
  <c r="G2188" i="1"/>
  <c r="F2188" i="1"/>
  <c r="E2188" i="1"/>
  <c r="G2187" i="1"/>
  <c r="F2187" i="1"/>
  <c r="E2187" i="1"/>
  <c r="G2186" i="1"/>
  <c r="F2186" i="1"/>
  <c r="E2186" i="1"/>
  <c r="G2185" i="1"/>
  <c r="F2185" i="1"/>
  <c r="E2185" i="1"/>
  <c r="G2184" i="1"/>
  <c r="F2184" i="1"/>
  <c r="E2184" i="1"/>
  <c r="G2183" i="1"/>
  <c r="F2183" i="1"/>
  <c r="E2183" i="1"/>
  <c r="G2182" i="1"/>
  <c r="F2182" i="1"/>
  <c r="E2182" i="1"/>
  <c r="G2181" i="1"/>
  <c r="F2181" i="1"/>
  <c r="E2181" i="1"/>
  <c r="G2180" i="1"/>
  <c r="F2180" i="1"/>
  <c r="E2180" i="1"/>
  <c r="G2179" i="1"/>
  <c r="F2179" i="1"/>
  <c r="E2179" i="1"/>
  <c r="G2178" i="1"/>
  <c r="F2178" i="1"/>
  <c r="E2178" i="1"/>
  <c r="G2177" i="1"/>
  <c r="F2177" i="1"/>
  <c r="E2177" i="1"/>
  <c r="G2176" i="1"/>
  <c r="F2176" i="1"/>
  <c r="E2176" i="1"/>
  <c r="G2175" i="1"/>
  <c r="F2175" i="1"/>
  <c r="E2175" i="1"/>
  <c r="G2174" i="1"/>
  <c r="F2174" i="1"/>
  <c r="E2174" i="1"/>
  <c r="G2173" i="1"/>
  <c r="F2173" i="1"/>
  <c r="E2173" i="1"/>
  <c r="G2172" i="1"/>
  <c r="F2172" i="1"/>
  <c r="E2172" i="1"/>
  <c r="G2171" i="1"/>
  <c r="F2171" i="1"/>
  <c r="E2171" i="1"/>
  <c r="G2170" i="1"/>
  <c r="F2170" i="1"/>
  <c r="E2170" i="1"/>
  <c r="G2169" i="1"/>
  <c r="F2169" i="1"/>
  <c r="E2169" i="1"/>
  <c r="G2168" i="1"/>
  <c r="F2168" i="1"/>
  <c r="E2168" i="1"/>
  <c r="G2167" i="1"/>
  <c r="F2167" i="1"/>
  <c r="E2167" i="1"/>
  <c r="G2166" i="1"/>
  <c r="F2166" i="1"/>
  <c r="E2166" i="1"/>
  <c r="G2165" i="1"/>
  <c r="F2165" i="1"/>
  <c r="E2165" i="1"/>
  <c r="G2164" i="1"/>
  <c r="F2164" i="1"/>
  <c r="E2164" i="1"/>
  <c r="G2163" i="1"/>
  <c r="F2163" i="1"/>
  <c r="E2163" i="1"/>
  <c r="G2162" i="1"/>
  <c r="F2162" i="1"/>
  <c r="E2162" i="1"/>
  <c r="G2161" i="1"/>
  <c r="F2161" i="1"/>
  <c r="E2161" i="1"/>
  <c r="G2160" i="1"/>
  <c r="F2160" i="1"/>
  <c r="E2160" i="1"/>
  <c r="G2159" i="1"/>
  <c r="F2159" i="1"/>
  <c r="E2159" i="1"/>
  <c r="G2158" i="1"/>
  <c r="F2158" i="1"/>
  <c r="E2158" i="1"/>
  <c r="G2157" i="1"/>
  <c r="F2157" i="1"/>
  <c r="E2157" i="1"/>
  <c r="G2156" i="1"/>
  <c r="F2156" i="1"/>
  <c r="E2156" i="1"/>
  <c r="G2155" i="1"/>
  <c r="F2155" i="1"/>
  <c r="E2155" i="1"/>
  <c r="G2154" i="1"/>
  <c r="F2154" i="1"/>
  <c r="E2154" i="1"/>
  <c r="G2153" i="1"/>
  <c r="F2153" i="1"/>
  <c r="E2153" i="1"/>
  <c r="G2152" i="1"/>
  <c r="F2152" i="1"/>
  <c r="E2152" i="1"/>
  <c r="G2151" i="1"/>
  <c r="F2151" i="1"/>
  <c r="E2151" i="1"/>
  <c r="G2150" i="1"/>
  <c r="F2150" i="1"/>
  <c r="E2150" i="1"/>
  <c r="G2149" i="1"/>
  <c r="F2149" i="1"/>
  <c r="E2149" i="1"/>
  <c r="G2148" i="1"/>
  <c r="F2148" i="1"/>
  <c r="E2148" i="1"/>
  <c r="G2147" i="1"/>
  <c r="F2147" i="1"/>
  <c r="E2147" i="1"/>
  <c r="G2146" i="1"/>
  <c r="F2146" i="1"/>
  <c r="E2146" i="1"/>
  <c r="G2145" i="1"/>
  <c r="F2145" i="1"/>
  <c r="E2145" i="1"/>
  <c r="G2144" i="1"/>
  <c r="F2144" i="1"/>
  <c r="E2144" i="1"/>
  <c r="G2143" i="1"/>
  <c r="F2143" i="1"/>
  <c r="E2143" i="1"/>
  <c r="G2142" i="1"/>
  <c r="F2142" i="1"/>
  <c r="E2142" i="1"/>
  <c r="G2141" i="1"/>
  <c r="F2141" i="1"/>
  <c r="E2141" i="1"/>
  <c r="G2140" i="1"/>
  <c r="F2140" i="1"/>
  <c r="E2140" i="1"/>
  <c r="G2139" i="1"/>
  <c r="F2139" i="1"/>
  <c r="E2139" i="1"/>
  <c r="G2138" i="1"/>
  <c r="F2138" i="1"/>
  <c r="E2138" i="1"/>
  <c r="G2137" i="1"/>
  <c r="F2137" i="1"/>
  <c r="E2137" i="1"/>
  <c r="G2136" i="1"/>
  <c r="F2136" i="1"/>
  <c r="E2136" i="1"/>
  <c r="G2135" i="1"/>
  <c r="F2135" i="1"/>
  <c r="E2135" i="1"/>
  <c r="G2134" i="1"/>
  <c r="F2134" i="1"/>
  <c r="E2134" i="1"/>
  <c r="G2133" i="1"/>
  <c r="F2133" i="1"/>
  <c r="E2133" i="1"/>
  <c r="G2132" i="1"/>
  <c r="F2132" i="1"/>
  <c r="E2132" i="1"/>
  <c r="G2131" i="1"/>
  <c r="F2131" i="1"/>
  <c r="E2131" i="1"/>
  <c r="G2130" i="1"/>
  <c r="F2130" i="1"/>
  <c r="E2130" i="1"/>
  <c r="G2129" i="1"/>
  <c r="F2129" i="1"/>
  <c r="E2129" i="1"/>
  <c r="G2128" i="1"/>
  <c r="F2128" i="1"/>
  <c r="E2128" i="1"/>
  <c r="G2127" i="1"/>
  <c r="F2127" i="1"/>
  <c r="E2127" i="1"/>
  <c r="G2126" i="1"/>
  <c r="F2126" i="1"/>
  <c r="E2126" i="1"/>
  <c r="G2125" i="1"/>
  <c r="F2125" i="1"/>
  <c r="E2125" i="1"/>
  <c r="G2124" i="1"/>
  <c r="F2124" i="1"/>
  <c r="E2124" i="1"/>
  <c r="G2123" i="1"/>
  <c r="F2123" i="1"/>
  <c r="E2123" i="1"/>
  <c r="G2122" i="1"/>
  <c r="F2122" i="1"/>
  <c r="E2122" i="1"/>
  <c r="G2121" i="1"/>
  <c r="F2121" i="1"/>
  <c r="E2121" i="1"/>
  <c r="G2120" i="1"/>
  <c r="F2120" i="1"/>
  <c r="E2120" i="1"/>
  <c r="G2119" i="1"/>
  <c r="F2119" i="1"/>
  <c r="E2119" i="1"/>
  <c r="G2118" i="1"/>
  <c r="F2118" i="1"/>
  <c r="E2118" i="1"/>
  <c r="G2117" i="1"/>
  <c r="F2117" i="1"/>
  <c r="E2117" i="1"/>
  <c r="G2116" i="1"/>
  <c r="F2116" i="1"/>
  <c r="E2116" i="1"/>
  <c r="G2115" i="1"/>
  <c r="F2115" i="1"/>
  <c r="E2115" i="1"/>
  <c r="G2114" i="1"/>
  <c r="F2114" i="1"/>
  <c r="E2114" i="1"/>
  <c r="G2113" i="1"/>
  <c r="F2113" i="1"/>
  <c r="E2113" i="1"/>
  <c r="G2112" i="1"/>
  <c r="F2112" i="1"/>
  <c r="E2112" i="1"/>
  <c r="G2111" i="1"/>
  <c r="F2111" i="1"/>
  <c r="E2111" i="1"/>
  <c r="G2110" i="1"/>
  <c r="F2110" i="1"/>
  <c r="E2110" i="1"/>
  <c r="G2109" i="1"/>
  <c r="F2109" i="1"/>
  <c r="E2109" i="1"/>
  <c r="G2108" i="1"/>
  <c r="F2108" i="1"/>
  <c r="E2108" i="1"/>
  <c r="G2107" i="1"/>
  <c r="F2107" i="1"/>
  <c r="E2107" i="1"/>
  <c r="G2106" i="1"/>
  <c r="F2106" i="1"/>
  <c r="E2106" i="1"/>
  <c r="G2105" i="1"/>
  <c r="F2105" i="1"/>
  <c r="E2105" i="1"/>
  <c r="G2104" i="1"/>
  <c r="F2104" i="1"/>
  <c r="E2104" i="1"/>
  <c r="G2103" i="1"/>
  <c r="F2103" i="1"/>
  <c r="E2103" i="1"/>
  <c r="G2102" i="1"/>
  <c r="F2102" i="1"/>
  <c r="E2102" i="1"/>
  <c r="G2101" i="1"/>
  <c r="F2101" i="1"/>
  <c r="E2101" i="1"/>
  <c r="G2100" i="1"/>
  <c r="F2100" i="1"/>
  <c r="E2100" i="1"/>
  <c r="G2099" i="1"/>
  <c r="F2099" i="1"/>
  <c r="E2099" i="1"/>
  <c r="G2098" i="1"/>
  <c r="F2098" i="1"/>
  <c r="E2098" i="1"/>
  <c r="G2097" i="1"/>
  <c r="F2097" i="1"/>
  <c r="E2097" i="1"/>
  <c r="G2096" i="1"/>
  <c r="F2096" i="1"/>
  <c r="E2096" i="1"/>
  <c r="G2095" i="1"/>
  <c r="F2095" i="1"/>
  <c r="E2095" i="1"/>
  <c r="G2094" i="1"/>
  <c r="F2094" i="1"/>
  <c r="E2094" i="1"/>
  <c r="G2093" i="1"/>
  <c r="F2093" i="1"/>
  <c r="E2093" i="1"/>
  <c r="G2092" i="1"/>
  <c r="F2092" i="1"/>
  <c r="E2092" i="1"/>
  <c r="G2091" i="1"/>
  <c r="F2091" i="1"/>
  <c r="E2091" i="1"/>
  <c r="G2090" i="1"/>
  <c r="F2090" i="1"/>
  <c r="E2090" i="1"/>
  <c r="G2089" i="1"/>
  <c r="F2089" i="1"/>
  <c r="E2089" i="1"/>
  <c r="G2088" i="1"/>
  <c r="F2088" i="1"/>
  <c r="E2088" i="1"/>
  <c r="G2087" i="1"/>
  <c r="F2087" i="1"/>
  <c r="E2087" i="1"/>
  <c r="G2086" i="1"/>
  <c r="F2086" i="1"/>
  <c r="E2086" i="1"/>
  <c r="G2085" i="1"/>
  <c r="F2085" i="1"/>
  <c r="E2085" i="1"/>
  <c r="G2084" i="1"/>
  <c r="F2084" i="1"/>
  <c r="E2084" i="1"/>
  <c r="G2083" i="1"/>
  <c r="F2083" i="1"/>
  <c r="E2083" i="1"/>
  <c r="G2082" i="1"/>
  <c r="F2082" i="1"/>
  <c r="E2082" i="1"/>
  <c r="G2081" i="1"/>
  <c r="F2081" i="1"/>
  <c r="E2081" i="1"/>
  <c r="G2080" i="1"/>
  <c r="F2080" i="1"/>
  <c r="E2080" i="1"/>
  <c r="G2079" i="1"/>
  <c r="F2079" i="1"/>
  <c r="E2079" i="1"/>
  <c r="G2078" i="1"/>
  <c r="F2078" i="1"/>
  <c r="E2078" i="1"/>
  <c r="G2077" i="1"/>
  <c r="F2077" i="1"/>
  <c r="E2077" i="1"/>
  <c r="G2076" i="1"/>
  <c r="F2076" i="1"/>
  <c r="E2076" i="1"/>
  <c r="G2075" i="1"/>
  <c r="F2075" i="1"/>
  <c r="E2075" i="1"/>
  <c r="G2074" i="1"/>
  <c r="F2074" i="1"/>
  <c r="E2074" i="1"/>
  <c r="G2073" i="1"/>
  <c r="F2073" i="1"/>
  <c r="E2073" i="1"/>
  <c r="G2072" i="1"/>
  <c r="F2072" i="1"/>
  <c r="E2072" i="1"/>
  <c r="G2071" i="1"/>
  <c r="F2071" i="1"/>
  <c r="E2071" i="1"/>
  <c r="G2070" i="1"/>
  <c r="F2070" i="1"/>
  <c r="E2070" i="1"/>
  <c r="G2069" i="1"/>
  <c r="F2069" i="1"/>
  <c r="E2069" i="1"/>
  <c r="G2068" i="1"/>
  <c r="F2068" i="1"/>
  <c r="E2068" i="1"/>
  <c r="G2067" i="1"/>
  <c r="F2067" i="1"/>
  <c r="E2067" i="1"/>
  <c r="G2066" i="1"/>
  <c r="F2066" i="1"/>
  <c r="E2066" i="1"/>
  <c r="G2065" i="1"/>
  <c r="F2065" i="1"/>
  <c r="E2065" i="1"/>
  <c r="G2064" i="1"/>
  <c r="F2064" i="1"/>
  <c r="E2064" i="1"/>
  <c r="G2063" i="1"/>
  <c r="F2063" i="1"/>
  <c r="E2063" i="1"/>
  <c r="G2062" i="1"/>
  <c r="F2062" i="1"/>
  <c r="E2062" i="1"/>
  <c r="G2061" i="1"/>
  <c r="F2061" i="1"/>
  <c r="E2061" i="1"/>
  <c r="G2060" i="1"/>
  <c r="F2060" i="1"/>
  <c r="E2060" i="1"/>
  <c r="G2059" i="1"/>
  <c r="F2059" i="1"/>
  <c r="E2059" i="1"/>
  <c r="G2058" i="1"/>
  <c r="F2058" i="1"/>
  <c r="E2058" i="1"/>
  <c r="G2057" i="1"/>
  <c r="F2057" i="1"/>
  <c r="E2057" i="1"/>
  <c r="G2056" i="1"/>
  <c r="F2056" i="1"/>
  <c r="E2056" i="1"/>
  <c r="G2055" i="1"/>
  <c r="F2055" i="1"/>
  <c r="E2055" i="1"/>
  <c r="G2054" i="1"/>
  <c r="F2054" i="1"/>
  <c r="E2054" i="1"/>
  <c r="G2053" i="1"/>
  <c r="F2053" i="1"/>
  <c r="E2053" i="1"/>
  <c r="G2052" i="1"/>
  <c r="F2052" i="1"/>
  <c r="E2052" i="1"/>
  <c r="G2051" i="1"/>
  <c r="F2051" i="1"/>
  <c r="E2051" i="1"/>
  <c r="G2050" i="1"/>
  <c r="F2050" i="1"/>
  <c r="E2050" i="1"/>
  <c r="G2049" i="1"/>
  <c r="F2049" i="1"/>
  <c r="E2049" i="1"/>
  <c r="G2048" i="1"/>
  <c r="F2048" i="1"/>
  <c r="E2048" i="1"/>
  <c r="G2047" i="1"/>
  <c r="F2047" i="1"/>
  <c r="E2047" i="1"/>
  <c r="G2046" i="1"/>
  <c r="F2046" i="1"/>
  <c r="E2046" i="1"/>
  <c r="G2045" i="1"/>
  <c r="F2045" i="1"/>
  <c r="E2045" i="1"/>
  <c r="G2044" i="1"/>
  <c r="F2044" i="1"/>
  <c r="E2044" i="1"/>
  <c r="G2043" i="1"/>
  <c r="F2043" i="1"/>
  <c r="E2043" i="1"/>
  <c r="G2042" i="1"/>
  <c r="F2042" i="1"/>
  <c r="E2042" i="1"/>
  <c r="G2041" i="1"/>
  <c r="F2041" i="1"/>
  <c r="E2041" i="1"/>
  <c r="G2040" i="1"/>
  <c r="F2040" i="1"/>
  <c r="E2040" i="1"/>
  <c r="G2039" i="1"/>
  <c r="F2039" i="1"/>
  <c r="E2039" i="1"/>
  <c r="G2038" i="1"/>
  <c r="F2038" i="1"/>
  <c r="E2038" i="1"/>
  <c r="G2037" i="1"/>
  <c r="F2037" i="1"/>
  <c r="E2037" i="1"/>
  <c r="G2036" i="1"/>
  <c r="F2036" i="1"/>
  <c r="E2036" i="1"/>
  <c r="G2035" i="1"/>
  <c r="F2035" i="1"/>
  <c r="E2035" i="1"/>
  <c r="G2034" i="1"/>
  <c r="F2034" i="1"/>
  <c r="E2034" i="1"/>
  <c r="G2033" i="1"/>
  <c r="F2033" i="1"/>
  <c r="E2033" i="1"/>
  <c r="G2032" i="1"/>
  <c r="F2032" i="1"/>
  <c r="E2032" i="1"/>
  <c r="G2031" i="1"/>
  <c r="F2031" i="1"/>
  <c r="E2031" i="1"/>
  <c r="G2030" i="1"/>
  <c r="F2030" i="1"/>
  <c r="E2030" i="1"/>
  <c r="G2029" i="1"/>
  <c r="F2029" i="1"/>
  <c r="E2029" i="1"/>
  <c r="G2028" i="1"/>
  <c r="F2028" i="1"/>
  <c r="E2028" i="1"/>
  <c r="G2027" i="1"/>
  <c r="F2027" i="1"/>
  <c r="E2027" i="1"/>
  <c r="G2026" i="1"/>
  <c r="F2026" i="1"/>
  <c r="E2026" i="1"/>
  <c r="G2025" i="1"/>
  <c r="F2025" i="1"/>
  <c r="E2025" i="1"/>
  <c r="G2024" i="1"/>
  <c r="F2024" i="1"/>
  <c r="E2024" i="1"/>
  <c r="G2023" i="1"/>
  <c r="F2023" i="1"/>
  <c r="E2023" i="1"/>
  <c r="G2022" i="1"/>
  <c r="F2022" i="1"/>
  <c r="E2022" i="1"/>
  <c r="G2021" i="1"/>
  <c r="F2021" i="1"/>
  <c r="E2021" i="1"/>
  <c r="G2020" i="1"/>
  <c r="F2020" i="1"/>
  <c r="E2020" i="1"/>
  <c r="G2019" i="1"/>
  <c r="F2019" i="1"/>
  <c r="E2019" i="1"/>
  <c r="G2018" i="1"/>
  <c r="F2018" i="1"/>
  <c r="E2018" i="1"/>
  <c r="G2017" i="1"/>
  <c r="F2017" i="1"/>
  <c r="E2017" i="1"/>
  <c r="G2016" i="1"/>
  <c r="F2016" i="1"/>
  <c r="E2016" i="1"/>
  <c r="G2015" i="1"/>
  <c r="F2015" i="1"/>
  <c r="E2015" i="1"/>
  <c r="G2014" i="1"/>
  <c r="F2014" i="1"/>
  <c r="E2014" i="1"/>
  <c r="G2013" i="1"/>
  <c r="F2013" i="1"/>
  <c r="E2013" i="1"/>
  <c r="G2012" i="1"/>
  <c r="F2012" i="1"/>
  <c r="E2012" i="1"/>
  <c r="G2011" i="1"/>
  <c r="F2011" i="1"/>
  <c r="E2011" i="1"/>
  <c r="G2010" i="1"/>
  <c r="F2010" i="1"/>
  <c r="E2010" i="1"/>
  <c r="G2009" i="1"/>
  <c r="F2009" i="1"/>
  <c r="E2009" i="1"/>
  <c r="G2008" i="1"/>
  <c r="F2008" i="1"/>
  <c r="E2008" i="1"/>
  <c r="G2007" i="1"/>
  <c r="F2007" i="1"/>
  <c r="E2007" i="1"/>
  <c r="G2006" i="1"/>
  <c r="F2006" i="1"/>
  <c r="E2006" i="1"/>
  <c r="G2005" i="1"/>
  <c r="F2005" i="1"/>
  <c r="E2005" i="1"/>
  <c r="G2004" i="1"/>
  <c r="F2004" i="1"/>
  <c r="E2004" i="1"/>
  <c r="G2003" i="1"/>
  <c r="F2003" i="1"/>
  <c r="E2003" i="1"/>
  <c r="G2002" i="1"/>
  <c r="F2002" i="1"/>
  <c r="E2002" i="1"/>
  <c r="G2001" i="1"/>
  <c r="F2001" i="1"/>
  <c r="E2001" i="1"/>
  <c r="G2000" i="1"/>
  <c r="F2000" i="1"/>
  <c r="E2000" i="1"/>
  <c r="G1999" i="1"/>
  <c r="F1999" i="1"/>
  <c r="E1999" i="1"/>
  <c r="G1998" i="1"/>
  <c r="F1998" i="1"/>
  <c r="E1998" i="1"/>
  <c r="G1997" i="1"/>
  <c r="F1997" i="1"/>
  <c r="E1997" i="1"/>
  <c r="G1996" i="1"/>
  <c r="F1996" i="1"/>
  <c r="E1996" i="1"/>
  <c r="G1995" i="1"/>
  <c r="F1995" i="1"/>
  <c r="E1995" i="1"/>
  <c r="G1994" i="1"/>
  <c r="F1994" i="1"/>
  <c r="E1994" i="1"/>
  <c r="G1993" i="1"/>
  <c r="F1993" i="1"/>
  <c r="E1993" i="1"/>
  <c r="G1992" i="1"/>
  <c r="F1992" i="1"/>
  <c r="E1992" i="1"/>
  <c r="G1991" i="1"/>
  <c r="F1991" i="1"/>
  <c r="E1991" i="1"/>
  <c r="G1990" i="1"/>
  <c r="F1990" i="1"/>
  <c r="E1990" i="1"/>
  <c r="G1989" i="1"/>
  <c r="F1989" i="1"/>
  <c r="E1989" i="1"/>
  <c r="G1988" i="1"/>
  <c r="F1988" i="1"/>
  <c r="E1988" i="1"/>
  <c r="G1987" i="1"/>
  <c r="F1987" i="1"/>
  <c r="E1987" i="1"/>
  <c r="G1986" i="1"/>
  <c r="F1986" i="1"/>
  <c r="E1986" i="1"/>
  <c r="G1985" i="1"/>
  <c r="F1985" i="1"/>
  <c r="E1985" i="1"/>
  <c r="G1984" i="1"/>
  <c r="F1984" i="1"/>
  <c r="E1984" i="1"/>
  <c r="G1983" i="1"/>
  <c r="F1983" i="1"/>
  <c r="E1983" i="1"/>
  <c r="G1982" i="1"/>
  <c r="F1982" i="1"/>
  <c r="E1982" i="1"/>
  <c r="G1981" i="1"/>
  <c r="F1981" i="1"/>
  <c r="E1981" i="1"/>
  <c r="G1980" i="1"/>
  <c r="F1980" i="1"/>
  <c r="E1980" i="1"/>
  <c r="G1979" i="1"/>
  <c r="F1979" i="1"/>
  <c r="E1979" i="1"/>
  <c r="G1978" i="1"/>
  <c r="F1978" i="1"/>
  <c r="E1978" i="1"/>
  <c r="G1977" i="1"/>
  <c r="F1977" i="1"/>
  <c r="E1977" i="1"/>
  <c r="G1976" i="1"/>
  <c r="F1976" i="1"/>
  <c r="E1976" i="1"/>
  <c r="G1975" i="1"/>
  <c r="F1975" i="1"/>
  <c r="E1975" i="1"/>
  <c r="G1974" i="1"/>
  <c r="F1974" i="1"/>
  <c r="E1974" i="1"/>
  <c r="G1973" i="1"/>
  <c r="F1973" i="1"/>
  <c r="E1973" i="1"/>
  <c r="G1972" i="1"/>
  <c r="F1972" i="1"/>
  <c r="E1972" i="1"/>
  <c r="G1971" i="1"/>
  <c r="F1971" i="1"/>
  <c r="E1971" i="1"/>
  <c r="G1970" i="1"/>
  <c r="F1970" i="1"/>
  <c r="E1970" i="1"/>
  <c r="G1969" i="1"/>
  <c r="F1969" i="1"/>
  <c r="E1969" i="1"/>
  <c r="G1968" i="1"/>
  <c r="F1968" i="1"/>
  <c r="E1968" i="1"/>
  <c r="G1967" i="1"/>
  <c r="F1967" i="1"/>
  <c r="E1967" i="1"/>
  <c r="G1966" i="1"/>
  <c r="F1966" i="1"/>
  <c r="E1966" i="1"/>
  <c r="G1965" i="1"/>
  <c r="F1965" i="1"/>
  <c r="E1965" i="1"/>
  <c r="G1964" i="1"/>
  <c r="F1964" i="1"/>
  <c r="E1964" i="1"/>
  <c r="G1963" i="1"/>
  <c r="F1963" i="1"/>
  <c r="E1963" i="1"/>
  <c r="G1962" i="1"/>
  <c r="F1962" i="1"/>
  <c r="E1962" i="1"/>
  <c r="G1961" i="1"/>
  <c r="F1961" i="1"/>
  <c r="E1961" i="1"/>
  <c r="G1960" i="1"/>
  <c r="F1960" i="1"/>
  <c r="E1960" i="1"/>
  <c r="G1959" i="1"/>
  <c r="F1959" i="1"/>
  <c r="E1959" i="1"/>
  <c r="G1958" i="1"/>
  <c r="F1958" i="1"/>
  <c r="E1958" i="1"/>
  <c r="G1957" i="1"/>
  <c r="F1957" i="1"/>
  <c r="E1957" i="1"/>
  <c r="G1956" i="1"/>
  <c r="F1956" i="1"/>
  <c r="E1956" i="1"/>
  <c r="G1955" i="1"/>
  <c r="F1955" i="1"/>
  <c r="E1955" i="1"/>
  <c r="G1954" i="1"/>
  <c r="F1954" i="1"/>
  <c r="E1954" i="1"/>
  <c r="G1953" i="1"/>
  <c r="F1953" i="1"/>
  <c r="E1953" i="1"/>
  <c r="G1952" i="1"/>
  <c r="F1952" i="1"/>
  <c r="E1952" i="1"/>
  <c r="G1951" i="1"/>
  <c r="F1951" i="1"/>
  <c r="E1951" i="1"/>
  <c r="G1950" i="1"/>
  <c r="F1950" i="1"/>
  <c r="E1950" i="1"/>
  <c r="G1949" i="1"/>
  <c r="F1949" i="1"/>
  <c r="E1949" i="1"/>
  <c r="G1948" i="1"/>
  <c r="F1948" i="1"/>
  <c r="E1948" i="1"/>
  <c r="G1947" i="1"/>
  <c r="F1947" i="1"/>
  <c r="E1947" i="1"/>
  <c r="G1946" i="1"/>
  <c r="F1946" i="1"/>
  <c r="E1946" i="1"/>
  <c r="G1945" i="1"/>
  <c r="F1945" i="1"/>
  <c r="E1945" i="1"/>
  <c r="G1944" i="1"/>
  <c r="F1944" i="1"/>
  <c r="E1944" i="1"/>
  <c r="G1943" i="1"/>
  <c r="F1943" i="1"/>
  <c r="E1943" i="1"/>
  <c r="G1942" i="1"/>
  <c r="F1942" i="1"/>
  <c r="E1942" i="1"/>
  <c r="G1941" i="1"/>
  <c r="F1941" i="1"/>
  <c r="E1941" i="1"/>
  <c r="G1940" i="1"/>
  <c r="F1940" i="1"/>
  <c r="E1940" i="1"/>
  <c r="G1939" i="1"/>
  <c r="F1939" i="1"/>
  <c r="E1939" i="1"/>
  <c r="G1938" i="1"/>
  <c r="F1938" i="1"/>
  <c r="E1938" i="1"/>
  <c r="G1937" i="1"/>
  <c r="F1937" i="1"/>
  <c r="E1937" i="1"/>
  <c r="G1936" i="1"/>
  <c r="F1936" i="1"/>
  <c r="E1936" i="1"/>
  <c r="G1935" i="1"/>
  <c r="F1935" i="1"/>
  <c r="E1935" i="1"/>
  <c r="G1934" i="1"/>
  <c r="F1934" i="1"/>
  <c r="E1934" i="1"/>
  <c r="G1933" i="1"/>
  <c r="F1933" i="1"/>
  <c r="E1933" i="1"/>
  <c r="G1932" i="1"/>
  <c r="F1932" i="1"/>
  <c r="E1932" i="1"/>
  <c r="G1931" i="1"/>
  <c r="F1931" i="1"/>
  <c r="E1931" i="1"/>
  <c r="G1930" i="1"/>
  <c r="F1930" i="1"/>
  <c r="E1930" i="1"/>
  <c r="G1929" i="1"/>
  <c r="F1929" i="1"/>
  <c r="E1929" i="1"/>
  <c r="G1928" i="1"/>
  <c r="F1928" i="1"/>
  <c r="E1928" i="1"/>
  <c r="G1927" i="1"/>
  <c r="F1927" i="1"/>
  <c r="E1927" i="1"/>
  <c r="G1926" i="1"/>
  <c r="F1926" i="1"/>
  <c r="E1926" i="1"/>
  <c r="G1925" i="1"/>
  <c r="F1925" i="1"/>
  <c r="E1925" i="1"/>
  <c r="G1924" i="1"/>
  <c r="F1924" i="1"/>
  <c r="E1924" i="1"/>
  <c r="G1923" i="1"/>
  <c r="F1923" i="1"/>
  <c r="E1923" i="1"/>
  <c r="G1922" i="1"/>
  <c r="F1922" i="1"/>
  <c r="E1922" i="1"/>
  <c r="G1921" i="1"/>
  <c r="F1921" i="1"/>
  <c r="E1921" i="1"/>
  <c r="G1920" i="1"/>
  <c r="F1920" i="1"/>
  <c r="E1920" i="1"/>
  <c r="G1919" i="1"/>
  <c r="F1919" i="1"/>
  <c r="E1919" i="1"/>
  <c r="G1918" i="1"/>
  <c r="F1918" i="1"/>
  <c r="E1918" i="1"/>
  <c r="G1917" i="1"/>
  <c r="F1917" i="1"/>
  <c r="E1917" i="1"/>
  <c r="G1916" i="1"/>
  <c r="F1916" i="1"/>
  <c r="E1916" i="1"/>
  <c r="G1915" i="1"/>
  <c r="F1915" i="1"/>
  <c r="E1915" i="1"/>
  <c r="G1914" i="1"/>
  <c r="F1914" i="1"/>
  <c r="E1914" i="1"/>
  <c r="G1913" i="1"/>
  <c r="F1913" i="1"/>
  <c r="E1913" i="1"/>
  <c r="G1912" i="1"/>
  <c r="F1912" i="1"/>
  <c r="E1912" i="1"/>
  <c r="G1911" i="1"/>
  <c r="F1911" i="1"/>
  <c r="E1911" i="1"/>
  <c r="G1910" i="1"/>
  <c r="F1910" i="1"/>
  <c r="E1910" i="1"/>
  <c r="G1909" i="1"/>
  <c r="F1909" i="1"/>
  <c r="E1909" i="1"/>
  <c r="G1908" i="1"/>
  <c r="F1908" i="1"/>
  <c r="E1908" i="1"/>
  <c r="G1907" i="1"/>
  <c r="F1907" i="1"/>
  <c r="E1907" i="1"/>
  <c r="G1906" i="1"/>
  <c r="F1906" i="1"/>
  <c r="E1906" i="1"/>
  <c r="G1905" i="1"/>
  <c r="F1905" i="1"/>
  <c r="E1905" i="1"/>
  <c r="G1904" i="1"/>
  <c r="F1904" i="1"/>
  <c r="E1904" i="1"/>
  <c r="G1903" i="1"/>
  <c r="F1903" i="1"/>
  <c r="E1903" i="1"/>
  <c r="G1902" i="1"/>
  <c r="F1902" i="1"/>
  <c r="E1902" i="1"/>
  <c r="G1901" i="1"/>
  <c r="F1901" i="1"/>
  <c r="E1901" i="1"/>
  <c r="G1900" i="1"/>
  <c r="F1900" i="1"/>
  <c r="E1900" i="1"/>
  <c r="G1899" i="1"/>
  <c r="F1899" i="1"/>
  <c r="E1899" i="1"/>
  <c r="G1898" i="1"/>
  <c r="F1898" i="1"/>
  <c r="E1898" i="1"/>
  <c r="G1897" i="1"/>
  <c r="F1897" i="1"/>
  <c r="E1897" i="1"/>
  <c r="G1896" i="1"/>
  <c r="F1896" i="1"/>
  <c r="E1896" i="1"/>
  <c r="G1895" i="1"/>
  <c r="F1895" i="1"/>
  <c r="E1895" i="1"/>
  <c r="G1894" i="1"/>
  <c r="F1894" i="1"/>
  <c r="E1894" i="1"/>
  <c r="G1893" i="1"/>
  <c r="F1893" i="1"/>
  <c r="E1893" i="1"/>
  <c r="G1892" i="1"/>
  <c r="F1892" i="1"/>
  <c r="E1892" i="1"/>
  <c r="G1891" i="1"/>
  <c r="F1891" i="1"/>
  <c r="E1891" i="1"/>
  <c r="G1890" i="1"/>
  <c r="F1890" i="1"/>
  <c r="E1890" i="1"/>
  <c r="G1889" i="1"/>
  <c r="F1889" i="1"/>
  <c r="E1889" i="1"/>
  <c r="G1888" i="1"/>
  <c r="F1888" i="1"/>
  <c r="E1888" i="1"/>
  <c r="G1887" i="1"/>
  <c r="F1887" i="1"/>
  <c r="E1887" i="1"/>
  <c r="G1886" i="1"/>
  <c r="F1886" i="1"/>
  <c r="E1886" i="1"/>
  <c r="G1885" i="1"/>
  <c r="F1885" i="1"/>
  <c r="E1885" i="1"/>
  <c r="G1884" i="1"/>
  <c r="F1884" i="1"/>
  <c r="E1884" i="1"/>
  <c r="G1883" i="1"/>
  <c r="F1883" i="1"/>
  <c r="E1883" i="1"/>
  <c r="G1882" i="1"/>
  <c r="F1882" i="1"/>
  <c r="E1882" i="1"/>
  <c r="G1881" i="1"/>
  <c r="F1881" i="1"/>
  <c r="E1881" i="1"/>
  <c r="G1880" i="1"/>
  <c r="F1880" i="1"/>
  <c r="E1880" i="1"/>
  <c r="G1879" i="1"/>
  <c r="F1879" i="1"/>
  <c r="E1879" i="1"/>
  <c r="G1878" i="1"/>
  <c r="F1878" i="1"/>
  <c r="E1878" i="1"/>
  <c r="G1877" i="1"/>
  <c r="F1877" i="1"/>
  <c r="E1877" i="1"/>
  <c r="G1876" i="1"/>
  <c r="F1876" i="1"/>
  <c r="E1876" i="1"/>
  <c r="G1875" i="1"/>
  <c r="F1875" i="1"/>
  <c r="E1875" i="1"/>
  <c r="G1874" i="1"/>
  <c r="F1874" i="1"/>
  <c r="E1874" i="1"/>
  <c r="G1873" i="1"/>
  <c r="F1873" i="1"/>
  <c r="E1873" i="1"/>
  <c r="G1872" i="1"/>
  <c r="F1872" i="1"/>
  <c r="E1872" i="1"/>
  <c r="G1871" i="1"/>
  <c r="F1871" i="1"/>
  <c r="E1871" i="1"/>
  <c r="G1870" i="1"/>
  <c r="F1870" i="1"/>
  <c r="E1870" i="1"/>
  <c r="G1869" i="1"/>
  <c r="F1869" i="1"/>
  <c r="E1869" i="1"/>
  <c r="G1868" i="1"/>
  <c r="F1868" i="1"/>
  <c r="E1868" i="1"/>
  <c r="G1867" i="1"/>
  <c r="F1867" i="1"/>
  <c r="E1867" i="1"/>
  <c r="G1866" i="1"/>
  <c r="F1866" i="1"/>
  <c r="E1866" i="1"/>
  <c r="G1865" i="1"/>
  <c r="F1865" i="1"/>
  <c r="E1865" i="1"/>
  <c r="G1864" i="1"/>
  <c r="F1864" i="1"/>
  <c r="E1864" i="1"/>
  <c r="G1863" i="1"/>
  <c r="F1863" i="1"/>
  <c r="E1863" i="1"/>
  <c r="G1862" i="1"/>
  <c r="F1862" i="1"/>
  <c r="E1862" i="1"/>
  <c r="G1861" i="1"/>
  <c r="F1861" i="1"/>
  <c r="E1861" i="1"/>
  <c r="G1860" i="1"/>
  <c r="F1860" i="1"/>
  <c r="E1860" i="1"/>
  <c r="G1859" i="1"/>
  <c r="F1859" i="1"/>
  <c r="E1859" i="1"/>
  <c r="G1858" i="1"/>
  <c r="F1858" i="1"/>
  <c r="E1858" i="1"/>
  <c r="G1857" i="1"/>
  <c r="F1857" i="1"/>
  <c r="E1857" i="1"/>
  <c r="G1856" i="1"/>
  <c r="F1856" i="1"/>
  <c r="E1856" i="1"/>
  <c r="G1855" i="1"/>
  <c r="F1855" i="1"/>
  <c r="E1855" i="1"/>
  <c r="G1854" i="1"/>
  <c r="F1854" i="1"/>
  <c r="E1854" i="1"/>
  <c r="G1853" i="1"/>
  <c r="F1853" i="1"/>
  <c r="E1853" i="1"/>
  <c r="G1852" i="1"/>
  <c r="F1852" i="1"/>
  <c r="E1852" i="1"/>
  <c r="G1851" i="1"/>
  <c r="F1851" i="1"/>
  <c r="E1851" i="1"/>
  <c r="G1850" i="1"/>
  <c r="F1850" i="1"/>
  <c r="E1850" i="1"/>
  <c r="G1849" i="1"/>
  <c r="F1849" i="1"/>
  <c r="E1849" i="1"/>
  <c r="G1848" i="1"/>
  <c r="F1848" i="1"/>
  <c r="E1848" i="1"/>
  <c r="G1847" i="1"/>
  <c r="F1847" i="1"/>
  <c r="E1847" i="1"/>
  <c r="G1846" i="1"/>
  <c r="F1846" i="1"/>
  <c r="E1846" i="1"/>
  <c r="G1845" i="1"/>
  <c r="F1845" i="1"/>
  <c r="E1845" i="1"/>
  <c r="G1844" i="1"/>
  <c r="F1844" i="1"/>
  <c r="E1844" i="1"/>
  <c r="G1843" i="1"/>
  <c r="F1843" i="1"/>
  <c r="E1843" i="1"/>
  <c r="G1842" i="1"/>
  <c r="F1842" i="1"/>
  <c r="E1842" i="1"/>
  <c r="G1841" i="1"/>
  <c r="F1841" i="1"/>
  <c r="E1841" i="1"/>
  <c r="G1840" i="1"/>
  <c r="F1840" i="1"/>
  <c r="E1840" i="1"/>
  <c r="G1839" i="1"/>
  <c r="F1839" i="1"/>
  <c r="E1839" i="1"/>
  <c r="G1838" i="1"/>
  <c r="F1838" i="1"/>
  <c r="E1838" i="1"/>
  <c r="G1837" i="1"/>
  <c r="F1837" i="1"/>
  <c r="E1837" i="1"/>
  <c r="G1836" i="1"/>
  <c r="F1836" i="1"/>
  <c r="E1836" i="1"/>
  <c r="G1835" i="1"/>
  <c r="F1835" i="1"/>
  <c r="E1835" i="1"/>
  <c r="G1834" i="1"/>
  <c r="F1834" i="1"/>
  <c r="E1834" i="1"/>
  <c r="G1833" i="1"/>
  <c r="F1833" i="1"/>
  <c r="E1833" i="1"/>
  <c r="G1832" i="1"/>
  <c r="F1832" i="1"/>
  <c r="E1832" i="1"/>
  <c r="G1831" i="1"/>
  <c r="F1831" i="1"/>
  <c r="E1831" i="1"/>
  <c r="G1830" i="1"/>
  <c r="F1830" i="1"/>
  <c r="E1830" i="1"/>
  <c r="G1829" i="1"/>
  <c r="F1829" i="1"/>
  <c r="E1829" i="1"/>
  <c r="G1828" i="1"/>
  <c r="F1828" i="1"/>
  <c r="E1828" i="1"/>
  <c r="G1827" i="1"/>
  <c r="F1827" i="1"/>
  <c r="E1827" i="1"/>
  <c r="G1826" i="1"/>
  <c r="F1826" i="1"/>
  <c r="E1826" i="1"/>
  <c r="G1825" i="1"/>
  <c r="F1825" i="1"/>
  <c r="E1825" i="1"/>
  <c r="G1824" i="1"/>
  <c r="F1824" i="1"/>
  <c r="E1824" i="1"/>
  <c r="G1823" i="1"/>
  <c r="F1823" i="1"/>
  <c r="E1823" i="1"/>
  <c r="G1822" i="1"/>
  <c r="F1822" i="1"/>
  <c r="E1822" i="1"/>
  <c r="G1821" i="1"/>
  <c r="F1821" i="1"/>
  <c r="E1821" i="1"/>
  <c r="G1820" i="1"/>
  <c r="F1820" i="1"/>
  <c r="E1820" i="1"/>
  <c r="G1819" i="1"/>
  <c r="F1819" i="1"/>
  <c r="E1819" i="1"/>
  <c r="G1818" i="1"/>
  <c r="F1818" i="1"/>
  <c r="E1818" i="1"/>
  <c r="G1817" i="1"/>
  <c r="F1817" i="1"/>
  <c r="E1817" i="1"/>
  <c r="G1816" i="1"/>
  <c r="F1816" i="1"/>
  <c r="E1816" i="1"/>
  <c r="G1815" i="1"/>
  <c r="F1815" i="1"/>
  <c r="E1815" i="1"/>
  <c r="G1814" i="1"/>
  <c r="F1814" i="1"/>
  <c r="E1814" i="1"/>
  <c r="G1813" i="1"/>
  <c r="F1813" i="1"/>
  <c r="E1813" i="1"/>
  <c r="G1812" i="1"/>
  <c r="F1812" i="1"/>
  <c r="E1812" i="1"/>
  <c r="G1811" i="1"/>
  <c r="F1811" i="1"/>
  <c r="E1811" i="1"/>
  <c r="G1810" i="1"/>
  <c r="F1810" i="1"/>
  <c r="E1810" i="1"/>
  <c r="G1809" i="1"/>
  <c r="F1809" i="1"/>
  <c r="E1809" i="1"/>
  <c r="G1808" i="1"/>
  <c r="F1808" i="1"/>
  <c r="E1808" i="1"/>
  <c r="G1807" i="1"/>
  <c r="F1807" i="1"/>
  <c r="E1807" i="1"/>
  <c r="G1806" i="1"/>
  <c r="F1806" i="1"/>
  <c r="E1806" i="1"/>
  <c r="G1805" i="1"/>
  <c r="F1805" i="1"/>
  <c r="E1805" i="1"/>
  <c r="G1804" i="1"/>
  <c r="F1804" i="1"/>
  <c r="E1804" i="1"/>
  <c r="G1803" i="1"/>
  <c r="F1803" i="1"/>
  <c r="E1803" i="1"/>
  <c r="G1802" i="1"/>
  <c r="F1802" i="1"/>
  <c r="E1802" i="1"/>
  <c r="G1801" i="1"/>
  <c r="F1801" i="1"/>
  <c r="E1801" i="1"/>
  <c r="G1800" i="1"/>
  <c r="F1800" i="1"/>
  <c r="E1800" i="1"/>
  <c r="G1799" i="1"/>
  <c r="F1799" i="1"/>
  <c r="E1799" i="1"/>
  <c r="G1798" i="1"/>
  <c r="F1798" i="1"/>
  <c r="E1798" i="1"/>
  <c r="G1797" i="1"/>
  <c r="F1797" i="1"/>
  <c r="E1797" i="1"/>
  <c r="G1796" i="1"/>
  <c r="F1796" i="1"/>
  <c r="E1796" i="1"/>
  <c r="G1795" i="1"/>
  <c r="F1795" i="1"/>
  <c r="E1795" i="1"/>
  <c r="G1794" i="1"/>
  <c r="F1794" i="1"/>
  <c r="E1794" i="1"/>
  <c r="G1793" i="1"/>
  <c r="F1793" i="1"/>
  <c r="E1793" i="1"/>
  <c r="G1792" i="1"/>
  <c r="F1792" i="1"/>
  <c r="E1792" i="1"/>
  <c r="G1791" i="1"/>
  <c r="F1791" i="1"/>
  <c r="E1791" i="1"/>
  <c r="G1790" i="1"/>
  <c r="F1790" i="1"/>
  <c r="E1790" i="1"/>
  <c r="G1789" i="1"/>
  <c r="F1789" i="1"/>
  <c r="E1789" i="1"/>
  <c r="G1788" i="1"/>
  <c r="F1788" i="1"/>
  <c r="E1788" i="1"/>
  <c r="G1787" i="1"/>
  <c r="F1787" i="1"/>
  <c r="E1787" i="1"/>
  <c r="G1786" i="1"/>
  <c r="F1786" i="1"/>
  <c r="E1786" i="1"/>
  <c r="G1785" i="1"/>
  <c r="F1785" i="1"/>
  <c r="E1785" i="1"/>
  <c r="G1784" i="1"/>
  <c r="F1784" i="1"/>
  <c r="E1784" i="1"/>
  <c r="G1783" i="1"/>
  <c r="F1783" i="1"/>
  <c r="E1783" i="1"/>
  <c r="G1782" i="1"/>
  <c r="F1782" i="1"/>
  <c r="E1782" i="1"/>
  <c r="G1781" i="1"/>
  <c r="F1781" i="1"/>
  <c r="E1781" i="1"/>
  <c r="G1780" i="1"/>
  <c r="F1780" i="1"/>
  <c r="E1780" i="1"/>
  <c r="G1779" i="1"/>
  <c r="F1779" i="1"/>
  <c r="E1779" i="1"/>
  <c r="G1778" i="1"/>
  <c r="F1778" i="1"/>
  <c r="E1778" i="1"/>
  <c r="G1777" i="1"/>
  <c r="F1777" i="1"/>
  <c r="E1777" i="1"/>
  <c r="G1776" i="1"/>
  <c r="F1776" i="1"/>
  <c r="E1776" i="1"/>
  <c r="G1775" i="1"/>
  <c r="F1775" i="1"/>
  <c r="E1775" i="1"/>
  <c r="G1774" i="1"/>
  <c r="F1774" i="1"/>
  <c r="E1774" i="1"/>
  <c r="G1773" i="1"/>
  <c r="F1773" i="1"/>
  <c r="E1773" i="1"/>
  <c r="G1772" i="1"/>
  <c r="F1772" i="1"/>
  <c r="E1772" i="1"/>
  <c r="G1771" i="1"/>
  <c r="F1771" i="1"/>
  <c r="E1771" i="1"/>
  <c r="G1770" i="1"/>
  <c r="F1770" i="1"/>
  <c r="E1770" i="1"/>
  <c r="G1769" i="1"/>
  <c r="F1769" i="1"/>
  <c r="E1769" i="1"/>
  <c r="G1768" i="1"/>
  <c r="F1768" i="1"/>
  <c r="E1768" i="1"/>
  <c r="G1767" i="1"/>
  <c r="F1767" i="1"/>
  <c r="E1767" i="1"/>
  <c r="G1766" i="1"/>
  <c r="F1766" i="1"/>
  <c r="E1766" i="1"/>
  <c r="G1765" i="1"/>
  <c r="F1765" i="1"/>
  <c r="E1765" i="1"/>
  <c r="G1764" i="1"/>
  <c r="F1764" i="1"/>
  <c r="E1764" i="1"/>
  <c r="G1763" i="1"/>
  <c r="F1763" i="1"/>
  <c r="E1763" i="1"/>
  <c r="G1762" i="1"/>
  <c r="F1762" i="1"/>
  <c r="E1762" i="1"/>
  <c r="G1761" i="1"/>
  <c r="F1761" i="1"/>
  <c r="E1761" i="1"/>
  <c r="G1760" i="1"/>
  <c r="F1760" i="1"/>
  <c r="E1760" i="1"/>
  <c r="G1759" i="1"/>
  <c r="F1759" i="1"/>
  <c r="E1759" i="1"/>
  <c r="G1758" i="1"/>
  <c r="F1758" i="1"/>
  <c r="E1758" i="1"/>
  <c r="G1757" i="1"/>
  <c r="F1757" i="1"/>
  <c r="E1757" i="1"/>
  <c r="G1756" i="1"/>
  <c r="F1756" i="1"/>
  <c r="E1756" i="1"/>
  <c r="G1755" i="1"/>
  <c r="F1755" i="1"/>
  <c r="E1755" i="1"/>
  <c r="G1754" i="1"/>
  <c r="F1754" i="1"/>
  <c r="E1754" i="1"/>
  <c r="G1753" i="1"/>
  <c r="F1753" i="1"/>
  <c r="E1753" i="1"/>
  <c r="G1752" i="1"/>
  <c r="F1752" i="1"/>
  <c r="E1752" i="1"/>
  <c r="G1751" i="1"/>
  <c r="F1751" i="1"/>
  <c r="E1751" i="1"/>
  <c r="G1750" i="1"/>
  <c r="F1750" i="1"/>
  <c r="E1750" i="1"/>
  <c r="G1749" i="1"/>
  <c r="F1749" i="1"/>
  <c r="E1749" i="1"/>
  <c r="G1748" i="1"/>
  <c r="F1748" i="1"/>
  <c r="E1748" i="1"/>
  <c r="G1747" i="1"/>
  <c r="F1747" i="1"/>
  <c r="E1747" i="1"/>
  <c r="G1746" i="1"/>
  <c r="F1746" i="1"/>
  <c r="E1746" i="1"/>
  <c r="G1745" i="1"/>
  <c r="F1745" i="1"/>
  <c r="E1745" i="1"/>
  <c r="G1744" i="1"/>
  <c r="F1744" i="1"/>
  <c r="E1744" i="1"/>
  <c r="G1743" i="1"/>
  <c r="F1743" i="1"/>
  <c r="E1743" i="1"/>
  <c r="G1742" i="1"/>
  <c r="F1742" i="1"/>
  <c r="E1742" i="1"/>
  <c r="G1741" i="1"/>
  <c r="F1741" i="1"/>
  <c r="E1741" i="1"/>
  <c r="G1740" i="1"/>
  <c r="F1740" i="1"/>
  <c r="E1740" i="1"/>
  <c r="G1739" i="1"/>
  <c r="F1739" i="1"/>
  <c r="E1739" i="1"/>
  <c r="G1738" i="1"/>
  <c r="F1738" i="1"/>
  <c r="E1738" i="1"/>
  <c r="G1737" i="1"/>
  <c r="F1737" i="1"/>
  <c r="E1737" i="1"/>
  <c r="G1736" i="1"/>
  <c r="F1736" i="1"/>
  <c r="E1736" i="1"/>
  <c r="G1735" i="1"/>
  <c r="F1735" i="1"/>
  <c r="E1735" i="1"/>
  <c r="G1734" i="1"/>
  <c r="F1734" i="1"/>
  <c r="E1734" i="1"/>
  <c r="G1733" i="1"/>
  <c r="F1733" i="1"/>
  <c r="E1733" i="1"/>
  <c r="G1732" i="1"/>
  <c r="F1732" i="1"/>
  <c r="E1732" i="1"/>
  <c r="G1731" i="1"/>
  <c r="F1731" i="1"/>
  <c r="E1731" i="1"/>
  <c r="G1730" i="1"/>
  <c r="F1730" i="1"/>
  <c r="E1730" i="1"/>
  <c r="G1729" i="1"/>
  <c r="F1729" i="1"/>
  <c r="E1729" i="1"/>
  <c r="G1728" i="1"/>
  <c r="F1728" i="1"/>
  <c r="E1728" i="1"/>
  <c r="G1727" i="1"/>
  <c r="F1727" i="1"/>
  <c r="E1727" i="1"/>
  <c r="G1726" i="1"/>
  <c r="F1726" i="1"/>
  <c r="E1726" i="1"/>
  <c r="G1725" i="1"/>
  <c r="F1725" i="1"/>
  <c r="E1725" i="1"/>
  <c r="G1724" i="1"/>
  <c r="F1724" i="1"/>
  <c r="E1724" i="1"/>
  <c r="G1723" i="1"/>
  <c r="F1723" i="1"/>
  <c r="E1723" i="1"/>
  <c r="G1722" i="1"/>
  <c r="F1722" i="1"/>
  <c r="E1722" i="1"/>
  <c r="G1721" i="1"/>
  <c r="F1721" i="1"/>
  <c r="E1721" i="1"/>
  <c r="G1720" i="1"/>
  <c r="F1720" i="1"/>
  <c r="E1720" i="1"/>
  <c r="G1719" i="1"/>
  <c r="F1719" i="1"/>
  <c r="E1719" i="1"/>
  <c r="G1718" i="1"/>
  <c r="F1718" i="1"/>
  <c r="E1718" i="1"/>
  <c r="G1717" i="1"/>
  <c r="F1717" i="1"/>
  <c r="E1717" i="1"/>
  <c r="G1716" i="1"/>
  <c r="F1716" i="1"/>
  <c r="E1716" i="1"/>
  <c r="G1715" i="1"/>
  <c r="F1715" i="1"/>
  <c r="E1715" i="1"/>
  <c r="G1714" i="1"/>
  <c r="F1714" i="1"/>
  <c r="E1714" i="1"/>
  <c r="G1713" i="1"/>
  <c r="F1713" i="1"/>
  <c r="E1713" i="1"/>
  <c r="G1712" i="1"/>
  <c r="F1712" i="1"/>
  <c r="E1712" i="1"/>
  <c r="G1711" i="1"/>
  <c r="F1711" i="1"/>
  <c r="E1711" i="1"/>
  <c r="G1710" i="1"/>
  <c r="F1710" i="1"/>
  <c r="E1710" i="1"/>
  <c r="G1709" i="1"/>
  <c r="F1709" i="1"/>
  <c r="E1709" i="1"/>
  <c r="G1708" i="1"/>
  <c r="F1708" i="1"/>
  <c r="E1708" i="1"/>
  <c r="G1707" i="1"/>
  <c r="F1707" i="1"/>
  <c r="E1707" i="1"/>
  <c r="G1706" i="1"/>
  <c r="F1706" i="1"/>
  <c r="E1706" i="1"/>
  <c r="G1705" i="1"/>
  <c r="F1705" i="1"/>
  <c r="E1705" i="1"/>
  <c r="G1704" i="1"/>
  <c r="F1704" i="1"/>
  <c r="E1704" i="1"/>
  <c r="G1703" i="1"/>
  <c r="F1703" i="1"/>
  <c r="E1703" i="1"/>
  <c r="G1702" i="1"/>
  <c r="F1702" i="1"/>
  <c r="E1702" i="1"/>
  <c r="G1701" i="1"/>
  <c r="F1701" i="1"/>
  <c r="E1701" i="1"/>
  <c r="G1700" i="1"/>
  <c r="F1700" i="1"/>
  <c r="E1700" i="1"/>
  <c r="G1699" i="1"/>
  <c r="F1699" i="1"/>
  <c r="E1699" i="1"/>
  <c r="G1698" i="1"/>
  <c r="F1698" i="1"/>
  <c r="E1698" i="1"/>
  <c r="G1697" i="1"/>
  <c r="F1697" i="1"/>
  <c r="E1697" i="1"/>
  <c r="G1696" i="1"/>
  <c r="F1696" i="1"/>
  <c r="E1696" i="1"/>
  <c r="G1695" i="1"/>
  <c r="F1695" i="1"/>
  <c r="E1695" i="1"/>
  <c r="G1694" i="1"/>
  <c r="F1694" i="1"/>
  <c r="E1694" i="1"/>
  <c r="G1693" i="1"/>
  <c r="F1693" i="1"/>
  <c r="E1693" i="1"/>
  <c r="G1692" i="1"/>
  <c r="F1692" i="1"/>
  <c r="E1692" i="1"/>
  <c r="G1691" i="1"/>
  <c r="F1691" i="1"/>
  <c r="E1691" i="1"/>
  <c r="G1690" i="1"/>
  <c r="F1690" i="1"/>
  <c r="E1690" i="1"/>
  <c r="G1689" i="1"/>
  <c r="F1689" i="1"/>
  <c r="E1689" i="1"/>
  <c r="G1688" i="1"/>
  <c r="F1688" i="1"/>
  <c r="E1688" i="1"/>
  <c r="G1687" i="1"/>
  <c r="F1687" i="1"/>
  <c r="E1687" i="1"/>
  <c r="G1686" i="1"/>
  <c r="F1686" i="1"/>
  <c r="E1686" i="1"/>
  <c r="G1685" i="1"/>
  <c r="F1685" i="1"/>
  <c r="E1685" i="1"/>
  <c r="G1684" i="1"/>
  <c r="F1684" i="1"/>
  <c r="E1684" i="1"/>
  <c r="G1683" i="1"/>
  <c r="F1683" i="1"/>
  <c r="E1683" i="1"/>
  <c r="G1682" i="1"/>
  <c r="F1682" i="1"/>
  <c r="E1682" i="1"/>
  <c r="G1681" i="1"/>
  <c r="F1681" i="1"/>
  <c r="E1681" i="1"/>
  <c r="G1680" i="1"/>
  <c r="F1680" i="1"/>
  <c r="E1680" i="1"/>
  <c r="G1679" i="1"/>
  <c r="F1679" i="1"/>
  <c r="E1679" i="1"/>
  <c r="G1678" i="1"/>
  <c r="F1678" i="1"/>
  <c r="E1678" i="1"/>
  <c r="G1677" i="1"/>
  <c r="F1677" i="1"/>
  <c r="E1677" i="1"/>
  <c r="G1676" i="1"/>
  <c r="F1676" i="1"/>
  <c r="E1676" i="1"/>
  <c r="G1675" i="1"/>
  <c r="F1675" i="1"/>
  <c r="E1675" i="1"/>
  <c r="G1674" i="1"/>
  <c r="F1674" i="1"/>
  <c r="E1674" i="1"/>
  <c r="G1673" i="1"/>
  <c r="F1673" i="1"/>
  <c r="E1673" i="1"/>
  <c r="G1672" i="1"/>
  <c r="F1672" i="1"/>
  <c r="E1672" i="1"/>
  <c r="G1671" i="1"/>
  <c r="F1671" i="1"/>
  <c r="E1671" i="1"/>
  <c r="G1670" i="1"/>
  <c r="F1670" i="1"/>
  <c r="E1670" i="1"/>
  <c r="G1669" i="1"/>
  <c r="F1669" i="1"/>
  <c r="E1669" i="1"/>
  <c r="G1668" i="1"/>
  <c r="F1668" i="1"/>
  <c r="E1668" i="1"/>
  <c r="G1667" i="1"/>
  <c r="F1667" i="1"/>
  <c r="E1667" i="1"/>
  <c r="G1666" i="1"/>
  <c r="F1666" i="1"/>
  <c r="E1666" i="1"/>
  <c r="G1665" i="1"/>
  <c r="F1665" i="1"/>
  <c r="E1665" i="1"/>
  <c r="G1664" i="1"/>
  <c r="F1664" i="1"/>
  <c r="E1664" i="1"/>
  <c r="G1663" i="1"/>
  <c r="F1663" i="1"/>
  <c r="E1663" i="1"/>
  <c r="G1662" i="1"/>
  <c r="F1662" i="1"/>
  <c r="E1662" i="1"/>
  <c r="G1661" i="1"/>
  <c r="F1661" i="1"/>
  <c r="E1661" i="1"/>
  <c r="G1660" i="1"/>
  <c r="F1660" i="1"/>
  <c r="E1660" i="1"/>
  <c r="G1659" i="1"/>
  <c r="F1659" i="1"/>
  <c r="E1659" i="1"/>
  <c r="G1658" i="1"/>
  <c r="F1658" i="1"/>
  <c r="E1658" i="1"/>
  <c r="G1657" i="1"/>
  <c r="F1657" i="1"/>
  <c r="E1657" i="1"/>
  <c r="G1656" i="1"/>
  <c r="F1656" i="1"/>
  <c r="E1656" i="1"/>
  <c r="G1655" i="1"/>
  <c r="F1655" i="1"/>
  <c r="E1655" i="1"/>
  <c r="G1654" i="1"/>
  <c r="F1654" i="1"/>
  <c r="E1654" i="1"/>
  <c r="G1653" i="1"/>
  <c r="F1653" i="1"/>
  <c r="E1653" i="1"/>
  <c r="G1652" i="1"/>
  <c r="F1652" i="1"/>
  <c r="E1652" i="1"/>
  <c r="G1651" i="1"/>
  <c r="F1651" i="1"/>
  <c r="E1651" i="1"/>
  <c r="G1650" i="1"/>
  <c r="F1650" i="1"/>
  <c r="E1650" i="1"/>
  <c r="G1649" i="1"/>
  <c r="F1649" i="1"/>
  <c r="E1649" i="1"/>
  <c r="G1648" i="1"/>
  <c r="F1648" i="1"/>
  <c r="E1648" i="1"/>
  <c r="G1647" i="1"/>
  <c r="F1647" i="1"/>
  <c r="E1647" i="1"/>
  <c r="G1646" i="1"/>
  <c r="F1646" i="1"/>
  <c r="E1646" i="1"/>
  <c r="G1645" i="1"/>
  <c r="F1645" i="1"/>
  <c r="E1645" i="1"/>
  <c r="G1644" i="1"/>
  <c r="F1644" i="1"/>
  <c r="E1644" i="1"/>
  <c r="G1643" i="1"/>
  <c r="F1643" i="1"/>
  <c r="E1643" i="1"/>
  <c r="G1642" i="1"/>
  <c r="F1642" i="1"/>
  <c r="E1642" i="1"/>
  <c r="G1641" i="1"/>
  <c r="F1641" i="1"/>
  <c r="E1641" i="1"/>
  <c r="G1640" i="1"/>
  <c r="F1640" i="1"/>
  <c r="E1640" i="1"/>
  <c r="G1639" i="1"/>
  <c r="F1639" i="1"/>
  <c r="E1639" i="1"/>
  <c r="G1638" i="1"/>
  <c r="F1638" i="1"/>
  <c r="E1638" i="1"/>
  <c r="G1637" i="1"/>
  <c r="F1637" i="1"/>
  <c r="E1637" i="1"/>
  <c r="G1636" i="1"/>
  <c r="F1636" i="1"/>
  <c r="E1636" i="1"/>
  <c r="G1635" i="1"/>
  <c r="F1635" i="1"/>
  <c r="E1635" i="1"/>
  <c r="G1634" i="1"/>
  <c r="F1634" i="1"/>
  <c r="E1634" i="1"/>
  <c r="G1633" i="1"/>
  <c r="F1633" i="1"/>
  <c r="E1633" i="1"/>
  <c r="G1632" i="1"/>
  <c r="F1632" i="1"/>
  <c r="E1632" i="1"/>
  <c r="G1631" i="1"/>
  <c r="F1631" i="1"/>
  <c r="E1631" i="1"/>
  <c r="G1630" i="1"/>
  <c r="F1630" i="1"/>
  <c r="E1630" i="1"/>
  <c r="G1629" i="1"/>
  <c r="F1629" i="1"/>
  <c r="E1629" i="1"/>
  <c r="G1628" i="1"/>
  <c r="F1628" i="1"/>
  <c r="E1628" i="1"/>
  <c r="G1627" i="1"/>
  <c r="F1627" i="1"/>
  <c r="E1627" i="1"/>
  <c r="G1626" i="1"/>
  <c r="F1626" i="1"/>
  <c r="E1626" i="1"/>
  <c r="G1625" i="1"/>
  <c r="F1625" i="1"/>
  <c r="E1625" i="1"/>
  <c r="G1624" i="1"/>
  <c r="F1624" i="1"/>
  <c r="E1624" i="1"/>
  <c r="G1623" i="1"/>
  <c r="F1623" i="1"/>
  <c r="E1623" i="1"/>
  <c r="G1622" i="1"/>
  <c r="F1622" i="1"/>
  <c r="E1622" i="1"/>
  <c r="G1621" i="1"/>
  <c r="F1621" i="1"/>
  <c r="E1621" i="1"/>
  <c r="G1620" i="1"/>
  <c r="F1620" i="1"/>
  <c r="E1620" i="1"/>
  <c r="G1619" i="1"/>
  <c r="F1619" i="1"/>
  <c r="E1619" i="1"/>
  <c r="G1618" i="1"/>
  <c r="F1618" i="1"/>
  <c r="E1618" i="1"/>
  <c r="G1617" i="1"/>
  <c r="F1617" i="1"/>
  <c r="E1617" i="1"/>
  <c r="G1616" i="1"/>
  <c r="F1616" i="1"/>
  <c r="E1616" i="1"/>
  <c r="G1615" i="1"/>
  <c r="F1615" i="1"/>
  <c r="E1615" i="1"/>
  <c r="G1614" i="1"/>
  <c r="F1614" i="1"/>
  <c r="E1614" i="1"/>
  <c r="G1613" i="1"/>
  <c r="F1613" i="1"/>
  <c r="E1613" i="1"/>
  <c r="G1612" i="1"/>
  <c r="F1612" i="1"/>
  <c r="E1612" i="1"/>
  <c r="G1611" i="1"/>
  <c r="F1611" i="1"/>
  <c r="E1611" i="1"/>
  <c r="G1610" i="1"/>
  <c r="F1610" i="1"/>
  <c r="E1610" i="1"/>
  <c r="G1609" i="1"/>
  <c r="F1609" i="1"/>
  <c r="E1609" i="1"/>
  <c r="G1608" i="1"/>
  <c r="F1608" i="1"/>
  <c r="E1608" i="1"/>
  <c r="G1607" i="1"/>
  <c r="F1607" i="1"/>
  <c r="E1607" i="1"/>
  <c r="G1606" i="1"/>
  <c r="F1606" i="1"/>
  <c r="E1606" i="1"/>
  <c r="G1605" i="1"/>
  <c r="F1605" i="1"/>
  <c r="E1605" i="1"/>
  <c r="G1604" i="1"/>
  <c r="F1604" i="1"/>
  <c r="E1604" i="1"/>
  <c r="G1603" i="1"/>
  <c r="F1603" i="1"/>
  <c r="E1603" i="1"/>
  <c r="G1602" i="1"/>
  <c r="F1602" i="1"/>
  <c r="E1602" i="1"/>
  <c r="G1601" i="1"/>
  <c r="F1601" i="1"/>
  <c r="E1601" i="1"/>
  <c r="G1600" i="1"/>
  <c r="F1600" i="1"/>
  <c r="E1600" i="1"/>
  <c r="G1599" i="1"/>
  <c r="F1599" i="1"/>
  <c r="E1599" i="1"/>
  <c r="G1598" i="1"/>
  <c r="F1598" i="1"/>
  <c r="E1598" i="1"/>
  <c r="G1597" i="1"/>
  <c r="F1597" i="1"/>
  <c r="E1597" i="1"/>
  <c r="G1596" i="1"/>
  <c r="F1596" i="1"/>
  <c r="E1596" i="1"/>
  <c r="G1595" i="1"/>
  <c r="F1595" i="1"/>
  <c r="E1595" i="1"/>
  <c r="G1594" i="1"/>
  <c r="F1594" i="1"/>
  <c r="E1594" i="1"/>
  <c r="G1593" i="1"/>
  <c r="F1593" i="1"/>
  <c r="E1593" i="1"/>
  <c r="G1592" i="1"/>
  <c r="F1592" i="1"/>
  <c r="E1592" i="1"/>
  <c r="G1591" i="1"/>
  <c r="F1591" i="1"/>
  <c r="E1591" i="1"/>
  <c r="G1590" i="1"/>
  <c r="F1590" i="1"/>
  <c r="E1590" i="1"/>
  <c r="G1589" i="1"/>
  <c r="F1589" i="1"/>
  <c r="E1589" i="1"/>
  <c r="G1588" i="1"/>
  <c r="F1588" i="1"/>
  <c r="E1588" i="1"/>
  <c r="G1587" i="1"/>
  <c r="F1587" i="1"/>
  <c r="E1587" i="1"/>
  <c r="G1586" i="1"/>
  <c r="F1586" i="1"/>
  <c r="E1586" i="1"/>
  <c r="G1585" i="1"/>
  <c r="F1585" i="1"/>
  <c r="E1585" i="1"/>
  <c r="G1584" i="1"/>
  <c r="F1584" i="1"/>
  <c r="E1584" i="1"/>
  <c r="G1583" i="1"/>
  <c r="F1583" i="1"/>
  <c r="E1583" i="1"/>
  <c r="G1582" i="1"/>
  <c r="F1582" i="1"/>
  <c r="E1582" i="1"/>
  <c r="G1581" i="1"/>
  <c r="F1581" i="1"/>
  <c r="E1581" i="1"/>
  <c r="G1580" i="1"/>
  <c r="F1580" i="1"/>
  <c r="E1580" i="1"/>
  <c r="G1579" i="1"/>
  <c r="F1579" i="1"/>
  <c r="E1579" i="1"/>
  <c r="G1578" i="1"/>
  <c r="F1578" i="1"/>
  <c r="E1578" i="1"/>
  <c r="G1577" i="1"/>
  <c r="F1577" i="1"/>
  <c r="E1577" i="1"/>
  <c r="G1576" i="1"/>
  <c r="F1576" i="1"/>
  <c r="E1576" i="1"/>
  <c r="G1575" i="1"/>
  <c r="F1575" i="1"/>
  <c r="E1575" i="1"/>
  <c r="G1574" i="1"/>
  <c r="F1574" i="1"/>
  <c r="E1574" i="1"/>
  <c r="G1573" i="1"/>
  <c r="F1573" i="1"/>
  <c r="E1573" i="1"/>
  <c r="G1572" i="1"/>
  <c r="F1572" i="1"/>
  <c r="E1572" i="1"/>
  <c r="G1571" i="1"/>
  <c r="F1571" i="1"/>
  <c r="E1571" i="1"/>
  <c r="G1570" i="1"/>
  <c r="F1570" i="1"/>
  <c r="E1570" i="1"/>
  <c r="G1569" i="1"/>
  <c r="F1569" i="1"/>
  <c r="E1569" i="1"/>
  <c r="G1568" i="1"/>
  <c r="F1568" i="1"/>
  <c r="E1568" i="1"/>
  <c r="G1567" i="1"/>
  <c r="F1567" i="1"/>
  <c r="E1567" i="1"/>
  <c r="G1566" i="1"/>
  <c r="F1566" i="1"/>
  <c r="E1566" i="1"/>
  <c r="G1565" i="1"/>
  <c r="F1565" i="1"/>
  <c r="E1565" i="1"/>
  <c r="G1564" i="1"/>
  <c r="F1564" i="1"/>
  <c r="E1564" i="1"/>
  <c r="G1563" i="1"/>
  <c r="F1563" i="1"/>
  <c r="E1563" i="1"/>
  <c r="G1562" i="1"/>
  <c r="F1562" i="1"/>
  <c r="E1562" i="1"/>
  <c r="G1561" i="1"/>
  <c r="F1561" i="1"/>
  <c r="E1561" i="1"/>
  <c r="G1560" i="1"/>
  <c r="F1560" i="1"/>
  <c r="E1560" i="1"/>
  <c r="G1559" i="1"/>
  <c r="F1559" i="1"/>
  <c r="E1559" i="1"/>
  <c r="G1558" i="1"/>
  <c r="F1558" i="1"/>
  <c r="E1558" i="1"/>
  <c r="G1557" i="1"/>
  <c r="F1557" i="1"/>
  <c r="E1557" i="1"/>
  <c r="G1556" i="1"/>
  <c r="F1556" i="1"/>
  <c r="E1556" i="1"/>
  <c r="G1555" i="1"/>
  <c r="F1555" i="1"/>
  <c r="E1555" i="1"/>
  <c r="G1554" i="1"/>
  <c r="F1554" i="1"/>
  <c r="E1554" i="1"/>
  <c r="G1553" i="1"/>
  <c r="F1553" i="1"/>
  <c r="E1553" i="1"/>
  <c r="G1552" i="1"/>
  <c r="F1552" i="1"/>
  <c r="E1552" i="1"/>
  <c r="G1551" i="1"/>
  <c r="F1551" i="1"/>
  <c r="E1551" i="1"/>
  <c r="G1550" i="1"/>
  <c r="F1550" i="1"/>
  <c r="E1550" i="1"/>
  <c r="G1549" i="1"/>
  <c r="F1549" i="1"/>
  <c r="E1549" i="1"/>
  <c r="G1548" i="1"/>
  <c r="F1548" i="1"/>
  <c r="E1548" i="1"/>
  <c r="G1547" i="1"/>
  <c r="F1547" i="1"/>
  <c r="E1547" i="1"/>
  <c r="G1546" i="1"/>
  <c r="F1546" i="1"/>
  <c r="E1546" i="1"/>
  <c r="G1545" i="1"/>
  <c r="F1545" i="1"/>
  <c r="E1545" i="1"/>
  <c r="G1544" i="1"/>
  <c r="F1544" i="1"/>
  <c r="E1544" i="1"/>
  <c r="G1543" i="1"/>
  <c r="F1543" i="1"/>
  <c r="E1543" i="1"/>
  <c r="G1542" i="1"/>
  <c r="F1542" i="1"/>
  <c r="E1542" i="1"/>
  <c r="G1541" i="1"/>
  <c r="F1541" i="1"/>
  <c r="E1541" i="1"/>
  <c r="G1540" i="1"/>
  <c r="F1540" i="1"/>
  <c r="E1540" i="1"/>
  <c r="G1539" i="1"/>
  <c r="F1539" i="1"/>
  <c r="E1539" i="1"/>
  <c r="G1538" i="1"/>
  <c r="F1538" i="1"/>
  <c r="E1538" i="1"/>
  <c r="G1537" i="1"/>
  <c r="F1537" i="1"/>
  <c r="E1537" i="1"/>
  <c r="G1536" i="1"/>
  <c r="F1536" i="1"/>
  <c r="E1536" i="1"/>
  <c r="G1535" i="1"/>
  <c r="F1535" i="1"/>
  <c r="E1535" i="1"/>
  <c r="G1534" i="1"/>
  <c r="F1534" i="1"/>
  <c r="E1534" i="1"/>
  <c r="G1533" i="1"/>
  <c r="F1533" i="1"/>
  <c r="E1533" i="1"/>
  <c r="G1532" i="1"/>
  <c r="F1532" i="1"/>
  <c r="E1532" i="1"/>
  <c r="G1531" i="1"/>
  <c r="F1531" i="1"/>
  <c r="E1531" i="1"/>
  <c r="G1530" i="1"/>
  <c r="F1530" i="1"/>
  <c r="E1530" i="1"/>
  <c r="G1529" i="1"/>
  <c r="F1529" i="1"/>
  <c r="E1529" i="1"/>
  <c r="G1528" i="1"/>
  <c r="F1528" i="1"/>
  <c r="E1528" i="1"/>
  <c r="G1527" i="1"/>
  <c r="F1527" i="1"/>
  <c r="E1527" i="1"/>
  <c r="G1526" i="1"/>
  <c r="F1526" i="1"/>
  <c r="E1526" i="1"/>
  <c r="G1525" i="1"/>
  <c r="F1525" i="1"/>
  <c r="E1525" i="1"/>
  <c r="G1524" i="1"/>
  <c r="F1524" i="1"/>
  <c r="E1524" i="1"/>
  <c r="G1523" i="1"/>
  <c r="F1523" i="1"/>
  <c r="E1523" i="1"/>
  <c r="G1522" i="1"/>
  <c r="F1522" i="1"/>
  <c r="E1522" i="1"/>
  <c r="G1521" i="1"/>
  <c r="F1521" i="1"/>
  <c r="E1521" i="1"/>
  <c r="G1520" i="1"/>
  <c r="F1520" i="1"/>
  <c r="E1520" i="1"/>
  <c r="G1519" i="1"/>
  <c r="F1519" i="1"/>
  <c r="E1519" i="1"/>
  <c r="G1518" i="1"/>
  <c r="F1518" i="1"/>
  <c r="E1518" i="1"/>
  <c r="G1517" i="1"/>
  <c r="F1517" i="1"/>
  <c r="E1517" i="1"/>
  <c r="G1516" i="1"/>
  <c r="F1516" i="1"/>
  <c r="E1516" i="1"/>
  <c r="G1515" i="1"/>
  <c r="F1515" i="1"/>
  <c r="E1515" i="1"/>
  <c r="G1514" i="1"/>
  <c r="F1514" i="1"/>
  <c r="E1514" i="1"/>
  <c r="G1513" i="1"/>
  <c r="F1513" i="1"/>
  <c r="E1513" i="1"/>
  <c r="G1512" i="1"/>
  <c r="F1512" i="1"/>
  <c r="E1512" i="1"/>
  <c r="G1511" i="1"/>
  <c r="F1511" i="1"/>
  <c r="E1511" i="1"/>
  <c r="G1510" i="1"/>
  <c r="F1510" i="1"/>
  <c r="E1510" i="1"/>
  <c r="G1509" i="1"/>
  <c r="F1509" i="1"/>
  <c r="E1509" i="1"/>
  <c r="G1508" i="1"/>
  <c r="F1508" i="1"/>
  <c r="E1508" i="1"/>
  <c r="G1507" i="1"/>
  <c r="F1507" i="1"/>
  <c r="E1507" i="1"/>
  <c r="G1506" i="1"/>
  <c r="F1506" i="1"/>
  <c r="E1506" i="1"/>
  <c r="G1505" i="1"/>
  <c r="F1505" i="1"/>
  <c r="E1505" i="1"/>
  <c r="G1504" i="1"/>
  <c r="F1504" i="1"/>
  <c r="E1504" i="1"/>
  <c r="G1503" i="1"/>
  <c r="F1503" i="1"/>
  <c r="E1503" i="1"/>
  <c r="G1502" i="1"/>
  <c r="F1502" i="1"/>
  <c r="E1502" i="1"/>
  <c r="G1501" i="1"/>
  <c r="F1501" i="1"/>
  <c r="E1501" i="1"/>
  <c r="G1500" i="1"/>
  <c r="F1500" i="1"/>
  <c r="E1500" i="1"/>
  <c r="G1499" i="1"/>
  <c r="F1499" i="1"/>
  <c r="E1499" i="1"/>
  <c r="G1498" i="1"/>
  <c r="F1498" i="1"/>
  <c r="E1498" i="1"/>
  <c r="G1497" i="1"/>
  <c r="F1497" i="1"/>
  <c r="E1497" i="1"/>
  <c r="G1496" i="1"/>
  <c r="F1496" i="1"/>
  <c r="E1496" i="1"/>
  <c r="G1495" i="1"/>
  <c r="F1495" i="1"/>
  <c r="E1495" i="1"/>
  <c r="G1494" i="1"/>
  <c r="F1494" i="1"/>
  <c r="E1494" i="1"/>
  <c r="G1493" i="1"/>
  <c r="F1493" i="1"/>
  <c r="E1493" i="1"/>
  <c r="G1492" i="1"/>
  <c r="F1492" i="1"/>
  <c r="E1492" i="1"/>
  <c r="G1491" i="1"/>
  <c r="F1491" i="1"/>
  <c r="E1491" i="1"/>
  <c r="G1490" i="1"/>
  <c r="F1490" i="1"/>
  <c r="E1490" i="1"/>
  <c r="G1489" i="1"/>
  <c r="F1489" i="1"/>
  <c r="E1489" i="1"/>
  <c r="G1488" i="1"/>
  <c r="F1488" i="1"/>
  <c r="E1488" i="1"/>
  <c r="G1487" i="1"/>
  <c r="F1487" i="1"/>
  <c r="E1487" i="1"/>
  <c r="G1486" i="1"/>
  <c r="F1486" i="1"/>
  <c r="E1486" i="1"/>
  <c r="G1485" i="1"/>
  <c r="F1485" i="1"/>
  <c r="E1485" i="1"/>
  <c r="G1484" i="1"/>
  <c r="F1484" i="1"/>
  <c r="E1484" i="1"/>
  <c r="G1483" i="1"/>
  <c r="F1483" i="1"/>
  <c r="E1483" i="1"/>
  <c r="G1482" i="1"/>
  <c r="F1482" i="1"/>
  <c r="E1482" i="1"/>
  <c r="G1481" i="1"/>
  <c r="F1481" i="1"/>
  <c r="E1481" i="1"/>
  <c r="G1480" i="1"/>
  <c r="F1480" i="1"/>
  <c r="E1480" i="1"/>
  <c r="G1479" i="1"/>
  <c r="F1479" i="1"/>
  <c r="E1479" i="1"/>
  <c r="G1478" i="1"/>
  <c r="F1478" i="1"/>
  <c r="E1478" i="1"/>
  <c r="G1477" i="1"/>
  <c r="F1477" i="1"/>
  <c r="E1477" i="1"/>
  <c r="G1476" i="1"/>
  <c r="F1476" i="1"/>
  <c r="E1476" i="1"/>
  <c r="G1475" i="1"/>
  <c r="F1475" i="1"/>
  <c r="E1475" i="1"/>
  <c r="G1474" i="1"/>
  <c r="F1474" i="1"/>
  <c r="E1474" i="1"/>
  <c r="G1473" i="1"/>
  <c r="F1473" i="1"/>
  <c r="E1473" i="1"/>
  <c r="G1472" i="1"/>
  <c r="F1472" i="1"/>
  <c r="E1472" i="1"/>
  <c r="G1471" i="1"/>
  <c r="F1471" i="1"/>
  <c r="E1471" i="1"/>
  <c r="G1470" i="1"/>
  <c r="F1470" i="1"/>
  <c r="E1470" i="1"/>
  <c r="G1469" i="1"/>
  <c r="F1469" i="1"/>
  <c r="E1469" i="1"/>
  <c r="G1468" i="1"/>
  <c r="F1468" i="1"/>
  <c r="E1468" i="1"/>
  <c r="G1467" i="1"/>
  <c r="F1467" i="1"/>
  <c r="E1467" i="1"/>
  <c r="G1466" i="1"/>
  <c r="F1466" i="1"/>
  <c r="E1466" i="1"/>
  <c r="G1465" i="1"/>
  <c r="F1465" i="1"/>
  <c r="E1465" i="1"/>
  <c r="G1464" i="1"/>
  <c r="F1464" i="1"/>
  <c r="E1464" i="1"/>
  <c r="G1463" i="1"/>
  <c r="F1463" i="1"/>
  <c r="E1463" i="1"/>
  <c r="G1462" i="1"/>
  <c r="F1462" i="1"/>
  <c r="E1462" i="1"/>
  <c r="G1461" i="1"/>
  <c r="F1461" i="1"/>
  <c r="E1461" i="1"/>
  <c r="G1460" i="1"/>
  <c r="F1460" i="1"/>
  <c r="E1460" i="1"/>
  <c r="G1459" i="1"/>
  <c r="F1459" i="1"/>
  <c r="E1459" i="1"/>
  <c r="G1458" i="1"/>
  <c r="F1458" i="1"/>
  <c r="E1458" i="1"/>
  <c r="G1457" i="1"/>
  <c r="F1457" i="1"/>
  <c r="E1457" i="1"/>
  <c r="G1456" i="1"/>
  <c r="F1456" i="1"/>
  <c r="E1456" i="1"/>
  <c r="G1455" i="1"/>
  <c r="F1455" i="1"/>
  <c r="E1455" i="1"/>
  <c r="G1454" i="1"/>
  <c r="F1454" i="1"/>
  <c r="E1454" i="1"/>
  <c r="G1453" i="1"/>
  <c r="F1453" i="1"/>
  <c r="E1453" i="1"/>
  <c r="G1452" i="1"/>
  <c r="F1452" i="1"/>
  <c r="E1452" i="1"/>
  <c r="G1451" i="1"/>
  <c r="F1451" i="1"/>
  <c r="E1451" i="1"/>
  <c r="G1450" i="1"/>
  <c r="F1450" i="1"/>
  <c r="E1450" i="1"/>
  <c r="G1449" i="1"/>
  <c r="F1449" i="1"/>
  <c r="E1449" i="1"/>
  <c r="G1448" i="1"/>
  <c r="F1448" i="1"/>
  <c r="E1448" i="1"/>
  <c r="G1447" i="1"/>
  <c r="F1447" i="1"/>
  <c r="E1447" i="1"/>
  <c r="G1446" i="1"/>
  <c r="F1446" i="1"/>
  <c r="E1446" i="1"/>
  <c r="G1445" i="1"/>
  <c r="F1445" i="1"/>
  <c r="E1445" i="1"/>
  <c r="G1444" i="1"/>
  <c r="F1444" i="1"/>
  <c r="E1444" i="1"/>
  <c r="G1443" i="1"/>
  <c r="F1443" i="1"/>
  <c r="E1443" i="1"/>
  <c r="G1442" i="1"/>
  <c r="F1442" i="1"/>
  <c r="E1442" i="1"/>
  <c r="G1441" i="1"/>
  <c r="F1441" i="1"/>
  <c r="E1441" i="1"/>
  <c r="G1440" i="1"/>
  <c r="F1440" i="1"/>
  <c r="E1440" i="1"/>
  <c r="G1439" i="1"/>
  <c r="F1439" i="1"/>
  <c r="E1439" i="1"/>
  <c r="G1438" i="1"/>
  <c r="F1438" i="1"/>
  <c r="E1438" i="1"/>
  <c r="G1437" i="1"/>
  <c r="F1437" i="1"/>
  <c r="E1437" i="1"/>
  <c r="G1436" i="1"/>
  <c r="F1436" i="1"/>
  <c r="E1436" i="1"/>
  <c r="G1435" i="1"/>
  <c r="F1435" i="1"/>
  <c r="E1435" i="1"/>
  <c r="G1434" i="1"/>
  <c r="F1434" i="1"/>
  <c r="E1434" i="1"/>
  <c r="G1433" i="1"/>
  <c r="F1433" i="1"/>
  <c r="E1433" i="1"/>
  <c r="G1432" i="1"/>
  <c r="F1432" i="1"/>
  <c r="E1432" i="1"/>
  <c r="G1431" i="1"/>
  <c r="F1431" i="1"/>
  <c r="E1431" i="1"/>
  <c r="G1430" i="1"/>
  <c r="F1430" i="1"/>
  <c r="E1430" i="1"/>
  <c r="G1429" i="1"/>
  <c r="F1429" i="1"/>
  <c r="E1429" i="1"/>
  <c r="G1428" i="1"/>
  <c r="F1428" i="1"/>
  <c r="E1428" i="1"/>
  <c r="G1427" i="1"/>
  <c r="F1427" i="1"/>
  <c r="E1427" i="1"/>
  <c r="G1426" i="1"/>
  <c r="F1426" i="1"/>
  <c r="E1426" i="1"/>
  <c r="G1425" i="1"/>
  <c r="F1425" i="1"/>
  <c r="E1425" i="1"/>
  <c r="G1424" i="1"/>
  <c r="F1424" i="1"/>
  <c r="E1424" i="1"/>
  <c r="G1423" i="1"/>
  <c r="F1423" i="1"/>
  <c r="E1423" i="1"/>
  <c r="G1422" i="1"/>
  <c r="F1422" i="1"/>
  <c r="E1422" i="1"/>
  <c r="G1421" i="1"/>
  <c r="F1421" i="1"/>
  <c r="E1421" i="1"/>
  <c r="G1420" i="1"/>
  <c r="F1420" i="1"/>
  <c r="E1420" i="1"/>
  <c r="G1419" i="1"/>
  <c r="F1419" i="1"/>
  <c r="E1419" i="1"/>
  <c r="G1418" i="1"/>
  <c r="F1418" i="1"/>
  <c r="E1418" i="1"/>
  <c r="G1417" i="1"/>
  <c r="F1417" i="1"/>
  <c r="E1417" i="1"/>
  <c r="G1416" i="1"/>
  <c r="F1416" i="1"/>
  <c r="E1416" i="1"/>
  <c r="G1415" i="1"/>
  <c r="F1415" i="1"/>
  <c r="E1415" i="1"/>
  <c r="G1414" i="1"/>
  <c r="F1414" i="1"/>
  <c r="E1414" i="1"/>
  <c r="G1413" i="1"/>
  <c r="F1413" i="1"/>
  <c r="E1413" i="1"/>
  <c r="G1412" i="1"/>
  <c r="F1412" i="1"/>
  <c r="E1412" i="1"/>
  <c r="G1411" i="1"/>
  <c r="F1411" i="1"/>
  <c r="E1411" i="1"/>
  <c r="G1410" i="1"/>
  <c r="F1410" i="1"/>
  <c r="E1410" i="1"/>
  <c r="G1409" i="1"/>
  <c r="F1409" i="1"/>
  <c r="E1409" i="1"/>
  <c r="G1408" i="1"/>
  <c r="F1408" i="1"/>
  <c r="E1408" i="1"/>
  <c r="G1407" i="1"/>
  <c r="F1407" i="1"/>
  <c r="E1407" i="1"/>
  <c r="G1406" i="1"/>
  <c r="F1406" i="1"/>
  <c r="E1406" i="1"/>
  <c r="G1405" i="1"/>
  <c r="F1405" i="1"/>
  <c r="E1405" i="1"/>
  <c r="G1404" i="1"/>
  <c r="F1404" i="1"/>
  <c r="E1404" i="1"/>
  <c r="G1403" i="1"/>
  <c r="F1403" i="1"/>
  <c r="E1403" i="1"/>
  <c r="G1402" i="1"/>
  <c r="F1402" i="1"/>
  <c r="E1402" i="1"/>
  <c r="G1401" i="1"/>
  <c r="F1401" i="1"/>
  <c r="E1401" i="1"/>
  <c r="G1400" i="1"/>
  <c r="F1400" i="1"/>
  <c r="E1400" i="1"/>
  <c r="G1399" i="1"/>
  <c r="F1399" i="1"/>
  <c r="E1399" i="1"/>
  <c r="G1398" i="1"/>
  <c r="F1398" i="1"/>
  <c r="E1398" i="1"/>
  <c r="G1397" i="1"/>
  <c r="F1397" i="1"/>
  <c r="E1397" i="1"/>
  <c r="G1396" i="1"/>
  <c r="F1396" i="1"/>
  <c r="E1396" i="1"/>
  <c r="G1395" i="1"/>
  <c r="F1395" i="1"/>
  <c r="E1395" i="1"/>
  <c r="G1394" i="1"/>
  <c r="F1394" i="1"/>
  <c r="E1394" i="1"/>
  <c r="G1393" i="1"/>
  <c r="F1393" i="1"/>
  <c r="E1393" i="1"/>
  <c r="G1392" i="1"/>
  <c r="F1392" i="1"/>
  <c r="E1392" i="1"/>
  <c r="G1391" i="1"/>
  <c r="F1391" i="1"/>
  <c r="E1391" i="1"/>
  <c r="G1390" i="1"/>
  <c r="F1390" i="1"/>
  <c r="E1390" i="1"/>
  <c r="G1389" i="1"/>
  <c r="F1389" i="1"/>
  <c r="E1389" i="1"/>
  <c r="G1388" i="1"/>
  <c r="F1388" i="1"/>
  <c r="E1388" i="1"/>
  <c r="G1387" i="1"/>
  <c r="F1387" i="1"/>
  <c r="E1387" i="1"/>
  <c r="G1386" i="1"/>
  <c r="F1386" i="1"/>
  <c r="E1386" i="1"/>
  <c r="G1385" i="1"/>
  <c r="F1385" i="1"/>
  <c r="E1385" i="1"/>
  <c r="G1384" i="1"/>
  <c r="F1384" i="1"/>
  <c r="E1384" i="1"/>
  <c r="G1383" i="1"/>
  <c r="F1383" i="1"/>
  <c r="E1383" i="1"/>
  <c r="G1382" i="1"/>
  <c r="F1382" i="1"/>
  <c r="E1382" i="1"/>
  <c r="G1381" i="1"/>
  <c r="F1381" i="1"/>
  <c r="E1381" i="1"/>
  <c r="G1380" i="1"/>
  <c r="F1380" i="1"/>
  <c r="E1380" i="1"/>
  <c r="G1379" i="1"/>
  <c r="F1379" i="1"/>
  <c r="E1379" i="1"/>
  <c r="G1378" i="1"/>
  <c r="F1378" i="1"/>
  <c r="E1378" i="1"/>
  <c r="G1377" i="1"/>
  <c r="F1377" i="1"/>
  <c r="E1377" i="1"/>
  <c r="G1376" i="1"/>
  <c r="F1376" i="1"/>
  <c r="E1376" i="1"/>
  <c r="G1375" i="1"/>
  <c r="F1375" i="1"/>
  <c r="E1375" i="1"/>
  <c r="G1374" i="1"/>
  <c r="F1374" i="1"/>
  <c r="E1374" i="1"/>
  <c r="G1373" i="1"/>
  <c r="F1373" i="1"/>
  <c r="E1373" i="1"/>
  <c r="G1372" i="1"/>
  <c r="F1372" i="1"/>
  <c r="E1372" i="1"/>
  <c r="G1371" i="1"/>
  <c r="F1371" i="1"/>
  <c r="E1371" i="1"/>
  <c r="G1370" i="1"/>
  <c r="F1370" i="1"/>
  <c r="E1370" i="1"/>
  <c r="G1369" i="1"/>
  <c r="F1369" i="1"/>
  <c r="E1369" i="1"/>
  <c r="G1368" i="1"/>
  <c r="F1368" i="1"/>
  <c r="E1368" i="1"/>
  <c r="G1367" i="1"/>
  <c r="F1367" i="1"/>
  <c r="E1367" i="1"/>
  <c r="G1366" i="1"/>
  <c r="F1366" i="1"/>
  <c r="E1366" i="1"/>
  <c r="G1365" i="1"/>
  <c r="F1365" i="1"/>
  <c r="E1365" i="1"/>
  <c r="G1364" i="1"/>
  <c r="F1364" i="1"/>
  <c r="E1364" i="1"/>
  <c r="G1363" i="1"/>
  <c r="F1363" i="1"/>
  <c r="E1363" i="1"/>
  <c r="G1362" i="1"/>
  <c r="F1362" i="1"/>
  <c r="E1362" i="1"/>
  <c r="G1361" i="1"/>
  <c r="F1361" i="1"/>
  <c r="E1361" i="1"/>
  <c r="G1360" i="1"/>
  <c r="F1360" i="1"/>
  <c r="E1360" i="1"/>
  <c r="G1359" i="1"/>
  <c r="F1359" i="1"/>
  <c r="E1359" i="1"/>
  <c r="G1358" i="1"/>
  <c r="F1358" i="1"/>
  <c r="E1358" i="1"/>
  <c r="G1357" i="1"/>
  <c r="F1357" i="1"/>
  <c r="E1357" i="1"/>
  <c r="G1356" i="1"/>
  <c r="F1356" i="1"/>
  <c r="E1356" i="1"/>
  <c r="G1355" i="1"/>
  <c r="F1355" i="1"/>
  <c r="E1355" i="1"/>
  <c r="G1354" i="1"/>
  <c r="F1354" i="1"/>
  <c r="E1354" i="1"/>
  <c r="G1353" i="1"/>
  <c r="F1353" i="1"/>
  <c r="E1353" i="1"/>
  <c r="G1352" i="1"/>
  <c r="F1352" i="1"/>
  <c r="E1352" i="1"/>
  <c r="G1351" i="1"/>
  <c r="F1351" i="1"/>
  <c r="E1351" i="1"/>
  <c r="G1350" i="1"/>
  <c r="F1350" i="1"/>
  <c r="E1350" i="1"/>
  <c r="G1349" i="1"/>
  <c r="F1349" i="1"/>
  <c r="E1349" i="1"/>
  <c r="G1348" i="1"/>
  <c r="F1348" i="1"/>
  <c r="E1348" i="1"/>
  <c r="G1347" i="1"/>
  <c r="F1347" i="1"/>
  <c r="E1347" i="1"/>
  <c r="G1346" i="1"/>
  <c r="F1346" i="1"/>
  <c r="E1346" i="1"/>
  <c r="G1345" i="1"/>
  <c r="F1345" i="1"/>
  <c r="E1345" i="1"/>
  <c r="G1344" i="1"/>
  <c r="F1344" i="1"/>
  <c r="E1344" i="1"/>
  <c r="G1343" i="1"/>
  <c r="F1343" i="1"/>
  <c r="E1343" i="1"/>
  <c r="G1342" i="1"/>
  <c r="F1342" i="1"/>
  <c r="E1342" i="1"/>
  <c r="G1341" i="1"/>
  <c r="F1341" i="1"/>
  <c r="E1341" i="1"/>
  <c r="G1340" i="1"/>
  <c r="F1340" i="1"/>
  <c r="E1340" i="1"/>
  <c r="G1339" i="1"/>
  <c r="F1339" i="1"/>
  <c r="E1339" i="1"/>
  <c r="G1338" i="1"/>
  <c r="F1338" i="1"/>
  <c r="E1338" i="1"/>
  <c r="G1337" i="1"/>
  <c r="F1337" i="1"/>
  <c r="E1337" i="1"/>
  <c r="G1336" i="1"/>
  <c r="F1336" i="1"/>
  <c r="E1336" i="1"/>
  <c r="G1335" i="1"/>
  <c r="F1335" i="1"/>
  <c r="E1335" i="1"/>
  <c r="G1334" i="1"/>
  <c r="F1334" i="1"/>
  <c r="E1334" i="1"/>
  <c r="G1333" i="1"/>
  <c r="F1333" i="1"/>
  <c r="E1333" i="1"/>
  <c r="G1332" i="1"/>
  <c r="F1332" i="1"/>
  <c r="E1332" i="1"/>
  <c r="G1331" i="1"/>
  <c r="F1331" i="1"/>
  <c r="E1331" i="1"/>
  <c r="G1330" i="1"/>
  <c r="F1330" i="1"/>
  <c r="E1330" i="1"/>
  <c r="G1329" i="1"/>
  <c r="F1329" i="1"/>
  <c r="E1329" i="1"/>
  <c r="G1328" i="1"/>
  <c r="F1328" i="1"/>
  <c r="E1328" i="1"/>
  <c r="G1327" i="1"/>
  <c r="F1327" i="1"/>
  <c r="E1327" i="1"/>
  <c r="G1326" i="1"/>
  <c r="F1326" i="1"/>
  <c r="E1326" i="1"/>
  <c r="G1325" i="1"/>
  <c r="F1325" i="1"/>
  <c r="E1325" i="1"/>
  <c r="G1324" i="1"/>
  <c r="F1324" i="1"/>
  <c r="E1324" i="1"/>
  <c r="G1323" i="1"/>
  <c r="F1323" i="1"/>
  <c r="E1323" i="1"/>
  <c r="G1322" i="1"/>
  <c r="F1322" i="1"/>
  <c r="E1322" i="1"/>
  <c r="G1321" i="1"/>
  <c r="F1321" i="1"/>
  <c r="E1321" i="1"/>
  <c r="G1320" i="1"/>
  <c r="F1320" i="1"/>
  <c r="E1320" i="1"/>
  <c r="G1319" i="1"/>
  <c r="F1319" i="1"/>
  <c r="E1319" i="1"/>
  <c r="G1318" i="1"/>
  <c r="F1318" i="1"/>
  <c r="E1318" i="1"/>
  <c r="G1317" i="1"/>
  <c r="F1317" i="1"/>
  <c r="E1317" i="1"/>
  <c r="G1316" i="1"/>
  <c r="F1316" i="1"/>
  <c r="E1316" i="1"/>
  <c r="G1315" i="1"/>
  <c r="F1315" i="1"/>
  <c r="E1315" i="1"/>
  <c r="G1314" i="1"/>
  <c r="F1314" i="1"/>
  <c r="E1314" i="1"/>
  <c r="G1313" i="1"/>
  <c r="F1313" i="1"/>
  <c r="E1313" i="1"/>
  <c r="G1312" i="1"/>
  <c r="F1312" i="1"/>
  <c r="E1312" i="1"/>
  <c r="G1311" i="1"/>
  <c r="F1311" i="1"/>
  <c r="E1311" i="1"/>
  <c r="G1310" i="1"/>
  <c r="F1310" i="1"/>
  <c r="E1310" i="1"/>
  <c r="G1309" i="1"/>
  <c r="F1309" i="1"/>
  <c r="E1309" i="1"/>
  <c r="G1308" i="1"/>
  <c r="F1308" i="1"/>
  <c r="E1308" i="1"/>
  <c r="G1307" i="1"/>
  <c r="F1307" i="1"/>
  <c r="E1307" i="1"/>
  <c r="G1306" i="1"/>
  <c r="F1306" i="1"/>
  <c r="E1306" i="1"/>
  <c r="G1305" i="1"/>
  <c r="F1305" i="1"/>
  <c r="E1305" i="1"/>
  <c r="G1304" i="1"/>
  <c r="F1304" i="1"/>
  <c r="E1304" i="1"/>
  <c r="G1303" i="1"/>
  <c r="F1303" i="1"/>
  <c r="E1303" i="1"/>
  <c r="G1302" i="1"/>
  <c r="F1302" i="1"/>
  <c r="E1302" i="1"/>
  <c r="G1301" i="1"/>
  <c r="F1301" i="1"/>
  <c r="E1301" i="1"/>
  <c r="G1300" i="1"/>
  <c r="F1300" i="1"/>
  <c r="E1300" i="1"/>
  <c r="G1299" i="1"/>
  <c r="F1299" i="1"/>
  <c r="E1299" i="1"/>
  <c r="G1298" i="1"/>
  <c r="F1298" i="1"/>
  <c r="E1298" i="1"/>
  <c r="G1297" i="1"/>
  <c r="F1297" i="1"/>
  <c r="E1297" i="1"/>
  <c r="G1296" i="1"/>
  <c r="F1296" i="1"/>
  <c r="E1296" i="1"/>
  <c r="G1295" i="1"/>
  <c r="F1295" i="1"/>
  <c r="E1295" i="1"/>
  <c r="G1294" i="1"/>
  <c r="F1294" i="1"/>
  <c r="E1294" i="1"/>
  <c r="G1293" i="1"/>
  <c r="F1293" i="1"/>
  <c r="E1293" i="1"/>
  <c r="G1292" i="1"/>
  <c r="F1292" i="1"/>
  <c r="E1292" i="1"/>
  <c r="G1291" i="1"/>
  <c r="F1291" i="1"/>
  <c r="E1291" i="1"/>
  <c r="G1290" i="1"/>
  <c r="F1290" i="1"/>
  <c r="E1290" i="1"/>
  <c r="G1289" i="1"/>
  <c r="F1289" i="1"/>
  <c r="E1289" i="1"/>
  <c r="G1288" i="1"/>
  <c r="F1288" i="1"/>
  <c r="E1288" i="1"/>
  <c r="G1287" i="1"/>
  <c r="F1287" i="1"/>
  <c r="E1287" i="1"/>
  <c r="G1286" i="1"/>
  <c r="F1286" i="1"/>
  <c r="E1286" i="1"/>
  <c r="G1285" i="1"/>
  <c r="F1285" i="1"/>
  <c r="E1285" i="1"/>
  <c r="G1284" i="1"/>
  <c r="F1284" i="1"/>
  <c r="E1284" i="1"/>
  <c r="G1283" i="1"/>
  <c r="F1283" i="1"/>
  <c r="E1283" i="1"/>
  <c r="G1282" i="1"/>
  <c r="F1282" i="1"/>
  <c r="E1282" i="1"/>
  <c r="G1281" i="1"/>
  <c r="F1281" i="1"/>
  <c r="E1281" i="1"/>
  <c r="G1280" i="1"/>
  <c r="F1280" i="1"/>
  <c r="E1280" i="1"/>
  <c r="G1279" i="1"/>
  <c r="F1279" i="1"/>
  <c r="E1279" i="1"/>
  <c r="G1278" i="1"/>
  <c r="F1278" i="1"/>
  <c r="E1278" i="1"/>
  <c r="G1277" i="1"/>
  <c r="F1277" i="1"/>
  <c r="E1277" i="1"/>
  <c r="G1276" i="1"/>
  <c r="F1276" i="1"/>
  <c r="E1276" i="1"/>
  <c r="G1275" i="1"/>
  <c r="F1275" i="1"/>
  <c r="E1275" i="1"/>
  <c r="G1274" i="1"/>
  <c r="F1274" i="1"/>
  <c r="E1274" i="1"/>
  <c r="G1273" i="1"/>
  <c r="F1273" i="1"/>
  <c r="E1273" i="1"/>
  <c r="G1272" i="1"/>
  <c r="F1272" i="1"/>
  <c r="E1272" i="1"/>
  <c r="G1271" i="1"/>
  <c r="F1271" i="1"/>
  <c r="E1271" i="1"/>
  <c r="G1270" i="1"/>
  <c r="F1270" i="1"/>
  <c r="E1270" i="1"/>
  <c r="G1269" i="1"/>
  <c r="F1269" i="1"/>
  <c r="E1269" i="1"/>
  <c r="G1268" i="1"/>
  <c r="F1268" i="1"/>
  <c r="E1268" i="1"/>
  <c r="G1267" i="1"/>
  <c r="F1267" i="1"/>
  <c r="E1267" i="1"/>
  <c r="G1266" i="1"/>
  <c r="F1266" i="1"/>
  <c r="E1266" i="1"/>
  <c r="G1265" i="1"/>
  <c r="F1265" i="1"/>
  <c r="E1265" i="1"/>
  <c r="G1264" i="1"/>
  <c r="F1264" i="1"/>
  <c r="E1264" i="1"/>
  <c r="G1263" i="1"/>
  <c r="F1263" i="1"/>
  <c r="E1263" i="1"/>
  <c r="G1262" i="1"/>
  <c r="F1262" i="1"/>
  <c r="E1262" i="1"/>
  <c r="G1261" i="1"/>
  <c r="F1261" i="1"/>
  <c r="E1261" i="1"/>
  <c r="G1260" i="1"/>
  <c r="F1260" i="1"/>
  <c r="E1260" i="1"/>
  <c r="G1259" i="1"/>
  <c r="F1259" i="1"/>
  <c r="E1259" i="1"/>
  <c r="G1258" i="1"/>
  <c r="F1258" i="1"/>
  <c r="E1258" i="1"/>
  <c r="G1257" i="1"/>
  <c r="F1257" i="1"/>
  <c r="E1257" i="1"/>
  <c r="G1256" i="1"/>
  <c r="F1256" i="1"/>
  <c r="E1256" i="1"/>
  <c r="G1255" i="1"/>
  <c r="F1255" i="1"/>
  <c r="E1255" i="1"/>
  <c r="G1254" i="1"/>
  <c r="F1254" i="1"/>
  <c r="E1254" i="1"/>
  <c r="G1253" i="1"/>
  <c r="F1253" i="1"/>
  <c r="E1253" i="1"/>
  <c r="G1252" i="1"/>
  <c r="F1252" i="1"/>
  <c r="E1252" i="1"/>
  <c r="G1251" i="1"/>
  <c r="F1251" i="1"/>
  <c r="E1251" i="1"/>
  <c r="G1250" i="1"/>
  <c r="F1250" i="1"/>
  <c r="E1250" i="1"/>
  <c r="G1249" i="1"/>
  <c r="F1249" i="1"/>
  <c r="E1249" i="1"/>
  <c r="G1248" i="1"/>
  <c r="F1248" i="1"/>
  <c r="E1248" i="1"/>
  <c r="G1247" i="1"/>
  <c r="F1247" i="1"/>
  <c r="E1247" i="1"/>
  <c r="G1246" i="1"/>
  <c r="F1246" i="1"/>
  <c r="E1246" i="1"/>
  <c r="G1245" i="1"/>
  <c r="F1245" i="1"/>
  <c r="E1245" i="1"/>
  <c r="G1244" i="1"/>
  <c r="F1244" i="1"/>
  <c r="E1244" i="1"/>
  <c r="G1243" i="1"/>
  <c r="F1243" i="1"/>
  <c r="E1243" i="1"/>
  <c r="G1242" i="1"/>
  <c r="F1242" i="1"/>
  <c r="E1242" i="1"/>
  <c r="G1241" i="1"/>
  <c r="F1241" i="1"/>
  <c r="E1241" i="1"/>
  <c r="G1240" i="1"/>
  <c r="F1240" i="1"/>
  <c r="E1240" i="1"/>
  <c r="G1239" i="1"/>
  <c r="F1239" i="1"/>
  <c r="E1239" i="1"/>
  <c r="G1238" i="1"/>
  <c r="F1238" i="1"/>
  <c r="E1238" i="1"/>
  <c r="G1237" i="1"/>
  <c r="F1237" i="1"/>
  <c r="E1237" i="1"/>
  <c r="G1236" i="1"/>
  <c r="F1236" i="1"/>
  <c r="E1236" i="1"/>
  <c r="G1235" i="1"/>
  <c r="F1235" i="1"/>
  <c r="E1235" i="1"/>
  <c r="G1234" i="1"/>
  <c r="F1234" i="1"/>
  <c r="E1234" i="1"/>
  <c r="G1233" i="1"/>
  <c r="F1233" i="1"/>
  <c r="E1233" i="1"/>
  <c r="G1232" i="1"/>
  <c r="F1232" i="1"/>
  <c r="E1232" i="1"/>
  <c r="G1231" i="1"/>
  <c r="F1231" i="1"/>
  <c r="E1231" i="1"/>
  <c r="G1230" i="1"/>
  <c r="F1230" i="1"/>
  <c r="E1230" i="1"/>
  <c r="G1229" i="1"/>
  <c r="F1229" i="1"/>
  <c r="E1229" i="1"/>
  <c r="G1228" i="1"/>
  <c r="F1228" i="1"/>
  <c r="E1228" i="1"/>
  <c r="G1227" i="1"/>
  <c r="F1227" i="1"/>
  <c r="E1227" i="1"/>
  <c r="G1226" i="1"/>
  <c r="F1226" i="1"/>
  <c r="E1226" i="1"/>
  <c r="G1225" i="1"/>
  <c r="F1225" i="1"/>
  <c r="E1225" i="1"/>
  <c r="G1224" i="1"/>
  <c r="F1224" i="1"/>
  <c r="E1224" i="1"/>
  <c r="G1223" i="1"/>
  <c r="F1223" i="1"/>
  <c r="E1223" i="1"/>
  <c r="G1222" i="1"/>
  <c r="F1222" i="1"/>
  <c r="E1222" i="1"/>
  <c r="G1221" i="1"/>
  <c r="F1221" i="1"/>
  <c r="E1221" i="1"/>
  <c r="G1220" i="1"/>
  <c r="F1220" i="1"/>
  <c r="E1220" i="1"/>
  <c r="G1219" i="1"/>
  <c r="F1219" i="1"/>
  <c r="E1219" i="1"/>
  <c r="G1218" i="1"/>
  <c r="F1218" i="1"/>
  <c r="E1218" i="1"/>
  <c r="G1217" i="1"/>
  <c r="F1217" i="1"/>
  <c r="E1217" i="1"/>
  <c r="G1216" i="1"/>
  <c r="F1216" i="1"/>
  <c r="E1216" i="1"/>
  <c r="G1215" i="1"/>
  <c r="F1215" i="1"/>
  <c r="E1215" i="1"/>
  <c r="G1214" i="1"/>
  <c r="F1214" i="1"/>
  <c r="E1214" i="1"/>
  <c r="G1213" i="1"/>
  <c r="F1213" i="1"/>
  <c r="E1213" i="1"/>
  <c r="G1212" i="1"/>
  <c r="F1212" i="1"/>
  <c r="E1212" i="1"/>
  <c r="G1211" i="1"/>
  <c r="F1211" i="1"/>
  <c r="E1211" i="1"/>
  <c r="G1210" i="1"/>
  <c r="F1210" i="1"/>
  <c r="E1210" i="1"/>
  <c r="G1209" i="1"/>
  <c r="F1209" i="1"/>
  <c r="E1209" i="1"/>
  <c r="G1208" i="1"/>
  <c r="F1208" i="1"/>
  <c r="E1208" i="1"/>
  <c r="G1207" i="1"/>
  <c r="F1207" i="1"/>
  <c r="E1207" i="1"/>
  <c r="G1206" i="1"/>
  <c r="F1206" i="1"/>
  <c r="E1206" i="1"/>
  <c r="G1205" i="1"/>
  <c r="F1205" i="1"/>
  <c r="E1205" i="1"/>
  <c r="G1204" i="1"/>
  <c r="F1204" i="1"/>
  <c r="E1204" i="1"/>
  <c r="G1203" i="1"/>
  <c r="F1203" i="1"/>
  <c r="E1203" i="1"/>
  <c r="G1202" i="1"/>
  <c r="F1202" i="1"/>
  <c r="E1202" i="1"/>
  <c r="G1201" i="1"/>
  <c r="F1201" i="1"/>
  <c r="E1201" i="1"/>
  <c r="G1200" i="1"/>
  <c r="F1200" i="1"/>
  <c r="E1200" i="1"/>
  <c r="G1199" i="1"/>
  <c r="F1199" i="1"/>
  <c r="E1199" i="1"/>
  <c r="G1198" i="1"/>
  <c r="F1198" i="1"/>
  <c r="E1198" i="1"/>
  <c r="G1197" i="1"/>
  <c r="F1197" i="1"/>
  <c r="E1197" i="1"/>
  <c r="G1196" i="1"/>
  <c r="F1196" i="1"/>
  <c r="E1196" i="1"/>
  <c r="G1195" i="1"/>
  <c r="F1195" i="1"/>
  <c r="E1195" i="1"/>
  <c r="G1194" i="1"/>
  <c r="F1194" i="1"/>
  <c r="E1194" i="1"/>
  <c r="G1193" i="1"/>
  <c r="F1193" i="1"/>
  <c r="E1193" i="1"/>
  <c r="G1192" i="1"/>
  <c r="F1192" i="1"/>
  <c r="E1192" i="1"/>
  <c r="G1191" i="1"/>
  <c r="F1191" i="1"/>
  <c r="E1191" i="1"/>
  <c r="G1190" i="1"/>
  <c r="F1190" i="1"/>
  <c r="E1190" i="1"/>
  <c r="G1189" i="1"/>
  <c r="F1189" i="1"/>
  <c r="E1189" i="1"/>
  <c r="G1188" i="1"/>
  <c r="F1188" i="1"/>
  <c r="E1188" i="1"/>
  <c r="G1187" i="1"/>
  <c r="F1187" i="1"/>
  <c r="E1187" i="1"/>
  <c r="G1186" i="1"/>
  <c r="F1186" i="1"/>
  <c r="E1186" i="1"/>
  <c r="G1185" i="1"/>
  <c r="F1185" i="1"/>
  <c r="E1185" i="1"/>
  <c r="G1184" i="1"/>
  <c r="F1184" i="1"/>
  <c r="E1184" i="1"/>
  <c r="G1183" i="1"/>
  <c r="F1183" i="1"/>
  <c r="E1183" i="1"/>
  <c r="G1182" i="1"/>
  <c r="F1182" i="1"/>
  <c r="E1182" i="1"/>
  <c r="G1181" i="1"/>
  <c r="F1181" i="1"/>
  <c r="E1181" i="1"/>
  <c r="G1180" i="1"/>
  <c r="F1180" i="1"/>
  <c r="E1180" i="1"/>
  <c r="G1179" i="1"/>
  <c r="F1179" i="1"/>
  <c r="E1179" i="1"/>
  <c r="G1178" i="1"/>
  <c r="F1178" i="1"/>
  <c r="E1178" i="1"/>
  <c r="G1177" i="1"/>
  <c r="F1177" i="1"/>
  <c r="E1177" i="1"/>
  <c r="G1176" i="1"/>
  <c r="F1176" i="1"/>
  <c r="E1176" i="1"/>
  <c r="G1175" i="1"/>
  <c r="F1175" i="1"/>
  <c r="E1175" i="1"/>
  <c r="G1174" i="1"/>
  <c r="F1174" i="1"/>
  <c r="E1174" i="1"/>
  <c r="G1173" i="1"/>
  <c r="F1173" i="1"/>
  <c r="E1173" i="1"/>
  <c r="G1172" i="1"/>
  <c r="F1172" i="1"/>
  <c r="E1172" i="1"/>
  <c r="G1171" i="1"/>
  <c r="F1171" i="1"/>
  <c r="E1171" i="1"/>
  <c r="G1170" i="1"/>
  <c r="F1170" i="1"/>
  <c r="E1170" i="1"/>
  <c r="G1169" i="1"/>
  <c r="F1169" i="1"/>
  <c r="E1169" i="1"/>
  <c r="G1168" i="1"/>
  <c r="F1168" i="1"/>
  <c r="E1168" i="1"/>
  <c r="G1167" i="1"/>
  <c r="F1167" i="1"/>
  <c r="E1167" i="1"/>
  <c r="G1166" i="1"/>
  <c r="F1166" i="1"/>
  <c r="E1166" i="1"/>
  <c r="G1165" i="1"/>
  <c r="F1165" i="1"/>
  <c r="E1165" i="1"/>
  <c r="G1164" i="1"/>
  <c r="F1164" i="1"/>
  <c r="E1164" i="1"/>
  <c r="G1163" i="1"/>
  <c r="F1163" i="1"/>
  <c r="E1163" i="1"/>
  <c r="G1162" i="1"/>
  <c r="F1162" i="1"/>
  <c r="E1162" i="1"/>
  <c r="G1161" i="1"/>
  <c r="F1161" i="1"/>
  <c r="E1161" i="1"/>
  <c r="G1160" i="1"/>
  <c r="F1160" i="1"/>
  <c r="E1160" i="1"/>
  <c r="G1159" i="1"/>
  <c r="F1159" i="1"/>
  <c r="E1159" i="1"/>
  <c r="G1158" i="1"/>
  <c r="F1158" i="1"/>
  <c r="E1158" i="1"/>
  <c r="G1157" i="1"/>
  <c r="F1157" i="1"/>
  <c r="E1157" i="1"/>
  <c r="G1156" i="1"/>
  <c r="F1156" i="1"/>
  <c r="E1156" i="1"/>
  <c r="G1155" i="1"/>
  <c r="F1155" i="1"/>
  <c r="E1155" i="1"/>
  <c r="G1154" i="1"/>
  <c r="F1154" i="1"/>
  <c r="E1154" i="1"/>
  <c r="G1153" i="1"/>
  <c r="F1153" i="1"/>
  <c r="E1153" i="1"/>
  <c r="G1152" i="1"/>
  <c r="F1152" i="1"/>
  <c r="E1152" i="1"/>
  <c r="G1151" i="1"/>
  <c r="F1151" i="1"/>
  <c r="E1151" i="1"/>
  <c r="G1150" i="1"/>
  <c r="F1150" i="1"/>
  <c r="E1150" i="1"/>
  <c r="G1149" i="1"/>
  <c r="F1149" i="1"/>
  <c r="E1149" i="1"/>
  <c r="G1148" i="1"/>
  <c r="F1148" i="1"/>
  <c r="E1148" i="1"/>
  <c r="G1147" i="1"/>
  <c r="F1147" i="1"/>
  <c r="E1147" i="1"/>
  <c r="G1146" i="1"/>
  <c r="F1146" i="1"/>
  <c r="E1146" i="1"/>
  <c r="G1145" i="1"/>
  <c r="F1145" i="1"/>
  <c r="E1145" i="1"/>
  <c r="G1144" i="1"/>
  <c r="F1144" i="1"/>
  <c r="E1144" i="1"/>
  <c r="G1143" i="1"/>
  <c r="F1143" i="1"/>
  <c r="E1143" i="1"/>
  <c r="G1142" i="1"/>
  <c r="F1142" i="1"/>
  <c r="E1142" i="1"/>
  <c r="G1141" i="1"/>
  <c r="F1141" i="1"/>
  <c r="E1141" i="1"/>
  <c r="G1140" i="1"/>
  <c r="F1140" i="1"/>
  <c r="E1140" i="1"/>
  <c r="G1139" i="1"/>
  <c r="F1139" i="1"/>
  <c r="E1139" i="1"/>
  <c r="G1138" i="1"/>
  <c r="F1138" i="1"/>
  <c r="E1138" i="1"/>
  <c r="G1137" i="1"/>
  <c r="F1137" i="1"/>
  <c r="E1137" i="1"/>
  <c r="G1136" i="1"/>
  <c r="F1136" i="1"/>
  <c r="E1136" i="1"/>
  <c r="G1135" i="1"/>
  <c r="F1135" i="1"/>
  <c r="E1135" i="1"/>
  <c r="G1134" i="1"/>
  <c r="F1134" i="1"/>
  <c r="E1134" i="1"/>
  <c r="G1133" i="1"/>
  <c r="F1133" i="1"/>
  <c r="E1133" i="1"/>
  <c r="G1132" i="1"/>
  <c r="F1132" i="1"/>
  <c r="E1132" i="1"/>
  <c r="G1131" i="1"/>
  <c r="F1131" i="1"/>
  <c r="E1131" i="1"/>
  <c r="G1130" i="1"/>
  <c r="F1130" i="1"/>
  <c r="E1130" i="1"/>
  <c r="G1129" i="1"/>
  <c r="F1129" i="1"/>
  <c r="E1129" i="1"/>
  <c r="G1128" i="1"/>
  <c r="F1128" i="1"/>
  <c r="E1128" i="1"/>
  <c r="G1127" i="1"/>
  <c r="F1127" i="1"/>
  <c r="E1127" i="1"/>
  <c r="G1126" i="1"/>
  <c r="F1126" i="1"/>
  <c r="E1126" i="1"/>
  <c r="G1125" i="1"/>
  <c r="F1125" i="1"/>
  <c r="E1125" i="1"/>
  <c r="G1124" i="1"/>
  <c r="F1124" i="1"/>
  <c r="E1124" i="1"/>
  <c r="G1123" i="1"/>
  <c r="F1123" i="1"/>
  <c r="E1123" i="1"/>
  <c r="G1122" i="1"/>
  <c r="F1122" i="1"/>
  <c r="E1122" i="1"/>
  <c r="G1121" i="1"/>
  <c r="F1121" i="1"/>
  <c r="E1121" i="1"/>
  <c r="G1120" i="1"/>
  <c r="F1120" i="1"/>
  <c r="E1120" i="1"/>
  <c r="G1119" i="1"/>
  <c r="F1119" i="1"/>
  <c r="E1119" i="1"/>
  <c r="G1118" i="1"/>
  <c r="F1118" i="1"/>
  <c r="E1118" i="1"/>
  <c r="G1117" i="1"/>
  <c r="F1117" i="1"/>
  <c r="E1117" i="1"/>
  <c r="G1116" i="1"/>
  <c r="F1116" i="1"/>
  <c r="E1116" i="1"/>
  <c r="G1115" i="1"/>
  <c r="F1115" i="1"/>
  <c r="E1115" i="1"/>
  <c r="G1114" i="1"/>
  <c r="F1114" i="1"/>
  <c r="E1114" i="1"/>
  <c r="G1113" i="1"/>
  <c r="F1113" i="1"/>
  <c r="E1113" i="1"/>
  <c r="G1112" i="1"/>
  <c r="F1112" i="1"/>
  <c r="E1112" i="1"/>
  <c r="G1111" i="1"/>
  <c r="F1111" i="1"/>
  <c r="E1111" i="1"/>
  <c r="G1110" i="1"/>
  <c r="F1110" i="1"/>
  <c r="E1110" i="1"/>
  <c r="G1109" i="1"/>
  <c r="F1109" i="1"/>
  <c r="E1109" i="1"/>
  <c r="G1108" i="1"/>
  <c r="F1108" i="1"/>
  <c r="E1108" i="1"/>
  <c r="G1107" i="1"/>
  <c r="F1107" i="1"/>
  <c r="E1107" i="1"/>
  <c r="G1106" i="1"/>
  <c r="F1106" i="1"/>
  <c r="E1106" i="1"/>
  <c r="G1105" i="1"/>
  <c r="F1105" i="1"/>
  <c r="E1105" i="1"/>
  <c r="G1104" i="1"/>
  <c r="F1104" i="1"/>
  <c r="E1104" i="1"/>
  <c r="G1103" i="1"/>
  <c r="F1103" i="1"/>
  <c r="E1103" i="1"/>
  <c r="G1102" i="1"/>
  <c r="F1102" i="1"/>
  <c r="E1102" i="1"/>
  <c r="G1101" i="1"/>
  <c r="F1101" i="1"/>
  <c r="E1101" i="1"/>
  <c r="G1100" i="1"/>
  <c r="F1100" i="1"/>
  <c r="E1100" i="1"/>
  <c r="G1099" i="1"/>
  <c r="F1099" i="1"/>
  <c r="E1099" i="1"/>
  <c r="G1098" i="1"/>
  <c r="F1098" i="1"/>
  <c r="E1098" i="1"/>
  <c r="G1097" i="1"/>
  <c r="F1097" i="1"/>
  <c r="E1097" i="1"/>
  <c r="G1096" i="1"/>
  <c r="F1096" i="1"/>
  <c r="E1096" i="1"/>
  <c r="G1095" i="1"/>
  <c r="F1095" i="1"/>
  <c r="E1095" i="1"/>
  <c r="G1094" i="1"/>
  <c r="F1094" i="1"/>
  <c r="E1094" i="1"/>
  <c r="G1093" i="1"/>
  <c r="F1093" i="1"/>
  <c r="E1093" i="1"/>
  <c r="G1092" i="1"/>
  <c r="F1092" i="1"/>
  <c r="E1092" i="1"/>
  <c r="G1091" i="1"/>
  <c r="F1091" i="1"/>
  <c r="E1091" i="1"/>
  <c r="G1090" i="1"/>
  <c r="F1090" i="1"/>
  <c r="E1090" i="1"/>
  <c r="G1089" i="1"/>
  <c r="F1089" i="1"/>
  <c r="E1089" i="1"/>
  <c r="G1088" i="1"/>
  <c r="F1088" i="1"/>
  <c r="E1088" i="1"/>
  <c r="G1087" i="1"/>
  <c r="F1087" i="1"/>
  <c r="E1087" i="1"/>
  <c r="G1086" i="1"/>
  <c r="F1086" i="1"/>
  <c r="E1086" i="1"/>
  <c r="G1085" i="1"/>
  <c r="F1085" i="1"/>
  <c r="E1085" i="1"/>
  <c r="G1084" i="1"/>
  <c r="F1084" i="1"/>
  <c r="E1084" i="1"/>
  <c r="G1083" i="1"/>
  <c r="F1083" i="1"/>
  <c r="E1083" i="1"/>
  <c r="G1082" i="1"/>
  <c r="F1082" i="1"/>
  <c r="E1082" i="1"/>
  <c r="G1081" i="1"/>
  <c r="F1081" i="1"/>
  <c r="E1081" i="1"/>
  <c r="G1080" i="1"/>
  <c r="F1080" i="1"/>
  <c r="E1080" i="1"/>
  <c r="G1079" i="1"/>
  <c r="F1079" i="1"/>
  <c r="E1079" i="1"/>
  <c r="G1078" i="1"/>
  <c r="F1078" i="1"/>
  <c r="E1078" i="1"/>
  <c r="G1077" i="1"/>
  <c r="F1077" i="1"/>
  <c r="E1077" i="1"/>
  <c r="G1076" i="1"/>
  <c r="F1076" i="1"/>
  <c r="E1076" i="1"/>
  <c r="G1075" i="1"/>
  <c r="F1075" i="1"/>
  <c r="E1075" i="1"/>
  <c r="G1074" i="1"/>
  <c r="F1074" i="1"/>
  <c r="E1074" i="1"/>
  <c r="G1073" i="1"/>
  <c r="F1073" i="1"/>
  <c r="E1073" i="1"/>
  <c r="G1072" i="1"/>
  <c r="F1072" i="1"/>
  <c r="E1072" i="1"/>
  <c r="G1071" i="1"/>
  <c r="F1071" i="1"/>
  <c r="E1071" i="1"/>
  <c r="G1070" i="1"/>
  <c r="F1070" i="1"/>
  <c r="E1070" i="1"/>
  <c r="G1069" i="1"/>
  <c r="F1069" i="1"/>
  <c r="E1069" i="1"/>
  <c r="G1068" i="1"/>
  <c r="F1068" i="1"/>
  <c r="E1068" i="1"/>
  <c r="G1067" i="1"/>
  <c r="F1067" i="1"/>
  <c r="E1067" i="1"/>
  <c r="G1066" i="1"/>
  <c r="F1066" i="1"/>
  <c r="E1066" i="1"/>
  <c r="G1065" i="1"/>
  <c r="F1065" i="1"/>
  <c r="E1065" i="1"/>
  <c r="G1064" i="1"/>
  <c r="F1064" i="1"/>
  <c r="E1064" i="1"/>
  <c r="G1063" i="1"/>
  <c r="F1063" i="1"/>
  <c r="E1063" i="1"/>
  <c r="G1062" i="1"/>
  <c r="F1062" i="1"/>
  <c r="E1062" i="1"/>
  <c r="G1061" i="1"/>
  <c r="F1061" i="1"/>
  <c r="E1061" i="1"/>
  <c r="G1060" i="1"/>
  <c r="F1060" i="1"/>
  <c r="E1060" i="1"/>
  <c r="G1059" i="1"/>
  <c r="F1059" i="1"/>
  <c r="E1059" i="1"/>
  <c r="G1058" i="1"/>
  <c r="F1058" i="1"/>
  <c r="E1058" i="1"/>
  <c r="G1057" i="1"/>
  <c r="F1057" i="1"/>
  <c r="E1057" i="1"/>
  <c r="G1056" i="1"/>
  <c r="F1056" i="1"/>
  <c r="E1056" i="1"/>
  <c r="G1055" i="1"/>
  <c r="F1055" i="1"/>
  <c r="E1055" i="1"/>
  <c r="G1054" i="1"/>
  <c r="F1054" i="1"/>
  <c r="E1054" i="1"/>
  <c r="G1053" i="1"/>
  <c r="F1053" i="1"/>
  <c r="E1053" i="1"/>
  <c r="G1052" i="1"/>
  <c r="F1052" i="1"/>
  <c r="E1052" i="1"/>
  <c r="G1051" i="1"/>
  <c r="F1051" i="1"/>
  <c r="E1051" i="1"/>
  <c r="G1050" i="1"/>
  <c r="F1050" i="1"/>
  <c r="E1050" i="1"/>
  <c r="G1049" i="1"/>
  <c r="F1049" i="1"/>
  <c r="E1049" i="1"/>
  <c r="G1048" i="1"/>
  <c r="F1048" i="1"/>
  <c r="E1048" i="1"/>
  <c r="G1047" i="1"/>
  <c r="F1047" i="1"/>
  <c r="E1047" i="1"/>
  <c r="G1046" i="1"/>
  <c r="F1046" i="1"/>
  <c r="E1046" i="1"/>
  <c r="G1045" i="1"/>
  <c r="F1045" i="1"/>
  <c r="E1045" i="1"/>
  <c r="G1044" i="1"/>
  <c r="F1044" i="1"/>
  <c r="E1044" i="1"/>
  <c r="G1043" i="1"/>
  <c r="F1043" i="1"/>
  <c r="E1043" i="1"/>
  <c r="G1042" i="1"/>
  <c r="F1042" i="1"/>
  <c r="E1042" i="1"/>
  <c r="G1041" i="1"/>
  <c r="F1041" i="1"/>
  <c r="E1041" i="1"/>
  <c r="G1040" i="1"/>
  <c r="F1040" i="1"/>
  <c r="E1040" i="1"/>
  <c r="G1039" i="1"/>
  <c r="F1039" i="1"/>
  <c r="E1039" i="1"/>
  <c r="G1038" i="1"/>
  <c r="F1038" i="1"/>
  <c r="E1038" i="1"/>
  <c r="G1037" i="1"/>
  <c r="F1037" i="1"/>
  <c r="E1037" i="1"/>
  <c r="G1036" i="1"/>
  <c r="F1036" i="1"/>
  <c r="E1036" i="1"/>
  <c r="G1035" i="1"/>
  <c r="F1035" i="1"/>
  <c r="E1035" i="1"/>
  <c r="G1034" i="1"/>
  <c r="F1034" i="1"/>
  <c r="E1034" i="1"/>
  <c r="G1033" i="1"/>
  <c r="F1033" i="1"/>
  <c r="E1033" i="1"/>
  <c r="G1032" i="1"/>
  <c r="F1032" i="1"/>
  <c r="E1032" i="1"/>
  <c r="G1031" i="1"/>
  <c r="F1031" i="1"/>
  <c r="E1031" i="1"/>
  <c r="G1030" i="1"/>
  <c r="F1030" i="1"/>
  <c r="E1030" i="1"/>
  <c r="G1029" i="1"/>
  <c r="F1029" i="1"/>
  <c r="E1029" i="1"/>
  <c r="G1028" i="1"/>
  <c r="F1028" i="1"/>
  <c r="E1028" i="1"/>
  <c r="G1027" i="1"/>
  <c r="F1027" i="1"/>
  <c r="E1027" i="1"/>
  <c r="G1026" i="1"/>
  <c r="F1026" i="1"/>
  <c r="E1026" i="1"/>
  <c r="G1025" i="1"/>
  <c r="F1025" i="1"/>
  <c r="E1025" i="1"/>
  <c r="G1024" i="1"/>
  <c r="F1024" i="1"/>
  <c r="E1024" i="1"/>
  <c r="G1023" i="1"/>
  <c r="F1023" i="1"/>
  <c r="E1023" i="1"/>
  <c r="G1022" i="1"/>
  <c r="F1022" i="1"/>
  <c r="E1022" i="1"/>
  <c r="G1021" i="1"/>
  <c r="F1021" i="1"/>
  <c r="E1021" i="1"/>
  <c r="G1020" i="1"/>
  <c r="F1020" i="1"/>
  <c r="E1020" i="1"/>
  <c r="G1019" i="1"/>
  <c r="F1019" i="1"/>
  <c r="E1019" i="1"/>
  <c r="G1018" i="1"/>
  <c r="F1018" i="1"/>
  <c r="E1018" i="1"/>
  <c r="G1017" i="1"/>
  <c r="F1017" i="1"/>
  <c r="E1017" i="1"/>
  <c r="G1016" i="1"/>
  <c r="F1016" i="1"/>
  <c r="E1016" i="1"/>
  <c r="G1015" i="1"/>
  <c r="F1015" i="1"/>
  <c r="E1015" i="1"/>
  <c r="G1014" i="1"/>
  <c r="F1014" i="1"/>
  <c r="E1014" i="1"/>
  <c r="G1013" i="1"/>
  <c r="F1013" i="1"/>
  <c r="E1013" i="1"/>
  <c r="G1012" i="1"/>
  <c r="F1012" i="1"/>
  <c r="E1012" i="1"/>
  <c r="G1011" i="1"/>
  <c r="F1011" i="1"/>
  <c r="E1011" i="1"/>
  <c r="G1010" i="1"/>
  <c r="F1010" i="1"/>
  <c r="E1010" i="1"/>
  <c r="G1009" i="1"/>
  <c r="F1009" i="1"/>
  <c r="E1009" i="1"/>
  <c r="G1008" i="1"/>
  <c r="F1008" i="1"/>
  <c r="E1008" i="1"/>
  <c r="G1007" i="1"/>
  <c r="F1007" i="1"/>
  <c r="E1007" i="1"/>
  <c r="G1006" i="1"/>
  <c r="F1006" i="1"/>
  <c r="E1006" i="1"/>
  <c r="G1005" i="1"/>
  <c r="F1005" i="1"/>
  <c r="E1005" i="1"/>
  <c r="G1004" i="1"/>
  <c r="F1004" i="1"/>
  <c r="E1004" i="1"/>
  <c r="G1003" i="1"/>
  <c r="F1003" i="1"/>
  <c r="E1003" i="1"/>
  <c r="G1002" i="1"/>
  <c r="F1002" i="1"/>
  <c r="E1002" i="1"/>
  <c r="G1001" i="1"/>
  <c r="F1001" i="1"/>
  <c r="E1001" i="1"/>
  <c r="G1000" i="1"/>
  <c r="F1000" i="1"/>
  <c r="E1000" i="1"/>
  <c r="G999" i="1"/>
  <c r="F999" i="1"/>
  <c r="E999" i="1"/>
  <c r="G998" i="1"/>
  <c r="F998" i="1"/>
  <c r="E998" i="1"/>
  <c r="G997" i="1"/>
  <c r="F997" i="1"/>
  <c r="E997" i="1"/>
  <c r="G996" i="1"/>
  <c r="F996" i="1"/>
  <c r="E996" i="1"/>
  <c r="G995" i="1"/>
  <c r="F995" i="1"/>
  <c r="E995" i="1"/>
  <c r="G994" i="1"/>
  <c r="F994" i="1"/>
  <c r="E994" i="1"/>
  <c r="G993" i="1"/>
  <c r="F993" i="1"/>
  <c r="E993" i="1"/>
  <c r="G992" i="1"/>
  <c r="F992" i="1"/>
  <c r="E992" i="1"/>
  <c r="G991" i="1"/>
  <c r="F991" i="1"/>
  <c r="E991" i="1"/>
  <c r="G990" i="1"/>
  <c r="F990" i="1"/>
  <c r="E990" i="1"/>
  <c r="G989" i="1"/>
  <c r="F989" i="1"/>
  <c r="E989" i="1"/>
  <c r="G988" i="1"/>
  <c r="F988" i="1"/>
  <c r="E988" i="1"/>
  <c r="G987" i="1"/>
  <c r="F987" i="1"/>
  <c r="E987" i="1"/>
  <c r="G986" i="1"/>
  <c r="F986" i="1"/>
  <c r="E986" i="1"/>
  <c r="G985" i="1"/>
  <c r="F985" i="1"/>
  <c r="E985" i="1"/>
  <c r="G984" i="1"/>
  <c r="F984" i="1"/>
  <c r="E984" i="1"/>
  <c r="G983" i="1"/>
  <c r="F983" i="1"/>
  <c r="E983" i="1"/>
  <c r="G982" i="1"/>
  <c r="F982" i="1"/>
  <c r="E982" i="1"/>
  <c r="G981" i="1"/>
  <c r="F981" i="1"/>
  <c r="E981" i="1"/>
  <c r="G980" i="1"/>
  <c r="F980" i="1"/>
  <c r="E980" i="1"/>
  <c r="G979" i="1"/>
  <c r="F979" i="1"/>
  <c r="E979" i="1"/>
  <c r="G978" i="1"/>
  <c r="F978" i="1"/>
  <c r="E978" i="1"/>
  <c r="G977" i="1"/>
  <c r="F977" i="1"/>
  <c r="E977" i="1"/>
  <c r="G976" i="1"/>
  <c r="F976" i="1"/>
  <c r="E976" i="1"/>
  <c r="G975" i="1"/>
  <c r="F975" i="1"/>
  <c r="E975" i="1"/>
  <c r="G974" i="1"/>
  <c r="F974" i="1"/>
  <c r="E974" i="1"/>
  <c r="G973" i="1"/>
  <c r="F973" i="1"/>
  <c r="E973" i="1"/>
  <c r="G972" i="1"/>
  <c r="F972" i="1"/>
  <c r="E972" i="1"/>
  <c r="G971" i="1"/>
  <c r="F971" i="1"/>
  <c r="E971" i="1"/>
  <c r="G970" i="1"/>
  <c r="F970" i="1"/>
  <c r="E970" i="1"/>
  <c r="G969" i="1"/>
  <c r="F969" i="1"/>
  <c r="E969" i="1"/>
  <c r="G968" i="1"/>
  <c r="F968" i="1"/>
  <c r="E968" i="1"/>
  <c r="G967" i="1"/>
  <c r="F967" i="1"/>
  <c r="E967" i="1"/>
  <c r="G966" i="1"/>
  <c r="F966" i="1"/>
  <c r="E966" i="1"/>
  <c r="G965" i="1"/>
  <c r="F965" i="1"/>
  <c r="E965" i="1"/>
  <c r="G964" i="1"/>
  <c r="F964" i="1"/>
  <c r="E964" i="1"/>
  <c r="G963" i="1"/>
  <c r="F963" i="1"/>
  <c r="E963" i="1"/>
  <c r="G962" i="1"/>
  <c r="F962" i="1"/>
  <c r="E962" i="1"/>
  <c r="G961" i="1"/>
  <c r="F961" i="1"/>
  <c r="E961" i="1"/>
  <c r="G960" i="1"/>
  <c r="F960" i="1"/>
  <c r="E960" i="1"/>
  <c r="G959" i="1"/>
  <c r="F959" i="1"/>
  <c r="E959" i="1"/>
  <c r="G958" i="1"/>
  <c r="F958" i="1"/>
  <c r="E958" i="1"/>
  <c r="G957" i="1"/>
  <c r="F957" i="1"/>
  <c r="E957" i="1"/>
  <c r="G956" i="1"/>
  <c r="F956" i="1"/>
  <c r="E956" i="1"/>
  <c r="G955" i="1"/>
  <c r="F955" i="1"/>
  <c r="E955" i="1"/>
  <c r="G954" i="1"/>
  <c r="F954" i="1"/>
  <c r="E954" i="1"/>
  <c r="G953" i="1"/>
  <c r="F953" i="1"/>
  <c r="E953" i="1"/>
  <c r="G952" i="1"/>
  <c r="F952" i="1"/>
  <c r="E952" i="1"/>
  <c r="G951" i="1"/>
  <c r="F951" i="1"/>
  <c r="E951" i="1"/>
  <c r="G950" i="1"/>
  <c r="F950" i="1"/>
  <c r="E950" i="1"/>
  <c r="G949" i="1"/>
  <c r="F949" i="1"/>
  <c r="E949" i="1"/>
  <c r="G948" i="1"/>
  <c r="F948" i="1"/>
  <c r="E948" i="1"/>
  <c r="G947" i="1"/>
  <c r="F947" i="1"/>
  <c r="E947" i="1"/>
  <c r="G946" i="1"/>
  <c r="F946" i="1"/>
  <c r="E946" i="1"/>
  <c r="G945" i="1"/>
  <c r="F945" i="1"/>
  <c r="E945" i="1"/>
  <c r="G944" i="1"/>
  <c r="F944" i="1"/>
  <c r="E944" i="1"/>
  <c r="G943" i="1"/>
  <c r="F943" i="1"/>
  <c r="E943" i="1"/>
  <c r="G942" i="1"/>
  <c r="F942" i="1"/>
  <c r="E942" i="1"/>
  <c r="G941" i="1"/>
  <c r="F941" i="1"/>
  <c r="E941" i="1"/>
  <c r="G940" i="1"/>
  <c r="F940" i="1"/>
  <c r="E940" i="1"/>
  <c r="G939" i="1"/>
  <c r="F939" i="1"/>
  <c r="E939" i="1"/>
  <c r="G938" i="1"/>
  <c r="F938" i="1"/>
  <c r="E938" i="1"/>
  <c r="G937" i="1"/>
  <c r="F937" i="1"/>
  <c r="E937" i="1"/>
  <c r="G936" i="1"/>
  <c r="F936" i="1"/>
  <c r="E936" i="1"/>
  <c r="G935" i="1"/>
  <c r="F935" i="1"/>
  <c r="E935" i="1"/>
  <c r="G934" i="1"/>
  <c r="F934" i="1"/>
  <c r="E934" i="1"/>
  <c r="G933" i="1"/>
  <c r="F933" i="1"/>
  <c r="E933" i="1"/>
  <c r="G932" i="1"/>
  <c r="F932" i="1"/>
  <c r="E932" i="1"/>
  <c r="G931" i="1"/>
  <c r="F931" i="1"/>
  <c r="E931" i="1"/>
  <c r="G930" i="1"/>
  <c r="F930" i="1"/>
  <c r="E930" i="1"/>
  <c r="G929" i="1"/>
  <c r="F929" i="1"/>
  <c r="E929" i="1"/>
  <c r="G928" i="1"/>
  <c r="F928" i="1"/>
  <c r="E928" i="1"/>
  <c r="G927" i="1"/>
  <c r="F927" i="1"/>
  <c r="E927" i="1"/>
  <c r="G926" i="1"/>
  <c r="F926" i="1"/>
  <c r="E926" i="1"/>
  <c r="G925" i="1"/>
  <c r="F925" i="1"/>
  <c r="E925" i="1"/>
  <c r="G924" i="1"/>
  <c r="F924" i="1"/>
  <c r="E924" i="1"/>
  <c r="G923" i="1"/>
  <c r="F923" i="1"/>
  <c r="E923" i="1"/>
  <c r="G922" i="1"/>
  <c r="F922" i="1"/>
  <c r="E922" i="1"/>
  <c r="G921" i="1"/>
  <c r="F921" i="1"/>
  <c r="E921" i="1"/>
  <c r="G920" i="1"/>
  <c r="F920" i="1"/>
  <c r="E920" i="1"/>
  <c r="G919" i="1"/>
  <c r="F919" i="1"/>
  <c r="E919" i="1"/>
  <c r="G918" i="1"/>
  <c r="F918" i="1"/>
  <c r="E918" i="1"/>
  <c r="G917" i="1"/>
  <c r="F917" i="1"/>
  <c r="E917" i="1"/>
  <c r="G916" i="1"/>
  <c r="F916" i="1"/>
  <c r="E916" i="1"/>
  <c r="G915" i="1"/>
  <c r="F915" i="1"/>
  <c r="E915" i="1"/>
  <c r="G914" i="1"/>
  <c r="F914" i="1"/>
  <c r="E914" i="1"/>
  <c r="G913" i="1"/>
  <c r="F913" i="1"/>
  <c r="E913" i="1"/>
  <c r="G912" i="1"/>
  <c r="F912" i="1"/>
  <c r="E912" i="1"/>
  <c r="G911" i="1"/>
  <c r="F911" i="1"/>
  <c r="E911" i="1"/>
  <c r="G910" i="1"/>
  <c r="F910" i="1"/>
  <c r="E910" i="1"/>
  <c r="G909" i="1"/>
  <c r="F909" i="1"/>
  <c r="E909" i="1"/>
  <c r="G908" i="1"/>
  <c r="F908" i="1"/>
  <c r="E908" i="1"/>
  <c r="G907" i="1"/>
  <c r="F907" i="1"/>
  <c r="E907" i="1"/>
  <c r="G906" i="1"/>
  <c r="F906" i="1"/>
  <c r="E906" i="1"/>
  <c r="G905" i="1"/>
  <c r="F905" i="1"/>
  <c r="E905" i="1"/>
  <c r="G904" i="1"/>
  <c r="F904" i="1"/>
  <c r="E904" i="1"/>
  <c r="G903" i="1"/>
  <c r="F903" i="1"/>
  <c r="E903" i="1"/>
  <c r="G902" i="1"/>
  <c r="F902" i="1"/>
  <c r="E902" i="1"/>
  <c r="G901" i="1"/>
  <c r="F901" i="1"/>
  <c r="E901" i="1"/>
  <c r="G900" i="1"/>
  <c r="F900" i="1"/>
  <c r="E900" i="1"/>
  <c r="G899" i="1"/>
  <c r="F899" i="1"/>
  <c r="E899" i="1"/>
  <c r="G898" i="1"/>
  <c r="F898" i="1"/>
  <c r="E898" i="1"/>
  <c r="G897" i="1"/>
  <c r="F897" i="1"/>
  <c r="E897" i="1"/>
  <c r="G896" i="1"/>
  <c r="F896" i="1"/>
  <c r="E896" i="1"/>
  <c r="G895" i="1"/>
  <c r="F895" i="1"/>
  <c r="E895" i="1"/>
  <c r="G894" i="1"/>
  <c r="F894" i="1"/>
  <c r="E894" i="1"/>
  <c r="G893" i="1"/>
  <c r="F893" i="1"/>
  <c r="E893" i="1"/>
  <c r="G892" i="1"/>
  <c r="F892" i="1"/>
  <c r="E892" i="1"/>
  <c r="G891" i="1"/>
  <c r="F891" i="1"/>
  <c r="E891" i="1"/>
  <c r="G890" i="1"/>
  <c r="F890" i="1"/>
  <c r="E890" i="1"/>
  <c r="G889" i="1"/>
  <c r="F889" i="1"/>
  <c r="E889" i="1"/>
  <c r="G888" i="1"/>
  <c r="F888" i="1"/>
  <c r="E888" i="1"/>
  <c r="G887" i="1"/>
  <c r="F887" i="1"/>
  <c r="E887" i="1"/>
  <c r="G886" i="1"/>
  <c r="F886" i="1"/>
  <c r="E886" i="1"/>
  <c r="G885" i="1"/>
  <c r="F885" i="1"/>
  <c r="E885" i="1"/>
  <c r="G884" i="1"/>
  <c r="F884" i="1"/>
  <c r="E884" i="1"/>
  <c r="G883" i="1"/>
  <c r="F883" i="1"/>
  <c r="E883" i="1"/>
  <c r="G882" i="1"/>
  <c r="F882" i="1"/>
  <c r="E882" i="1"/>
  <c r="G881" i="1"/>
  <c r="F881" i="1"/>
  <c r="E881" i="1"/>
  <c r="G880" i="1"/>
  <c r="F880" i="1"/>
  <c r="E880" i="1"/>
  <c r="G879" i="1"/>
  <c r="F879" i="1"/>
  <c r="E879" i="1"/>
  <c r="G878" i="1"/>
  <c r="F878" i="1"/>
  <c r="E878" i="1"/>
  <c r="G877" i="1"/>
  <c r="F877" i="1"/>
  <c r="E877" i="1"/>
  <c r="G876" i="1"/>
  <c r="F876" i="1"/>
  <c r="E876" i="1"/>
  <c r="G875" i="1"/>
  <c r="F875" i="1"/>
  <c r="E875" i="1"/>
  <c r="G874" i="1"/>
  <c r="F874" i="1"/>
  <c r="E874" i="1"/>
  <c r="G873" i="1"/>
  <c r="F873" i="1"/>
  <c r="E873" i="1"/>
  <c r="G872" i="1"/>
  <c r="F872" i="1"/>
  <c r="E872" i="1"/>
  <c r="G871" i="1"/>
  <c r="F871" i="1"/>
  <c r="E871" i="1"/>
  <c r="G870" i="1"/>
  <c r="F870" i="1"/>
  <c r="E870" i="1"/>
  <c r="G869" i="1"/>
  <c r="F869" i="1"/>
  <c r="E869" i="1"/>
  <c r="G868" i="1"/>
  <c r="F868" i="1"/>
  <c r="E868" i="1"/>
  <c r="G867" i="1"/>
  <c r="F867" i="1"/>
  <c r="E867" i="1"/>
  <c r="G866" i="1"/>
  <c r="F866" i="1"/>
  <c r="E866" i="1"/>
  <c r="G865" i="1"/>
  <c r="F865" i="1"/>
  <c r="E865" i="1"/>
  <c r="G864" i="1"/>
  <c r="F864" i="1"/>
  <c r="E864" i="1"/>
  <c r="G863" i="1"/>
  <c r="F863" i="1"/>
  <c r="E863" i="1"/>
  <c r="G862" i="1"/>
  <c r="F862" i="1"/>
  <c r="E862" i="1"/>
  <c r="G861" i="1"/>
  <c r="F861" i="1"/>
  <c r="E861" i="1"/>
  <c r="G860" i="1"/>
  <c r="F860" i="1"/>
  <c r="E860" i="1"/>
  <c r="G859" i="1"/>
  <c r="F859" i="1"/>
  <c r="E859" i="1"/>
  <c r="G858" i="1"/>
  <c r="F858" i="1"/>
  <c r="E858" i="1"/>
  <c r="G857" i="1"/>
  <c r="F857" i="1"/>
  <c r="E857" i="1"/>
  <c r="G856" i="1"/>
  <c r="F856" i="1"/>
  <c r="E856" i="1"/>
  <c r="G855" i="1"/>
  <c r="F855" i="1"/>
  <c r="E855" i="1"/>
  <c r="G854" i="1"/>
  <c r="F854" i="1"/>
  <c r="E854" i="1"/>
  <c r="G853" i="1"/>
  <c r="F853" i="1"/>
  <c r="E853" i="1"/>
  <c r="G852" i="1"/>
  <c r="F852" i="1"/>
  <c r="E852" i="1"/>
  <c r="G851" i="1"/>
  <c r="F851" i="1"/>
  <c r="E851" i="1"/>
  <c r="G850" i="1"/>
  <c r="F850" i="1"/>
  <c r="E850" i="1"/>
  <c r="G849" i="1"/>
  <c r="F849" i="1"/>
  <c r="E849" i="1"/>
  <c r="G848" i="1"/>
  <c r="F848" i="1"/>
  <c r="E848" i="1"/>
  <c r="G847" i="1"/>
  <c r="F847" i="1"/>
  <c r="E847" i="1"/>
  <c r="G846" i="1"/>
  <c r="F846" i="1"/>
  <c r="E846" i="1"/>
  <c r="G845" i="1"/>
  <c r="F845" i="1"/>
  <c r="E845" i="1"/>
  <c r="G844" i="1"/>
  <c r="F844" i="1"/>
  <c r="E844" i="1"/>
  <c r="G843" i="1"/>
  <c r="F843" i="1"/>
  <c r="E843" i="1"/>
  <c r="G842" i="1"/>
  <c r="F842" i="1"/>
  <c r="E842" i="1"/>
  <c r="G841" i="1"/>
  <c r="F841" i="1"/>
  <c r="E841" i="1"/>
  <c r="G840" i="1"/>
  <c r="F840" i="1"/>
  <c r="E840" i="1"/>
  <c r="G839" i="1"/>
  <c r="F839" i="1"/>
  <c r="E839" i="1"/>
  <c r="G838" i="1"/>
  <c r="F838" i="1"/>
  <c r="E838" i="1"/>
  <c r="G837" i="1"/>
  <c r="F837" i="1"/>
  <c r="E837" i="1"/>
  <c r="G836" i="1"/>
  <c r="F836" i="1"/>
  <c r="E836" i="1"/>
  <c r="G835" i="1"/>
  <c r="F835" i="1"/>
  <c r="E835" i="1"/>
  <c r="G834" i="1"/>
  <c r="F834" i="1"/>
  <c r="E834" i="1"/>
  <c r="G833" i="1"/>
  <c r="F833" i="1"/>
  <c r="E833" i="1"/>
  <c r="G832" i="1"/>
  <c r="F832" i="1"/>
  <c r="E832" i="1"/>
  <c r="G831" i="1"/>
  <c r="F831" i="1"/>
  <c r="E831" i="1"/>
  <c r="G830" i="1"/>
  <c r="F830" i="1"/>
  <c r="E830" i="1"/>
  <c r="G829" i="1"/>
  <c r="F829" i="1"/>
  <c r="E829" i="1"/>
  <c r="G828" i="1"/>
  <c r="F828" i="1"/>
  <c r="E828" i="1"/>
  <c r="G827" i="1"/>
  <c r="F827" i="1"/>
  <c r="E827" i="1"/>
  <c r="G826" i="1"/>
  <c r="F826" i="1"/>
  <c r="E826" i="1"/>
  <c r="G825" i="1"/>
  <c r="F825" i="1"/>
  <c r="E825" i="1"/>
  <c r="G824" i="1"/>
  <c r="F824" i="1"/>
  <c r="E824" i="1"/>
  <c r="G823" i="1"/>
  <c r="F823" i="1"/>
  <c r="E823" i="1"/>
  <c r="G822" i="1"/>
  <c r="F822" i="1"/>
  <c r="E822" i="1"/>
  <c r="G821" i="1"/>
  <c r="F821" i="1"/>
  <c r="E821" i="1"/>
  <c r="G820" i="1"/>
  <c r="F820" i="1"/>
  <c r="E820" i="1"/>
  <c r="G819" i="1"/>
  <c r="F819" i="1"/>
  <c r="E819" i="1"/>
  <c r="G818" i="1"/>
  <c r="F818" i="1"/>
  <c r="E818" i="1"/>
  <c r="G817" i="1"/>
  <c r="F817" i="1"/>
  <c r="E817" i="1"/>
  <c r="G816" i="1"/>
  <c r="F816" i="1"/>
  <c r="E816" i="1"/>
  <c r="G815" i="1"/>
  <c r="F815" i="1"/>
  <c r="E815" i="1"/>
  <c r="G814" i="1"/>
  <c r="F814" i="1"/>
  <c r="E814" i="1"/>
  <c r="G813" i="1"/>
  <c r="F813" i="1"/>
  <c r="E813" i="1"/>
  <c r="G812" i="1"/>
  <c r="F812" i="1"/>
  <c r="E812" i="1"/>
  <c r="G811" i="1"/>
  <c r="F811" i="1"/>
  <c r="E811" i="1"/>
  <c r="G810" i="1"/>
  <c r="F810" i="1"/>
  <c r="E810" i="1"/>
  <c r="G809" i="1"/>
  <c r="F809" i="1"/>
  <c r="E809" i="1"/>
  <c r="G808" i="1"/>
  <c r="F808" i="1"/>
  <c r="E808" i="1"/>
  <c r="G807" i="1"/>
  <c r="F807" i="1"/>
  <c r="E807" i="1"/>
  <c r="G806" i="1"/>
  <c r="F806" i="1"/>
  <c r="E806" i="1"/>
  <c r="G805" i="1"/>
  <c r="F805" i="1"/>
  <c r="E805" i="1"/>
  <c r="G804" i="1"/>
  <c r="F804" i="1"/>
  <c r="E804" i="1"/>
  <c r="G803" i="1"/>
  <c r="F803" i="1"/>
  <c r="E803" i="1"/>
  <c r="G802" i="1"/>
  <c r="F802" i="1"/>
  <c r="E802" i="1"/>
  <c r="G801" i="1"/>
  <c r="F801" i="1"/>
  <c r="E801" i="1"/>
  <c r="G800" i="1"/>
  <c r="F800" i="1"/>
  <c r="E800" i="1"/>
  <c r="G799" i="1"/>
  <c r="F799" i="1"/>
  <c r="E799" i="1"/>
  <c r="G798" i="1"/>
  <c r="F798" i="1"/>
  <c r="E798" i="1"/>
  <c r="G797" i="1"/>
  <c r="F797" i="1"/>
  <c r="E797" i="1"/>
  <c r="G796" i="1"/>
  <c r="F796" i="1"/>
  <c r="E796" i="1"/>
  <c r="G795" i="1"/>
  <c r="F795" i="1"/>
  <c r="E795" i="1"/>
  <c r="G794" i="1"/>
  <c r="F794" i="1"/>
  <c r="E794" i="1"/>
  <c r="G793" i="1"/>
  <c r="F793" i="1"/>
  <c r="E793" i="1"/>
  <c r="G792" i="1"/>
  <c r="F792" i="1"/>
  <c r="E792" i="1"/>
  <c r="G791" i="1"/>
  <c r="F791" i="1"/>
  <c r="E791" i="1"/>
  <c r="G790" i="1"/>
  <c r="F790" i="1"/>
  <c r="E790" i="1"/>
  <c r="G789" i="1"/>
  <c r="F789" i="1"/>
  <c r="E789" i="1"/>
  <c r="G788" i="1"/>
  <c r="F788" i="1"/>
  <c r="E788" i="1"/>
  <c r="G787" i="1"/>
  <c r="F787" i="1"/>
  <c r="E787" i="1"/>
  <c r="G786" i="1"/>
  <c r="F786" i="1"/>
  <c r="E786" i="1"/>
  <c r="G785" i="1"/>
  <c r="F785" i="1"/>
  <c r="E785" i="1"/>
  <c r="G784" i="1"/>
  <c r="F784" i="1"/>
  <c r="E784" i="1"/>
  <c r="G783" i="1"/>
  <c r="F783" i="1"/>
  <c r="E783" i="1"/>
  <c r="G782" i="1"/>
  <c r="F782" i="1"/>
  <c r="E782" i="1"/>
  <c r="G781" i="1"/>
  <c r="F781" i="1"/>
  <c r="E781" i="1"/>
  <c r="G780" i="1"/>
  <c r="F780" i="1"/>
  <c r="E780" i="1"/>
  <c r="G779" i="1"/>
  <c r="F779" i="1"/>
  <c r="E779" i="1"/>
  <c r="G778" i="1"/>
  <c r="F778" i="1"/>
  <c r="E778" i="1"/>
  <c r="G777" i="1"/>
  <c r="F777" i="1"/>
  <c r="E777" i="1"/>
  <c r="G776" i="1"/>
  <c r="F776" i="1"/>
  <c r="E776" i="1"/>
  <c r="G775" i="1"/>
  <c r="F775" i="1"/>
  <c r="E775" i="1"/>
  <c r="G774" i="1"/>
  <c r="F774" i="1"/>
  <c r="E774" i="1"/>
  <c r="G773" i="1"/>
  <c r="F773" i="1"/>
  <c r="E773" i="1"/>
  <c r="G772" i="1"/>
  <c r="F772" i="1"/>
  <c r="E772" i="1"/>
  <c r="G771" i="1"/>
  <c r="F771" i="1"/>
  <c r="E771" i="1"/>
  <c r="G770" i="1"/>
  <c r="F770" i="1"/>
  <c r="E770" i="1"/>
  <c r="G769" i="1"/>
  <c r="F769" i="1"/>
  <c r="E769" i="1"/>
  <c r="G768" i="1"/>
  <c r="F768" i="1"/>
  <c r="E768" i="1"/>
  <c r="G767" i="1"/>
  <c r="F767" i="1"/>
  <c r="E767" i="1"/>
  <c r="G766" i="1"/>
  <c r="F766" i="1"/>
  <c r="E766" i="1"/>
  <c r="G765" i="1"/>
  <c r="F765" i="1"/>
  <c r="E765" i="1"/>
  <c r="G764" i="1"/>
  <c r="F764" i="1"/>
  <c r="E764" i="1"/>
  <c r="G763" i="1"/>
  <c r="F763" i="1"/>
  <c r="E763" i="1"/>
  <c r="G762" i="1"/>
  <c r="F762" i="1"/>
  <c r="E762" i="1"/>
  <c r="G761" i="1"/>
  <c r="F761" i="1"/>
  <c r="E761" i="1"/>
  <c r="G760" i="1"/>
  <c r="F760" i="1"/>
  <c r="E760" i="1"/>
  <c r="G759" i="1"/>
  <c r="F759" i="1"/>
  <c r="E759" i="1"/>
  <c r="G758" i="1"/>
  <c r="F758" i="1"/>
  <c r="E758" i="1"/>
  <c r="G757" i="1"/>
  <c r="F757" i="1"/>
  <c r="E757" i="1"/>
  <c r="G756" i="1"/>
  <c r="F756" i="1"/>
  <c r="E756" i="1"/>
  <c r="G755" i="1"/>
  <c r="F755" i="1"/>
  <c r="E755" i="1"/>
  <c r="G754" i="1"/>
  <c r="F754" i="1"/>
  <c r="E754" i="1"/>
  <c r="G753" i="1"/>
  <c r="F753" i="1"/>
  <c r="E753" i="1"/>
  <c r="G752" i="1"/>
  <c r="F752" i="1"/>
  <c r="E752" i="1"/>
  <c r="G751" i="1"/>
  <c r="F751" i="1"/>
  <c r="E751" i="1"/>
  <c r="G750" i="1"/>
  <c r="F750" i="1"/>
  <c r="E750" i="1"/>
  <c r="G749" i="1"/>
  <c r="F749" i="1"/>
  <c r="E749" i="1"/>
  <c r="G748" i="1"/>
  <c r="F748" i="1"/>
  <c r="E748" i="1"/>
  <c r="G747" i="1"/>
  <c r="F747" i="1"/>
  <c r="E747" i="1"/>
  <c r="G746" i="1"/>
  <c r="F746" i="1"/>
  <c r="E746" i="1"/>
  <c r="G745" i="1"/>
  <c r="F745" i="1"/>
  <c r="E745" i="1"/>
  <c r="G744" i="1"/>
  <c r="F744" i="1"/>
  <c r="E744" i="1"/>
  <c r="G743" i="1"/>
  <c r="F743" i="1"/>
  <c r="E743" i="1"/>
  <c r="G742" i="1"/>
  <c r="F742" i="1"/>
  <c r="E742" i="1"/>
  <c r="G741" i="1"/>
  <c r="F741" i="1"/>
  <c r="E741" i="1"/>
  <c r="G740" i="1"/>
  <c r="F740" i="1"/>
  <c r="E740" i="1"/>
  <c r="G739" i="1"/>
  <c r="F739" i="1"/>
  <c r="E739" i="1"/>
  <c r="G738" i="1"/>
  <c r="F738" i="1"/>
  <c r="E738" i="1"/>
  <c r="G737" i="1"/>
  <c r="F737" i="1"/>
  <c r="E737" i="1"/>
  <c r="G736" i="1"/>
  <c r="F736" i="1"/>
  <c r="E736" i="1"/>
  <c r="G735" i="1"/>
  <c r="F735" i="1"/>
  <c r="E735" i="1"/>
  <c r="G734" i="1"/>
  <c r="F734" i="1"/>
  <c r="E734" i="1"/>
  <c r="G733" i="1"/>
  <c r="F733" i="1"/>
  <c r="E733" i="1"/>
  <c r="G732" i="1"/>
  <c r="F732" i="1"/>
  <c r="E732" i="1"/>
  <c r="G731" i="1"/>
  <c r="F731" i="1"/>
  <c r="E731" i="1"/>
  <c r="G730" i="1"/>
  <c r="F730" i="1"/>
  <c r="E730" i="1"/>
  <c r="G729" i="1"/>
  <c r="F729" i="1"/>
  <c r="E729" i="1"/>
  <c r="G728" i="1"/>
  <c r="F728" i="1"/>
  <c r="E728" i="1"/>
  <c r="G727" i="1"/>
  <c r="F727" i="1"/>
  <c r="E727" i="1"/>
  <c r="G726" i="1"/>
  <c r="F726" i="1"/>
  <c r="E726" i="1"/>
  <c r="G725" i="1"/>
  <c r="F725" i="1"/>
  <c r="E725" i="1"/>
  <c r="G724" i="1"/>
  <c r="F724" i="1"/>
  <c r="E724" i="1"/>
  <c r="G723" i="1"/>
  <c r="F723" i="1"/>
  <c r="E723" i="1"/>
  <c r="G722" i="1"/>
  <c r="F722" i="1"/>
  <c r="E722" i="1"/>
  <c r="G721" i="1"/>
  <c r="F721" i="1"/>
  <c r="E721" i="1"/>
  <c r="G720" i="1"/>
  <c r="F720" i="1"/>
  <c r="E720" i="1"/>
  <c r="G719" i="1"/>
  <c r="F719" i="1"/>
  <c r="E719" i="1"/>
  <c r="G718" i="1"/>
  <c r="F718" i="1"/>
  <c r="E718" i="1"/>
  <c r="G717" i="1"/>
  <c r="F717" i="1"/>
  <c r="E717" i="1"/>
  <c r="G716" i="1"/>
  <c r="F716" i="1"/>
  <c r="E716" i="1"/>
  <c r="G715" i="1"/>
  <c r="F715" i="1"/>
  <c r="E715" i="1"/>
  <c r="G714" i="1"/>
  <c r="F714" i="1"/>
  <c r="E714" i="1"/>
  <c r="G713" i="1"/>
  <c r="F713" i="1"/>
  <c r="E713" i="1"/>
  <c r="G712" i="1"/>
  <c r="F712" i="1"/>
  <c r="E712" i="1"/>
  <c r="G711" i="1"/>
  <c r="F711" i="1"/>
  <c r="E711" i="1"/>
  <c r="G710" i="1"/>
  <c r="F710" i="1"/>
  <c r="E710" i="1"/>
  <c r="G709" i="1"/>
  <c r="F709" i="1"/>
  <c r="E709" i="1"/>
  <c r="G708" i="1"/>
  <c r="F708" i="1"/>
  <c r="E708" i="1"/>
  <c r="G707" i="1"/>
  <c r="F707" i="1"/>
  <c r="E707" i="1"/>
  <c r="G706" i="1"/>
  <c r="F706" i="1"/>
  <c r="E706" i="1"/>
  <c r="G705" i="1"/>
  <c r="F705" i="1"/>
  <c r="E705" i="1"/>
  <c r="G704" i="1"/>
  <c r="F704" i="1"/>
  <c r="E704" i="1"/>
  <c r="G703" i="1"/>
  <c r="F703" i="1"/>
  <c r="E703" i="1"/>
  <c r="G702" i="1"/>
  <c r="F702" i="1"/>
  <c r="E702" i="1"/>
  <c r="G701" i="1"/>
  <c r="F701" i="1"/>
  <c r="E701" i="1"/>
  <c r="G700" i="1"/>
  <c r="F700" i="1"/>
  <c r="E700" i="1"/>
  <c r="G699" i="1"/>
  <c r="F699" i="1"/>
  <c r="E699" i="1"/>
  <c r="G698" i="1"/>
  <c r="F698" i="1"/>
  <c r="E698" i="1"/>
  <c r="G697" i="1"/>
  <c r="F697" i="1"/>
  <c r="E697" i="1"/>
  <c r="G696" i="1"/>
  <c r="F696" i="1"/>
  <c r="E696" i="1"/>
  <c r="G695" i="1"/>
  <c r="F695" i="1"/>
  <c r="E695" i="1"/>
  <c r="G694" i="1"/>
  <c r="F694" i="1"/>
  <c r="E694" i="1"/>
  <c r="G693" i="1"/>
  <c r="F693" i="1"/>
  <c r="E693" i="1"/>
  <c r="G692" i="1"/>
  <c r="F692" i="1"/>
  <c r="E692" i="1"/>
  <c r="G691" i="1"/>
  <c r="F691" i="1"/>
  <c r="E691" i="1"/>
  <c r="G690" i="1"/>
  <c r="F690" i="1"/>
  <c r="E690" i="1"/>
  <c r="G689" i="1"/>
  <c r="F689" i="1"/>
  <c r="E689" i="1"/>
  <c r="G688" i="1"/>
  <c r="F688" i="1"/>
  <c r="E688" i="1"/>
  <c r="G687" i="1"/>
  <c r="F687" i="1"/>
  <c r="E687" i="1"/>
  <c r="G686" i="1"/>
  <c r="F686" i="1"/>
  <c r="E686" i="1"/>
  <c r="G685" i="1"/>
  <c r="F685" i="1"/>
  <c r="E685" i="1"/>
  <c r="G684" i="1"/>
  <c r="F684" i="1"/>
  <c r="E684" i="1"/>
  <c r="G683" i="1"/>
  <c r="F683" i="1"/>
  <c r="E683" i="1"/>
  <c r="G682" i="1"/>
  <c r="F682" i="1"/>
  <c r="E682" i="1"/>
  <c r="G681" i="1"/>
  <c r="F681" i="1"/>
  <c r="E681" i="1"/>
  <c r="G680" i="1"/>
  <c r="F680" i="1"/>
  <c r="E680" i="1"/>
  <c r="G679" i="1"/>
  <c r="F679" i="1"/>
  <c r="E679" i="1"/>
  <c r="G678" i="1"/>
  <c r="F678" i="1"/>
  <c r="E678" i="1"/>
  <c r="G677" i="1"/>
  <c r="F677" i="1"/>
  <c r="E677" i="1"/>
  <c r="G676" i="1"/>
  <c r="F676" i="1"/>
  <c r="E676" i="1"/>
  <c r="G675" i="1"/>
  <c r="F675" i="1"/>
  <c r="E675" i="1"/>
  <c r="G674" i="1"/>
  <c r="F674" i="1"/>
  <c r="E674" i="1"/>
  <c r="G673" i="1"/>
  <c r="F673" i="1"/>
  <c r="E673" i="1"/>
  <c r="G672" i="1"/>
  <c r="F672" i="1"/>
  <c r="E672" i="1"/>
  <c r="G671" i="1"/>
  <c r="F671" i="1"/>
  <c r="E671" i="1"/>
  <c r="G670" i="1"/>
  <c r="F670" i="1"/>
  <c r="E670" i="1"/>
  <c r="G669" i="1"/>
  <c r="F669" i="1"/>
  <c r="E669" i="1"/>
  <c r="G668" i="1"/>
  <c r="F668" i="1"/>
  <c r="E668" i="1"/>
  <c r="G667" i="1"/>
  <c r="F667" i="1"/>
  <c r="E667" i="1"/>
  <c r="G666" i="1"/>
  <c r="F666" i="1"/>
  <c r="E666" i="1"/>
  <c r="G665" i="1"/>
  <c r="F665" i="1"/>
  <c r="E665" i="1"/>
  <c r="G664" i="1"/>
  <c r="F664" i="1"/>
  <c r="E664" i="1"/>
  <c r="G663" i="1"/>
  <c r="F663" i="1"/>
  <c r="E663" i="1"/>
  <c r="G662" i="1"/>
  <c r="F662" i="1"/>
  <c r="E662" i="1"/>
  <c r="G661" i="1"/>
  <c r="F661" i="1"/>
  <c r="E661" i="1"/>
  <c r="G660" i="1"/>
  <c r="F660" i="1"/>
  <c r="E660" i="1"/>
  <c r="G659" i="1"/>
  <c r="F659" i="1"/>
  <c r="E659" i="1"/>
  <c r="G658" i="1"/>
  <c r="F658" i="1"/>
  <c r="E658" i="1"/>
  <c r="G657" i="1"/>
  <c r="F657" i="1"/>
  <c r="E657" i="1"/>
  <c r="G656" i="1"/>
  <c r="F656" i="1"/>
  <c r="E656" i="1"/>
  <c r="G655" i="1"/>
  <c r="F655" i="1"/>
  <c r="E655" i="1"/>
  <c r="G654" i="1"/>
  <c r="F654" i="1"/>
  <c r="E654" i="1"/>
  <c r="G653" i="1"/>
  <c r="F653" i="1"/>
  <c r="E653" i="1"/>
  <c r="G652" i="1"/>
  <c r="F652" i="1"/>
  <c r="E652" i="1"/>
  <c r="G651" i="1"/>
  <c r="F651" i="1"/>
  <c r="E651" i="1"/>
  <c r="G650" i="1"/>
  <c r="F650" i="1"/>
  <c r="E650" i="1"/>
  <c r="G649" i="1"/>
  <c r="F649" i="1"/>
  <c r="E649" i="1"/>
  <c r="G648" i="1"/>
  <c r="F648" i="1"/>
  <c r="E648" i="1"/>
  <c r="G647" i="1"/>
  <c r="F647" i="1"/>
  <c r="E647" i="1"/>
  <c r="G646" i="1"/>
  <c r="F646" i="1"/>
  <c r="E646" i="1"/>
  <c r="G645" i="1"/>
  <c r="F645" i="1"/>
  <c r="E645" i="1"/>
  <c r="G644" i="1"/>
  <c r="F644" i="1"/>
  <c r="E644" i="1"/>
  <c r="G643" i="1"/>
  <c r="F643" i="1"/>
  <c r="E643" i="1"/>
  <c r="G642" i="1"/>
  <c r="F642" i="1"/>
  <c r="E642" i="1"/>
  <c r="G641" i="1"/>
  <c r="F641" i="1"/>
  <c r="E641" i="1"/>
  <c r="G640" i="1"/>
  <c r="F640" i="1"/>
  <c r="E640" i="1"/>
  <c r="G639" i="1"/>
  <c r="F639" i="1"/>
  <c r="E639" i="1"/>
  <c r="G638" i="1"/>
  <c r="F638" i="1"/>
  <c r="E638" i="1"/>
  <c r="G637" i="1"/>
  <c r="F637" i="1"/>
  <c r="E637" i="1"/>
  <c r="G636" i="1"/>
  <c r="F636" i="1"/>
  <c r="E636" i="1"/>
  <c r="G635" i="1"/>
  <c r="F635" i="1"/>
  <c r="E635" i="1"/>
  <c r="G634" i="1"/>
  <c r="F634" i="1"/>
  <c r="E634" i="1"/>
  <c r="G633" i="1"/>
  <c r="F633" i="1"/>
  <c r="E633" i="1"/>
  <c r="G632" i="1"/>
  <c r="F632" i="1"/>
  <c r="E632" i="1"/>
  <c r="G631" i="1"/>
  <c r="F631" i="1"/>
  <c r="E631" i="1"/>
  <c r="G630" i="1"/>
  <c r="F630" i="1"/>
  <c r="E630" i="1"/>
  <c r="G629" i="1"/>
  <c r="F629" i="1"/>
  <c r="E629" i="1"/>
  <c r="G628" i="1"/>
  <c r="F628" i="1"/>
  <c r="E628" i="1"/>
  <c r="G627" i="1"/>
  <c r="F627" i="1"/>
  <c r="E627" i="1"/>
  <c r="G626" i="1"/>
  <c r="F626" i="1"/>
  <c r="E626" i="1"/>
  <c r="G625" i="1"/>
  <c r="F625" i="1"/>
  <c r="E625" i="1"/>
  <c r="G624" i="1"/>
  <c r="F624" i="1"/>
  <c r="E624" i="1"/>
  <c r="G623" i="1"/>
  <c r="F623" i="1"/>
  <c r="E623" i="1"/>
  <c r="G622" i="1"/>
  <c r="F622" i="1"/>
  <c r="E622" i="1"/>
  <c r="G621" i="1"/>
  <c r="F621" i="1"/>
  <c r="E621" i="1"/>
  <c r="G620" i="1"/>
  <c r="F620" i="1"/>
  <c r="E620" i="1"/>
  <c r="G619" i="1"/>
  <c r="F619" i="1"/>
  <c r="E619" i="1"/>
  <c r="G618" i="1"/>
  <c r="F618" i="1"/>
  <c r="E618" i="1"/>
  <c r="G617" i="1"/>
  <c r="F617" i="1"/>
  <c r="E617" i="1"/>
  <c r="G616" i="1"/>
  <c r="F616" i="1"/>
  <c r="E616" i="1"/>
  <c r="G615" i="1"/>
  <c r="F615" i="1"/>
  <c r="E615" i="1"/>
  <c r="G614" i="1"/>
  <c r="F614" i="1"/>
  <c r="E614" i="1"/>
  <c r="G613" i="1"/>
  <c r="F613" i="1"/>
  <c r="E613" i="1"/>
  <c r="G612" i="1"/>
  <c r="F612" i="1"/>
  <c r="E612" i="1"/>
  <c r="G611" i="1"/>
  <c r="F611" i="1"/>
  <c r="E611" i="1"/>
  <c r="G610" i="1"/>
  <c r="F610" i="1"/>
  <c r="E610" i="1"/>
  <c r="G609" i="1"/>
  <c r="F609" i="1"/>
  <c r="E609" i="1"/>
  <c r="G608" i="1"/>
  <c r="F608" i="1"/>
  <c r="E608" i="1"/>
  <c r="G607" i="1"/>
  <c r="F607" i="1"/>
  <c r="E607" i="1"/>
  <c r="G606" i="1"/>
  <c r="F606" i="1"/>
  <c r="E606" i="1"/>
  <c r="G605" i="1"/>
  <c r="F605" i="1"/>
  <c r="E605" i="1"/>
  <c r="G604" i="1"/>
  <c r="F604" i="1"/>
  <c r="E604" i="1"/>
  <c r="G603" i="1"/>
  <c r="F603" i="1"/>
  <c r="E603" i="1"/>
  <c r="G602" i="1"/>
  <c r="F602" i="1"/>
  <c r="E602" i="1"/>
  <c r="G601" i="1"/>
  <c r="F601" i="1"/>
  <c r="E601" i="1"/>
  <c r="G600" i="1"/>
  <c r="F600" i="1"/>
  <c r="E600" i="1"/>
  <c r="G599" i="1"/>
  <c r="F599" i="1"/>
  <c r="E599" i="1"/>
  <c r="G598" i="1"/>
  <c r="F598" i="1"/>
  <c r="E598" i="1"/>
  <c r="G597" i="1"/>
  <c r="F597" i="1"/>
  <c r="E597" i="1"/>
  <c r="G596" i="1"/>
  <c r="F596" i="1"/>
  <c r="E596" i="1"/>
  <c r="G595" i="1"/>
  <c r="F595" i="1"/>
  <c r="E595" i="1"/>
  <c r="G594" i="1"/>
  <c r="F594" i="1"/>
  <c r="E594" i="1"/>
  <c r="G593" i="1"/>
  <c r="F593" i="1"/>
  <c r="E593" i="1"/>
  <c r="G592" i="1"/>
  <c r="F592" i="1"/>
  <c r="E592" i="1"/>
  <c r="G591" i="1"/>
  <c r="F591" i="1"/>
  <c r="E591" i="1"/>
  <c r="G590" i="1"/>
  <c r="F590" i="1"/>
  <c r="E590" i="1"/>
  <c r="G589" i="1"/>
  <c r="F589" i="1"/>
  <c r="E589" i="1"/>
  <c r="G588" i="1"/>
  <c r="F588" i="1"/>
  <c r="E588" i="1"/>
  <c r="G587" i="1"/>
  <c r="F587" i="1"/>
  <c r="E587" i="1"/>
  <c r="G586" i="1"/>
  <c r="F586" i="1"/>
  <c r="E586" i="1"/>
  <c r="G585" i="1"/>
  <c r="F585" i="1"/>
  <c r="E585" i="1"/>
  <c r="G584" i="1"/>
  <c r="F584" i="1"/>
  <c r="E584" i="1"/>
  <c r="G583" i="1"/>
  <c r="F583" i="1"/>
  <c r="E583" i="1"/>
  <c r="G582" i="1"/>
  <c r="F582" i="1"/>
  <c r="E582" i="1"/>
  <c r="G581" i="1"/>
  <c r="F581" i="1"/>
  <c r="E581" i="1"/>
  <c r="G580" i="1"/>
  <c r="F580" i="1"/>
  <c r="E580" i="1"/>
  <c r="G579" i="1"/>
  <c r="F579" i="1"/>
  <c r="E579" i="1"/>
  <c r="G578" i="1"/>
  <c r="F578" i="1"/>
  <c r="E578" i="1"/>
  <c r="G577" i="1"/>
  <c r="F577" i="1"/>
  <c r="E577" i="1"/>
  <c r="G576" i="1"/>
  <c r="F576" i="1"/>
  <c r="E576" i="1"/>
  <c r="G575" i="1"/>
  <c r="F575" i="1"/>
  <c r="E575" i="1"/>
  <c r="G574" i="1"/>
  <c r="F574" i="1"/>
  <c r="E574" i="1"/>
  <c r="G573" i="1"/>
  <c r="F573" i="1"/>
  <c r="E573" i="1"/>
  <c r="G572" i="1"/>
  <c r="F572" i="1"/>
  <c r="E572" i="1"/>
  <c r="G571" i="1"/>
  <c r="F571" i="1"/>
  <c r="E571" i="1"/>
  <c r="G570" i="1"/>
  <c r="F570" i="1"/>
  <c r="E570" i="1"/>
  <c r="G569" i="1"/>
  <c r="F569" i="1"/>
  <c r="E569" i="1"/>
  <c r="G568" i="1"/>
  <c r="F568" i="1"/>
  <c r="E568" i="1"/>
  <c r="G567" i="1"/>
  <c r="F567" i="1"/>
  <c r="E567" i="1"/>
  <c r="G566" i="1"/>
  <c r="F566" i="1"/>
  <c r="E566" i="1"/>
  <c r="G565" i="1"/>
  <c r="F565" i="1"/>
  <c r="E565" i="1"/>
  <c r="G564" i="1"/>
  <c r="F564" i="1"/>
  <c r="E564" i="1"/>
  <c r="G563" i="1"/>
  <c r="F563" i="1"/>
  <c r="E563" i="1"/>
  <c r="G562" i="1"/>
  <c r="F562" i="1"/>
  <c r="E562" i="1"/>
  <c r="G561" i="1"/>
  <c r="F561" i="1"/>
  <c r="E561" i="1"/>
  <c r="G560" i="1"/>
  <c r="F560" i="1"/>
  <c r="E560" i="1"/>
  <c r="G559" i="1"/>
  <c r="F559" i="1"/>
  <c r="E559" i="1"/>
  <c r="G558" i="1"/>
  <c r="F558" i="1"/>
  <c r="E558" i="1"/>
  <c r="G557" i="1"/>
  <c r="F557" i="1"/>
  <c r="E557" i="1"/>
  <c r="G556" i="1"/>
  <c r="F556" i="1"/>
  <c r="E556" i="1"/>
  <c r="G555" i="1"/>
  <c r="F555" i="1"/>
  <c r="E555" i="1"/>
  <c r="G554" i="1"/>
  <c r="F554" i="1"/>
  <c r="E554" i="1"/>
  <c r="G553" i="1"/>
  <c r="F553" i="1"/>
  <c r="E553" i="1"/>
  <c r="G552" i="1"/>
  <c r="F552" i="1"/>
  <c r="E552" i="1"/>
  <c r="G551" i="1"/>
  <c r="F551" i="1"/>
  <c r="E551" i="1"/>
  <c r="G550" i="1"/>
  <c r="F550" i="1"/>
  <c r="E550" i="1"/>
  <c r="G549" i="1"/>
  <c r="F549" i="1"/>
  <c r="E549" i="1"/>
  <c r="G548" i="1"/>
  <c r="F548" i="1"/>
  <c r="E548" i="1"/>
  <c r="G547" i="1"/>
  <c r="F547" i="1"/>
  <c r="E547" i="1"/>
  <c r="G546" i="1"/>
  <c r="F546" i="1"/>
  <c r="E546" i="1"/>
  <c r="G545" i="1"/>
  <c r="F545" i="1"/>
  <c r="E545" i="1"/>
  <c r="G544" i="1"/>
  <c r="F544" i="1"/>
  <c r="E544" i="1"/>
  <c r="G543" i="1"/>
  <c r="F543" i="1"/>
  <c r="E543" i="1"/>
  <c r="G542" i="1"/>
  <c r="F542" i="1"/>
  <c r="E542" i="1"/>
  <c r="G541" i="1"/>
  <c r="F541" i="1"/>
  <c r="E541" i="1"/>
  <c r="G540" i="1"/>
  <c r="F540" i="1"/>
  <c r="E540" i="1"/>
  <c r="G539" i="1"/>
  <c r="F539" i="1"/>
  <c r="E539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531" i="1"/>
  <c r="F531" i="1"/>
  <c r="E531" i="1"/>
  <c r="G530" i="1"/>
  <c r="F530" i="1"/>
  <c r="E530" i="1"/>
  <c r="G529" i="1"/>
  <c r="F529" i="1"/>
  <c r="E529" i="1"/>
  <c r="G528" i="1"/>
  <c r="F528" i="1"/>
  <c r="E528" i="1"/>
  <c r="G527" i="1"/>
  <c r="F527" i="1"/>
  <c r="E527" i="1"/>
  <c r="G526" i="1"/>
  <c r="F526" i="1"/>
  <c r="E526" i="1"/>
  <c r="G525" i="1"/>
  <c r="F525" i="1"/>
  <c r="E525" i="1"/>
  <c r="G524" i="1"/>
  <c r="F524" i="1"/>
  <c r="E524" i="1"/>
  <c r="G523" i="1"/>
  <c r="F523" i="1"/>
  <c r="E523" i="1"/>
  <c r="G522" i="1"/>
  <c r="F522" i="1"/>
  <c r="E522" i="1"/>
  <c r="G521" i="1"/>
  <c r="F521" i="1"/>
  <c r="E521" i="1"/>
  <c r="G520" i="1"/>
  <c r="F520" i="1"/>
  <c r="E520" i="1"/>
  <c r="G519" i="1"/>
  <c r="F519" i="1"/>
  <c r="E519" i="1"/>
  <c r="G518" i="1"/>
  <c r="F518" i="1"/>
  <c r="E518" i="1"/>
  <c r="G517" i="1"/>
  <c r="F517" i="1"/>
  <c r="E517" i="1"/>
  <c r="G516" i="1"/>
  <c r="F516" i="1"/>
  <c r="E516" i="1"/>
  <c r="G515" i="1"/>
  <c r="F515" i="1"/>
  <c r="E515" i="1"/>
  <c r="G514" i="1"/>
  <c r="F514" i="1"/>
  <c r="E514" i="1"/>
  <c r="G513" i="1"/>
  <c r="F513" i="1"/>
  <c r="E513" i="1"/>
  <c r="G512" i="1"/>
  <c r="F512" i="1"/>
  <c r="E512" i="1"/>
  <c r="G511" i="1"/>
  <c r="F511" i="1"/>
  <c r="E511" i="1"/>
  <c r="G510" i="1"/>
  <c r="F510" i="1"/>
  <c r="E510" i="1"/>
  <c r="G509" i="1"/>
  <c r="F509" i="1"/>
  <c r="E509" i="1"/>
  <c r="G508" i="1"/>
  <c r="F508" i="1"/>
  <c r="E508" i="1"/>
  <c r="G507" i="1"/>
  <c r="F507" i="1"/>
  <c r="E507" i="1"/>
  <c r="G506" i="1"/>
  <c r="F506" i="1"/>
  <c r="E506" i="1"/>
  <c r="G505" i="1"/>
  <c r="F505" i="1"/>
  <c r="E505" i="1"/>
  <c r="G504" i="1"/>
  <c r="F504" i="1"/>
  <c r="E504" i="1"/>
  <c r="G503" i="1"/>
  <c r="F503" i="1"/>
  <c r="E503" i="1"/>
  <c r="G502" i="1"/>
  <c r="F502" i="1"/>
  <c r="E502" i="1"/>
  <c r="G501" i="1"/>
  <c r="F501" i="1"/>
  <c r="E501" i="1"/>
  <c r="G500" i="1"/>
  <c r="F500" i="1"/>
  <c r="E500" i="1"/>
  <c r="G499" i="1"/>
  <c r="F499" i="1"/>
  <c r="E499" i="1"/>
  <c r="G498" i="1"/>
  <c r="F498" i="1"/>
  <c r="E498" i="1"/>
  <c r="G497" i="1"/>
  <c r="F497" i="1"/>
  <c r="E497" i="1"/>
  <c r="G496" i="1"/>
  <c r="F496" i="1"/>
  <c r="E496" i="1"/>
  <c r="G495" i="1"/>
  <c r="F495" i="1"/>
  <c r="E495" i="1"/>
  <c r="G494" i="1"/>
  <c r="F494" i="1"/>
  <c r="E494" i="1"/>
  <c r="G493" i="1"/>
  <c r="F493" i="1"/>
  <c r="E493" i="1"/>
  <c r="G492" i="1"/>
  <c r="F492" i="1"/>
  <c r="E492" i="1"/>
  <c r="G491" i="1"/>
  <c r="F491" i="1"/>
  <c r="E491" i="1"/>
  <c r="G490" i="1"/>
  <c r="F490" i="1"/>
  <c r="E490" i="1"/>
  <c r="G489" i="1"/>
  <c r="F489" i="1"/>
  <c r="E489" i="1"/>
  <c r="G488" i="1"/>
  <c r="F488" i="1"/>
  <c r="E488" i="1"/>
  <c r="G487" i="1"/>
  <c r="F487" i="1"/>
  <c r="E487" i="1"/>
  <c r="G486" i="1"/>
  <c r="F486" i="1"/>
  <c r="E486" i="1"/>
  <c r="G485" i="1"/>
  <c r="F485" i="1"/>
  <c r="E485" i="1"/>
  <c r="G484" i="1"/>
  <c r="F484" i="1"/>
  <c r="E484" i="1"/>
  <c r="G483" i="1"/>
  <c r="F483" i="1"/>
  <c r="E483" i="1"/>
  <c r="G482" i="1"/>
  <c r="F482" i="1"/>
  <c r="E482" i="1"/>
  <c r="G481" i="1"/>
  <c r="F481" i="1"/>
  <c r="E481" i="1"/>
  <c r="G480" i="1"/>
  <c r="F480" i="1"/>
  <c r="E480" i="1"/>
  <c r="G479" i="1"/>
  <c r="F479" i="1"/>
  <c r="E479" i="1"/>
  <c r="G478" i="1"/>
  <c r="F478" i="1"/>
  <c r="E478" i="1"/>
  <c r="G477" i="1"/>
  <c r="F477" i="1"/>
  <c r="E477" i="1"/>
  <c r="G476" i="1"/>
  <c r="F476" i="1"/>
  <c r="E476" i="1"/>
  <c r="G475" i="1"/>
  <c r="F475" i="1"/>
  <c r="E475" i="1"/>
  <c r="G474" i="1"/>
  <c r="F474" i="1"/>
  <c r="E474" i="1"/>
  <c r="G473" i="1"/>
  <c r="F473" i="1"/>
  <c r="E473" i="1"/>
  <c r="G472" i="1"/>
  <c r="F472" i="1"/>
  <c r="E472" i="1"/>
  <c r="G471" i="1"/>
  <c r="F471" i="1"/>
  <c r="E471" i="1"/>
  <c r="G470" i="1"/>
  <c r="F470" i="1"/>
  <c r="E470" i="1"/>
  <c r="G469" i="1"/>
  <c r="F469" i="1"/>
  <c r="E469" i="1"/>
  <c r="G468" i="1"/>
  <c r="F468" i="1"/>
  <c r="E468" i="1"/>
  <c r="G467" i="1"/>
  <c r="F467" i="1"/>
  <c r="E467" i="1"/>
  <c r="G466" i="1"/>
  <c r="F466" i="1"/>
  <c r="E466" i="1"/>
  <c r="G465" i="1"/>
  <c r="F465" i="1"/>
  <c r="E465" i="1"/>
  <c r="G464" i="1"/>
  <c r="F464" i="1"/>
  <c r="E464" i="1"/>
  <c r="G463" i="1"/>
  <c r="F463" i="1"/>
  <c r="E463" i="1"/>
  <c r="G462" i="1"/>
  <c r="F462" i="1"/>
  <c r="E462" i="1"/>
  <c r="G461" i="1"/>
  <c r="F461" i="1"/>
  <c r="E461" i="1"/>
  <c r="G460" i="1"/>
  <c r="F460" i="1"/>
  <c r="E460" i="1"/>
  <c r="G459" i="1"/>
  <c r="F459" i="1"/>
  <c r="E459" i="1"/>
  <c r="G458" i="1"/>
  <c r="F458" i="1"/>
  <c r="E458" i="1"/>
  <c r="G457" i="1"/>
  <c r="F457" i="1"/>
  <c r="E457" i="1"/>
  <c r="G456" i="1"/>
  <c r="F456" i="1"/>
  <c r="E456" i="1"/>
  <c r="G455" i="1"/>
  <c r="F455" i="1"/>
  <c r="E455" i="1"/>
  <c r="G454" i="1"/>
  <c r="F454" i="1"/>
  <c r="E454" i="1"/>
  <c r="G453" i="1"/>
  <c r="F453" i="1"/>
  <c r="E453" i="1"/>
  <c r="G452" i="1"/>
  <c r="F452" i="1"/>
  <c r="E452" i="1"/>
  <c r="G451" i="1"/>
  <c r="F451" i="1"/>
  <c r="E451" i="1"/>
  <c r="G450" i="1"/>
  <c r="F450" i="1"/>
  <c r="E450" i="1"/>
  <c r="G449" i="1"/>
  <c r="F449" i="1"/>
  <c r="E449" i="1"/>
  <c r="G448" i="1"/>
  <c r="F448" i="1"/>
  <c r="E448" i="1"/>
  <c r="G447" i="1"/>
  <c r="F447" i="1"/>
  <c r="E447" i="1"/>
  <c r="G446" i="1"/>
  <c r="F446" i="1"/>
  <c r="E446" i="1"/>
  <c r="G445" i="1"/>
  <c r="F445" i="1"/>
  <c r="E445" i="1"/>
  <c r="G444" i="1"/>
  <c r="F444" i="1"/>
  <c r="E444" i="1"/>
  <c r="G443" i="1"/>
  <c r="F443" i="1"/>
  <c r="E443" i="1"/>
  <c r="G442" i="1"/>
  <c r="F442" i="1"/>
  <c r="E442" i="1"/>
  <c r="G441" i="1"/>
  <c r="F441" i="1"/>
  <c r="E441" i="1"/>
  <c r="G440" i="1"/>
  <c r="F440" i="1"/>
  <c r="E440" i="1"/>
  <c r="G439" i="1"/>
  <c r="F439" i="1"/>
  <c r="E439" i="1"/>
  <c r="G438" i="1"/>
  <c r="F438" i="1"/>
  <c r="E438" i="1"/>
  <c r="G437" i="1"/>
  <c r="F437" i="1"/>
  <c r="E437" i="1"/>
  <c r="G436" i="1"/>
  <c r="F436" i="1"/>
  <c r="E436" i="1"/>
  <c r="G435" i="1"/>
  <c r="F435" i="1"/>
  <c r="E435" i="1"/>
  <c r="G434" i="1"/>
  <c r="F434" i="1"/>
  <c r="E434" i="1"/>
  <c r="G433" i="1"/>
  <c r="F433" i="1"/>
  <c r="E433" i="1"/>
  <c r="G432" i="1"/>
  <c r="F432" i="1"/>
  <c r="E432" i="1"/>
  <c r="G431" i="1"/>
  <c r="F431" i="1"/>
  <c r="E431" i="1"/>
  <c r="G430" i="1"/>
  <c r="F430" i="1"/>
  <c r="E430" i="1"/>
  <c r="G429" i="1"/>
  <c r="F429" i="1"/>
  <c r="E429" i="1"/>
  <c r="G428" i="1"/>
  <c r="F428" i="1"/>
  <c r="E428" i="1"/>
  <c r="G427" i="1"/>
  <c r="F427" i="1"/>
  <c r="E427" i="1"/>
  <c r="G426" i="1"/>
  <c r="F426" i="1"/>
  <c r="E426" i="1"/>
  <c r="G425" i="1"/>
  <c r="F425" i="1"/>
  <c r="E425" i="1"/>
  <c r="G424" i="1"/>
  <c r="F424" i="1"/>
  <c r="E424" i="1"/>
  <c r="G423" i="1"/>
  <c r="F423" i="1"/>
  <c r="E423" i="1"/>
  <c r="G422" i="1"/>
  <c r="F422" i="1"/>
  <c r="E422" i="1"/>
  <c r="G421" i="1"/>
  <c r="F421" i="1"/>
  <c r="E421" i="1"/>
  <c r="G420" i="1"/>
  <c r="F420" i="1"/>
  <c r="E420" i="1"/>
  <c r="G419" i="1"/>
  <c r="F419" i="1"/>
  <c r="E419" i="1"/>
  <c r="G418" i="1"/>
  <c r="F418" i="1"/>
  <c r="E418" i="1"/>
  <c r="G417" i="1"/>
  <c r="F417" i="1"/>
  <c r="E417" i="1"/>
  <c r="G416" i="1"/>
  <c r="F416" i="1"/>
  <c r="E416" i="1"/>
  <c r="G415" i="1"/>
  <c r="F415" i="1"/>
  <c r="E415" i="1"/>
  <c r="G414" i="1"/>
  <c r="F414" i="1"/>
  <c r="E414" i="1"/>
  <c r="G413" i="1"/>
  <c r="F413" i="1"/>
  <c r="E413" i="1"/>
  <c r="G412" i="1"/>
  <c r="F412" i="1"/>
  <c r="E412" i="1"/>
  <c r="G411" i="1"/>
  <c r="F411" i="1"/>
  <c r="E411" i="1"/>
  <c r="G410" i="1"/>
  <c r="F410" i="1"/>
  <c r="E410" i="1"/>
  <c r="G409" i="1"/>
  <c r="F409" i="1"/>
  <c r="E409" i="1"/>
  <c r="G408" i="1"/>
  <c r="F408" i="1"/>
  <c r="E408" i="1"/>
  <c r="G407" i="1"/>
  <c r="F407" i="1"/>
  <c r="E407" i="1"/>
  <c r="G406" i="1"/>
  <c r="F406" i="1"/>
  <c r="E406" i="1"/>
  <c r="G405" i="1"/>
  <c r="F405" i="1"/>
  <c r="E405" i="1"/>
  <c r="G404" i="1"/>
  <c r="F404" i="1"/>
  <c r="E404" i="1"/>
  <c r="G403" i="1"/>
  <c r="F403" i="1"/>
  <c r="E403" i="1"/>
  <c r="G402" i="1"/>
  <c r="F402" i="1"/>
  <c r="E402" i="1"/>
  <c r="G401" i="1"/>
  <c r="F401" i="1"/>
  <c r="E401" i="1"/>
  <c r="G400" i="1"/>
  <c r="F400" i="1"/>
  <c r="E400" i="1"/>
  <c r="G399" i="1"/>
  <c r="F399" i="1"/>
  <c r="E399" i="1"/>
  <c r="G398" i="1"/>
  <c r="F398" i="1"/>
  <c r="E398" i="1"/>
  <c r="G397" i="1"/>
  <c r="F397" i="1"/>
  <c r="E397" i="1"/>
  <c r="G396" i="1"/>
  <c r="F396" i="1"/>
  <c r="E396" i="1"/>
  <c r="G395" i="1"/>
  <c r="F395" i="1"/>
  <c r="E395" i="1"/>
  <c r="G394" i="1"/>
  <c r="F394" i="1"/>
  <c r="E394" i="1"/>
  <c r="G393" i="1"/>
  <c r="F393" i="1"/>
  <c r="E393" i="1"/>
  <c r="G392" i="1"/>
  <c r="F392" i="1"/>
  <c r="E392" i="1"/>
  <c r="G391" i="1"/>
  <c r="F391" i="1"/>
  <c r="E391" i="1"/>
  <c r="G390" i="1"/>
  <c r="F390" i="1"/>
  <c r="E390" i="1"/>
  <c r="G389" i="1"/>
  <c r="F389" i="1"/>
  <c r="E389" i="1"/>
  <c r="G388" i="1"/>
  <c r="F388" i="1"/>
  <c r="E388" i="1"/>
  <c r="G387" i="1"/>
  <c r="F387" i="1"/>
  <c r="E387" i="1"/>
  <c r="G386" i="1"/>
  <c r="F386" i="1"/>
  <c r="E386" i="1"/>
  <c r="G385" i="1"/>
  <c r="F385" i="1"/>
  <c r="E385" i="1"/>
  <c r="G384" i="1"/>
  <c r="F384" i="1"/>
  <c r="E384" i="1"/>
  <c r="G383" i="1"/>
  <c r="F383" i="1"/>
  <c r="E383" i="1"/>
  <c r="G382" i="1"/>
  <c r="F382" i="1"/>
  <c r="E382" i="1"/>
  <c r="G381" i="1"/>
  <c r="F381" i="1"/>
  <c r="E381" i="1"/>
  <c r="G380" i="1"/>
  <c r="F380" i="1"/>
  <c r="E380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4" i="1"/>
  <c r="F374" i="1"/>
  <c r="E374" i="1"/>
  <c r="G373" i="1"/>
  <c r="F373" i="1"/>
  <c r="E373" i="1"/>
  <c r="G372" i="1"/>
  <c r="F372" i="1"/>
  <c r="E372" i="1"/>
  <c r="G371" i="1"/>
  <c r="F371" i="1"/>
  <c r="E371" i="1"/>
  <c r="G370" i="1"/>
  <c r="F370" i="1"/>
  <c r="E370" i="1"/>
  <c r="G369" i="1"/>
  <c r="F369" i="1"/>
  <c r="E369" i="1"/>
  <c r="G368" i="1"/>
  <c r="F368" i="1"/>
  <c r="E368" i="1"/>
  <c r="G367" i="1"/>
  <c r="F367" i="1"/>
  <c r="E367" i="1"/>
  <c r="G366" i="1"/>
  <c r="F366" i="1"/>
  <c r="E366" i="1"/>
  <c r="G365" i="1"/>
  <c r="F365" i="1"/>
  <c r="E365" i="1"/>
  <c r="G364" i="1"/>
  <c r="F364" i="1"/>
  <c r="E364" i="1"/>
  <c r="G363" i="1"/>
  <c r="F363" i="1"/>
  <c r="E363" i="1"/>
  <c r="G362" i="1"/>
  <c r="F362" i="1"/>
  <c r="E362" i="1"/>
  <c r="G361" i="1"/>
  <c r="F361" i="1"/>
  <c r="E361" i="1"/>
  <c r="G360" i="1"/>
  <c r="F360" i="1"/>
  <c r="E360" i="1"/>
  <c r="G359" i="1"/>
  <c r="F359" i="1"/>
  <c r="E359" i="1"/>
  <c r="G358" i="1"/>
  <c r="F358" i="1"/>
  <c r="E358" i="1"/>
  <c r="G357" i="1"/>
  <c r="F357" i="1"/>
  <c r="E357" i="1"/>
  <c r="G356" i="1"/>
  <c r="F356" i="1"/>
  <c r="E356" i="1"/>
  <c r="G355" i="1"/>
  <c r="F355" i="1"/>
  <c r="E355" i="1"/>
  <c r="G354" i="1"/>
  <c r="F354" i="1"/>
  <c r="E354" i="1"/>
  <c r="G353" i="1"/>
  <c r="F353" i="1"/>
  <c r="E353" i="1"/>
  <c r="G352" i="1"/>
  <c r="F352" i="1"/>
  <c r="E352" i="1"/>
  <c r="G351" i="1"/>
  <c r="F351" i="1"/>
  <c r="E351" i="1"/>
  <c r="G350" i="1"/>
  <c r="F350" i="1"/>
  <c r="E350" i="1"/>
  <c r="G349" i="1"/>
  <c r="F349" i="1"/>
  <c r="E349" i="1"/>
  <c r="G348" i="1"/>
  <c r="F348" i="1"/>
  <c r="E348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E342" i="1"/>
  <c r="G341" i="1"/>
  <c r="F341" i="1"/>
  <c r="E341" i="1"/>
  <c r="G340" i="1"/>
  <c r="F340" i="1"/>
  <c r="E340" i="1"/>
  <c r="G339" i="1"/>
  <c r="F339" i="1"/>
  <c r="E339" i="1"/>
  <c r="G338" i="1"/>
  <c r="F338" i="1"/>
  <c r="E338" i="1"/>
  <c r="G337" i="1"/>
  <c r="F337" i="1"/>
  <c r="E337" i="1"/>
  <c r="G336" i="1"/>
  <c r="F336" i="1"/>
  <c r="E336" i="1"/>
  <c r="G335" i="1"/>
  <c r="F335" i="1"/>
  <c r="E335" i="1"/>
  <c r="G334" i="1"/>
  <c r="F334" i="1"/>
  <c r="E334" i="1"/>
  <c r="G333" i="1"/>
  <c r="F333" i="1"/>
  <c r="E333" i="1"/>
  <c r="G332" i="1"/>
  <c r="F332" i="1"/>
  <c r="E332" i="1"/>
  <c r="G331" i="1"/>
  <c r="F331" i="1"/>
  <c r="E331" i="1"/>
  <c r="G330" i="1"/>
  <c r="F330" i="1"/>
  <c r="E330" i="1"/>
  <c r="G329" i="1"/>
  <c r="F329" i="1"/>
  <c r="E329" i="1"/>
  <c r="G328" i="1"/>
  <c r="F328" i="1"/>
  <c r="E328" i="1"/>
  <c r="G327" i="1"/>
  <c r="F327" i="1"/>
  <c r="E327" i="1"/>
  <c r="G326" i="1"/>
  <c r="F326" i="1"/>
  <c r="E326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8" i="1"/>
  <c r="F308" i="1"/>
  <c r="E308" i="1"/>
  <c r="G307" i="1"/>
  <c r="F307" i="1"/>
  <c r="E307" i="1"/>
  <c r="G306" i="1"/>
  <c r="F306" i="1"/>
  <c r="E306" i="1"/>
  <c r="G305" i="1"/>
  <c r="F305" i="1"/>
  <c r="E305" i="1"/>
  <c r="G304" i="1"/>
  <c r="F304" i="1"/>
  <c r="E304" i="1"/>
  <c r="G303" i="1"/>
  <c r="F303" i="1"/>
  <c r="E303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G256" i="1"/>
  <c r="F256" i="1"/>
  <c r="E256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3" i="1"/>
  <c r="F213" i="1"/>
  <c r="E213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</calcChain>
</file>

<file path=xl/sharedStrings.xml><?xml version="1.0" encoding="utf-8"?>
<sst xmlns="http://schemas.openxmlformats.org/spreadsheetml/2006/main" count="576" uniqueCount="477">
  <si>
    <t>Name</t>
  </si>
  <si>
    <t>Check #</t>
  </si>
  <si>
    <t>Check Amount</t>
  </si>
  <si>
    <t>Check Date</t>
  </si>
  <si>
    <t>Invoice ID</t>
  </si>
  <si>
    <t>Invoice Desc</t>
  </si>
  <si>
    <t>GL Description</t>
  </si>
  <si>
    <t xml:space="preserve">GL Amount </t>
  </si>
  <si>
    <t>304 CONSTRUCTION LLC</t>
  </si>
  <si>
    <t>973 MATERIALS  LLC</t>
  </si>
  <si>
    <t>ARNOLD OIL COMPANY OF AUSTIN LP</t>
  </si>
  <si>
    <t>ADAM DAKOTA ROWINS</t>
  </si>
  <si>
    <t>ADENA LEWIS</t>
  </si>
  <si>
    <t>ALAMO  GROUP (TX)  INC</t>
  </si>
  <si>
    <t>DRIVE TRAIN  INC</t>
  </si>
  <si>
    <t>ALBERT NEAL PFEIFFER</t>
  </si>
  <si>
    <t>AMAZON CAPITAL SERVICES INC</t>
  </si>
  <si>
    <t>AMERICAN ASSN OF NOTARIES</t>
  </si>
  <si>
    <t>AMG PRINTING &amp; MAILING  LLC</t>
  </si>
  <si>
    <t>ANDERSON &amp; ANDERSON LAW FIRM PC</t>
  </si>
  <si>
    <t>ANTONIO R VILLAFRANCA</t>
  </si>
  <si>
    <t>C APPLEMAN ENT INC</t>
  </si>
  <si>
    <t>APPRISS INC</t>
  </si>
  <si>
    <t>AQUA BEVERAGE COMPANY/OZARKA</t>
  </si>
  <si>
    <t>AQUA WATER SUPPLY CORPORATION</t>
  </si>
  <si>
    <t>ARCHITEXAS - ARCHITECTURE  PLANNING &amp; HISTORIC PRE</t>
  </si>
  <si>
    <t>ASCENSION SETON</t>
  </si>
  <si>
    <t>AT&amp;T</t>
  </si>
  <si>
    <t>AT&amp;T MOBILITY</t>
  </si>
  <si>
    <t>THE AUBAINE SUPPLY COMPANY  INC</t>
  </si>
  <si>
    <t>AUSTIN RETINA ASSSOCIATES</t>
  </si>
  <si>
    <t>MICHAEL OLDHAM TIRE INC</t>
  </si>
  <si>
    <t>EDUARDO BARRIENTOS</t>
  </si>
  <si>
    <t>BASTROP COUNTY SHERIFF'S DEPT</t>
  </si>
  <si>
    <t>DANIEL L HEPKER</t>
  </si>
  <si>
    <t>BASTROP COUNTY TAX ASSESSOR</t>
  </si>
  <si>
    <t>BASTROP COUNTY CARES</t>
  </si>
  <si>
    <t>BASTROP COUNTY CLERK</t>
  </si>
  <si>
    <t>BASTROP COUNTY PROBATION DEPT</t>
  </si>
  <si>
    <t>BASTROP PROVIDENCE  LLC</t>
  </si>
  <si>
    <t>BASTROP VETERINARY HOSPITAL  INC.</t>
  </si>
  <si>
    <t>DAVID H OUTON</t>
  </si>
  <si>
    <t>BELL COUNTY</t>
  </si>
  <si>
    <t>BEN E KEITH CO.</t>
  </si>
  <si>
    <t>BERAN'S GIN MILL &amp; FEED CO  LP</t>
  </si>
  <si>
    <t>B C FOOD GROUP  LLC</t>
  </si>
  <si>
    <t>BIG CITY CRUSHED CONCRETE  LLC</t>
  </si>
  <si>
    <t>BIG WRENCH ROAD SERVICE INC</t>
  </si>
  <si>
    <t>MAURINE MC LEAN</t>
  </si>
  <si>
    <t>BIMBO FOODS INC</t>
  </si>
  <si>
    <t>BLAS J. COY  JR.</t>
  </si>
  <si>
    <t>BLUEBONNET ELECTRIC COOPERATIVE  INC.</t>
  </si>
  <si>
    <t>BLUEBONNET TRAILS MHMR</t>
  </si>
  <si>
    <t>BOEHRINGER INGELHEIM ANIMAL HEALTH USA INC.</t>
  </si>
  <si>
    <t>BRADLEY G LINGOLD</t>
  </si>
  <si>
    <t>BRADLEY KLAUS</t>
  </si>
  <si>
    <t>BRAUNTEX MATERIALS INC</t>
  </si>
  <si>
    <t>LAW OFFICE OF BRYAN W. MCDANIEL  P.C.</t>
  </si>
  <si>
    <t>BUREAU OF VITAL STATISTICS</t>
  </si>
  <si>
    <t>TIB-THE INDEPENDENT BANKERS BANK</t>
  </si>
  <si>
    <t>CAROLYN DILL</t>
  </si>
  <si>
    <t>CDW GOVERNMENT INC</t>
  </si>
  <si>
    <t>CENTEX IMAGE DESIGNS  LLC</t>
  </si>
  <si>
    <t>CENTEX MATERIALS LLC</t>
  </si>
  <si>
    <t>CENTRAL TEXAS RESOURCE CONSERVATION &amp; DEVELOPMENT</t>
  </si>
  <si>
    <t>CHARLES W CARVER</t>
  </si>
  <si>
    <t>CHECK PLUS STORAGE  LLC</t>
  </si>
  <si>
    <t>CHRIS MATT DILLON</t>
  </si>
  <si>
    <t>CHRISTINE FILES</t>
  </si>
  <si>
    <t>CINTAS</t>
  </si>
  <si>
    <t>CINTAS CORPORATION</t>
  </si>
  <si>
    <t>CITIBANK</t>
  </si>
  <si>
    <t>CITY OF BASTROP</t>
  </si>
  <si>
    <t>CITY OF SMITHVILLE</t>
  </si>
  <si>
    <t>CLARA BECKETT</t>
  </si>
  <si>
    <t>CLIFFORD POWER SYSTEMS INC</t>
  </si>
  <si>
    <t>CLINICAL PATHOLOGY LABORATORIES INC</t>
  </si>
  <si>
    <t>COMBINED COMMUNITY ACTION INC</t>
  </si>
  <si>
    <t>COMMUNITY COFFEE COMPANY LLC</t>
  </si>
  <si>
    <t>COMMUNITY HEALTH CENTERS</t>
  </si>
  <si>
    <t>CONNECTED NATION  INC.</t>
  </si>
  <si>
    <t>CONTECH ENGINEERED SOLUTIONS INC</t>
  </si>
  <si>
    <t>COOPER EQUIPMENT CO.</t>
  </si>
  <si>
    <t>COUNTY OF BEXAR - SHERIFF</t>
  </si>
  <si>
    <t>COVERT CHEVROLET-OLDS</t>
  </si>
  <si>
    <t>BUTLER ANIMAL HEALTH HOLDING COMPANY  LLC</t>
  </si>
  <si>
    <t>CRAIG WINTER</t>
  </si>
  <si>
    <t>DALLAS COUNTY CONSTABLE PCT 1</t>
  </si>
  <si>
    <t>DARRYL KOUBA</t>
  </si>
  <si>
    <t>DASH MEDICAL GLOVES INC.</t>
  </si>
  <si>
    <t>DAVID B BROOKS</t>
  </si>
  <si>
    <t>DAVIS &amp; STANTON  INC.</t>
  </si>
  <si>
    <t>DEAN DAIRY CORPORATE  LLC</t>
  </si>
  <si>
    <t>DELL</t>
  </si>
  <si>
    <t>DENTRUST DENTAL TX PC</t>
  </si>
  <si>
    <t>DICKENS LOCKSMITH INC</t>
  </si>
  <si>
    <t>TEXAS DEPARTMENT OF INFORMATION RESOURCES</t>
  </si>
  <si>
    <t>DISCOUNT FEEDS &amp; SUPPLIES</t>
  </si>
  <si>
    <t>THE REINALT - THOMAS CORPORATION</t>
  </si>
  <si>
    <t>DONNIE STARK</t>
  </si>
  <si>
    <t>DORA HERNANDEZ</t>
  </si>
  <si>
    <t>DOUBLE D INTERNATIONAL FOOD CO.  INC.</t>
  </si>
  <si>
    <t>DUNNE &amp; JUAREZ L.L.C.</t>
  </si>
  <si>
    <t>PBJ INC</t>
  </si>
  <si>
    <t>ECOLAB INC</t>
  </si>
  <si>
    <t>ELECTION SYSTEMS &amp; SOFTWARE INC</t>
  </si>
  <si>
    <t>BLACKLANDS PUBLICATIONS INC</t>
  </si>
  <si>
    <t>RALPH DAVID GLASS</t>
  </si>
  <si>
    <t>CITY OF ELGIN UTILITIES</t>
  </si>
  <si>
    <t>ELLIOTT ELECTRIC SUPPLY INC</t>
  </si>
  <si>
    <t>ERIN NICKEL</t>
  </si>
  <si>
    <t>EWEAC</t>
  </si>
  <si>
    <t>EZEQUIEL ROSAS BARRAGAN</t>
  </si>
  <si>
    <t>BASTROP COUNTY WOMEN'S SHELTER</t>
  </si>
  <si>
    <t>FEDERAL EXPRESS</t>
  </si>
  <si>
    <t>FLEETPRIDE</t>
  </si>
  <si>
    <t>4283929 DELAWARE LLC</t>
  </si>
  <si>
    <t>FORREST L. SANDERSON</t>
  </si>
  <si>
    <t>FRANCES HUNTER</t>
  </si>
  <si>
    <t>EUGENE W BRIGGS JR</t>
  </si>
  <si>
    <t>GALLS PARENT HOLDINGS LLC</t>
  </si>
  <si>
    <t>GOVERNMENTAL COLLECTORS ASSOCIATION OF TEXAS</t>
  </si>
  <si>
    <t>GOVERNMENT FORMS AND SUPPLIES LLC</t>
  </si>
  <si>
    <t>GRAPEVINE DODGE CHRYSLER JEEP  LLC</t>
  </si>
  <si>
    <t>GT DISTRIBUTORS  INC.</t>
  </si>
  <si>
    <t>GUADALUPE COUNTY SHERIFF</t>
  </si>
  <si>
    <t>GULF COAST PAPER CO. INC.</t>
  </si>
  <si>
    <t>HALFF ASSOCIATES</t>
  </si>
  <si>
    <t>HAMILTON ELECTRIC WORKS  INC.</t>
  </si>
  <si>
    <t>HAVIS INC</t>
  </si>
  <si>
    <t>HEARTLAND QUARRIES  LLC</t>
  </si>
  <si>
    <t>HI-LINE</t>
  </si>
  <si>
    <t>BASCOM L HODGES JR</t>
  </si>
  <si>
    <t>BD HOLT CO</t>
  </si>
  <si>
    <t>CITIBANK (SOUTH DAKOTA)N.A./THE HOME DEPOT</t>
  </si>
  <si>
    <t>NORTHWEST CASCADE INC</t>
  </si>
  <si>
    <t>AMERICAS EQUINE WAREHOUSE  INC.</t>
  </si>
  <si>
    <t>HEAT TRANSFER SOLUTIONS  INC.</t>
  </si>
  <si>
    <t>HYDRAULIC HOUSE INC</t>
  </si>
  <si>
    <t>ICS</t>
  </si>
  <si>
    <t>IDEXX DISTRIBUTION INC</t>
  </si>
  <si>
    <t>IRON MOUNTAIN RECORDS MGMT INC</t>
  </si>
  <si>
    <t>JAMES MONTGOMERY</t>
  </si>
  <si>
    <t>JAN LANGER  DVM</t>
  </si>
  <si>
    <t>JAMES MORGAN</t>
  </si>
  <si>
    <t>JON ETHEREDGE</t>
  </si>
  <si>
    <t>JUSTIN MATTHEW FOHN</t>
  </si>
  <si>
    <t>KAREN STARKS</t>
  </si>
  <si>
    <t>KELTEC SYSTEMS INC</t>
  </si>
  <si>
    <t>KENNETH LIMUEL</t>
  </si>
  <si>
    <t>KENT BROUSSARD TOWER RENTAL INC</t>
  </si>
  <si>
    <t>KNIGHT SECURITY SYSTEMS LLC</t>
  </si>
  <si>
    <t>KOETTER FIRE PROTECTION OF AUSTIN  LLC</t>
  </si>
  <si>
    <t>KRISTA BARTSCH</t>
  </si>
  <si>
    <t>THE LA GRANGE PARTS HOUSE INC</t>
  </si>
  <si>
    <t>LABATT INSTITUTIONAL SUPPLY CO</t>
  </si>
  <si>
    <t>LARA WILSON</t>
  </si>
  <si>
    <t>RAYMOND M. ESPERSEN</t>
  </si>
  <si>
    <t>LEXISNEXIS RISK DATA MGMT INC</t>
  </si>
  <si>
    <t>LIBERTY TIRE RECYCLING</t>
  </si>
  <si>
    <t>LINDSAY SILVEIRA</t>
  </si>
  <si>
    <t>LINDSEY SIMMONS</t>
  </si>
  <si>
    <t>LISA JACKSON</t>
  </si>
  <si>
    <t>LONE STAR CIRCLE OF CARE</t>
  </si>
  <si>
    <t>CERVANTEZ MAINTENANCE MANAGEMENT  LLC</t>
  </si>
  <si>
    <t>LONGHORN EMERGENCY MEDICAL ASSOC PA</t>
  </si>
  <si>
    <t>LONNIE LAWRENCE DAVIS JR</t>
  </si>
  <si>
    <t>SCOTT BRYANT</t>
  </si>
  <si>
    <t>TRUBAR  LLC</t>
  </si>
  <si>
    <t>LOWE'S</t>
  </si>
  <si>
    <t>LW SPANISH LANGUAGE SERVICES</t>
  </si>
  <si>
    <t>MARIA ANFOSSO</t>
  </si>
  <si>
    <t>JOHN W GASPARINI INC</t>
  </si>
  <si>
    <t>MARY BETH SCOTT</t>
  </si>
  <si>
    <t>MATHESON TRI-GAS INC</t>
  </si>
  <si>
    <t>ROGER C MATHIS</t>
  </si>
  <si>
    <t>MAUREEN S BURROWS MD MPH</t>
  </si>
  <si>
    <t>McCOY'S BUILDING SUPPLY CENTER</t>
  </si>
  <si>
    <t>McCREARY  VESELKA  BRAGG &amp; ALLEN P</t>
  </si>
  <si>
    <t>McKESSON MEDICAL-SURGICAL GOVERNMENT SOLUTIONS LLC</t>
  </si>
  <si>
    <t>MEAGHAN BARNES</t>
  </si>
  <si>
    <t>MEDIMPACT HEALTHCARE SYSTEMS INC</t>
  </si>
  <si>
    <t>MELVIN TUCKER</t>
  </si>
  <si>
    <t>MIDTEX MATERIALS</t>
  </si>
  <si>
    <t>CARA JILL GRINNELL</t>
  </si>
  <si>
    <t>SHANE ALLEN ALEXANDER</t>
  </si>
  <si>
    <t>NATASHA MARIE MOORE</t>
  </si>
  <si>
    <t>BARBARA BAILEY BOGART</t>
  </si>
  <si>
    <t>DAMIR ANTONIO SPANJOL</t>
  </si>
  <si>
    <t>KIM COERS KRAMER</t>
  </si>
  <si>
    <t>HEATHER MARIE MEISETSCHLAEGER</t>
  </si>
  <si>
    <t>FRANCISCUS C CAMPBELL</t>
  </si>
  <si>
    <t>GREGORY LEWIS MODESETTE</t>
  </si>
  <si>
    <t>CHARLES WILLIAM KRAMER</t>
  </si>
  <si>
    <t>TERRY LEE WADE</t>
  </si>
  <si>
    <t>PAUL THOMAS FINFROCK</t>
  </si>
  <si>
    <t>DANIEL RAY CARRASCO</t>
  </si>
  <si>
    <t>GLORIA SANTAMARIA ALEJO</t>
  </si>
  <si>
    <t>JAMIE DALE HIGGINBOTHAM</t>
  </si>
  <si>
    <t>JERNAE LEE WRIGHT</t>
  </si>
  <si>
    <t>CARY EARL JACKSON</t>
  </si>
  <si>
    <t>BRYAN ALLEN KLAERNER</t>
  </si>
  <si>
    <t>TOBIAH AARON HENNEKE</t>
  </si>
  <si>
    <t>CHERYL ANN RUSSELL</t>
  </si>
  <si>
    <t>BRENDA MARIE HERNANDEZ</t>
  </si>
  <si>
    <t>ANGELA DENTON RYAN</t>
  </si>
  <si>
    <t>CALISSA HEUDIER</t>
  </si>
  <si>
    <t>KIRSTEN MICHELE LASKOWSKI</t>
  </si>
  <si>
    <t>LISA EILEEN WILCOX</t>
  </si>
  <si>
    <t>RONNIE MAURICE LOWDEN</t>
  </si>
  <si>
    <t>MICHAEL H SEJMAN</t>
  </si>
  <si>
    <t>RAUL CASTILLO AGUILAR JR</t>
  </si>
  <si>
    <t>CATHERINE MARIE SMITH</t>
  </si>
  <si>
    <t>DORIS BEUTEL BORTH</t>
  </si>
  <si>
    <t>DIAN ALEXANDER TURNER</t>
  </si>
  <si>
    <t>ROBERTO A CEPEDA</t>
  </si>
  <si>
    <t>JACOB DANIEL BELLAMY</t>
  </si>
  <si>
    <t>LIAM PATRICK MCGUIRE</t>
  </si>
  <si>
    <t>KATHRYN MARY HANCOCK</t>
  </si>
  <si>
    <t>BRADLEY JAMES KILGORE</t>
  </si>
  <si>
    <t>SUSAN DARLENE MERZ</t>
  </si>
  <si>
    <t>DONALD RAY BARRON</t>
  </si>
  <si>
    <t>DAVID RAY LONG</t>
  </si>
  <si>
    <t>CARA LINDSAY MOORE</t>
  </si>
  <si>
    <t>CHRISTOPHER RON CHAPMAN</t>
  </si>
  <si>
    <t>SANDRA EDITH BRIONES</t>
  </si>
  <si>
    <t>CRYSTAL MARICELA DUMBECK</t>
  </si>
  <si>
    <t>MYKENZIE MARIE BAGWELL</t>
  </si>
  <si>
    <t>MARSHA VANHOUTEN HOFFMAN</t>
  </si>
  <si>
    <t>ANGELICA MARIA RUIZ</t>
  </si>
  <si>
    <t>KAREN L HALLADAY</t>
  </si>
  <si>
    <t>DIANA DEBORAH SCHMIDT</t>
  </si>
  <si>
    <t>COLLEEN ELIZABETH BARTSCH</t>
  </si>
  <si>
    <t>MICHAEL KEVIN SWEENEY</t>
  </si>
  <si>
    <t>COLE ERIC GOERTZ</t>
  </si>
  <si>
    <t>ROBBIE ALLEN SISTRUNK</t>
  </si>
  <si>
    <t>RICKEY LEE HART</t>
  </si>
  <si>
    <t>SUSAN COLE NORMAN</t>
  </si>
  <si>
    <t>CARLTON JOSEPH MCKINLEY</t>
  </si>
  <si>
    <t>ERIN COLLEEN BOYD</t>
  </si>
  <si>
    <t>Children's Advocacy Center</t>
  </si>
  <si>
    <t>COURT APPOINTED SPECIAL ADVOCA</t>
  </si>
  <si>
    <t>THOMAS PAUL JACKSON</t>
  </si>
  <si>
    <t>IDA LYNN SWETZ</t>
  </si>
  <si>
    <t>SHANNON LADERACH BROWN</t>
  </si>
  <si>
    <t>ROBERT STEVEN GURLEY JR</t>
  </si>
  <si>
    <t>DAVID GLENN FRANKLIN</t>
  </si>
  <si>
    <t>DAKE ENOS JACKSON</t>
  </si>
  <si>
    <t>JAMES DAVID RICE</t>
  </si>
  <si>
    <t>CAROL ANN HARRIS</t>
  </si>
  <si>
    <t>ELEZIBETH JUSTINA RILEY</t>
  </si>
  <si>
    <t>SANDRA CABELLO HOLST</t>
  </si>
  <si>
    <t>ALESHIA HERNANDEZ REYES</t>
  </si>
  <si>
    <t>LAKSHMI PANIKER</t>
  </si>
  <si>
    <t>JAMES ROSARIO ORLANDO</t>
  </si>
  <si>
    <t>JOHN PAUL DESCHAMBAULT</t>
  </si>
  <si>
    <t>LAURA ANN JARDINE</t>
  </si>
  <si>
    <t>ANNABEL JOYCE MORRIS</t>
  </si>
  <si>
    <t>KILEY MARIE LEIFERMAN</t>
  </si>
  <si>
    <t>ASHLEY ANN OGRODNY</t>
  </si>
  <si>
    <t>JOY BEA RAMIREZ</t>
  </si>
  <si>
    <t>CHERYL A JOHNSON</t>
  </si>
  <si>
    <t>ROBERT GLEN APPLEBEE</t>
  </si>
  <si>
    <t>ANGEL EDUARDO MORENO</t>
  </si>
  <si>
    <t>MICHAEL JAMES MCBRIDE</t>
  </si>
  <si>
    <t>REGINA LYNN KELTGEN</t>
  </si>
  <si>
    <t>ELLEN LUND NIEHUS</t>
  </si>
  <si>
    <t>BARBARA BOYD MORONES</t>
  </si>
  <si>
    <t>JOI SMITH PARMLEY</t>
  </si>
  <si>
    <t>DYLAN FRANK SKARPA</t>
  </si>
  <si>
    <t>SHERLYN KAY CARTER</t>
  </si>
  <si>
    <t>DEBRA MCKISSICK BRADLEY</t>
  </si>
  <si>
    <t>EDWARD THOMAS SELLERS</t>
  </si>
  <si>
    <t>JASON ALAN BRIGGS</t>
  </si>
  <si>
    <t>BRIAN LEE HOHLE</t>
  </si>
  <si>
    <t>MICHAEL DAVID BROCKETT</t>
  </si>
  <si>
    <t>MICHAEL BALTAZAR GUTIERREZ</t>
  </si>
  <si>
    <t>JODI ANN SEGEL</t>
  </si>
  <si>
    <t>KEVIN ARIC MORRISS</t>
  </si>
  <si>
    <t>KATHY SCHUMANN LINDER</t>
  </si>
  <si>
    <t>MAX LOWRY PROCTOR JR</t>
  </si>
  <si>
    <t>EDA KRUEGER ROSE</t>
  </si>
  <si>
    <t>REBECCA MAE BROADWATER</t>
  </si>
  <si>
    <t>LESLIE KAYE COUFAL</t>
  </si>
  <si>
    <t>NANCY SOLTYS WEBER</t>
  </si>
  <si>
    <t>REBECCA GALE PARK</t>
  </si>
  <si>
    <t>LISA MARIE VIVIAN</t>
  </si>
  <si>
    <t>GREGORY RAY WHETSEL</t>
  </si>
  <si>
    <t>JOYCE GRAVES RODGERS</t>
  </si>
  <si>
    <t>BRIAN ALEXANDER YOUNG</t>
  </si>
  <si>
    <t>MICHAEL GLENN WALSTON</t>
  </si>
  <si>
    <t>BILL E CHARLTON</t>
  </si>
  <si>
    <t>ELIJSHA AKEEM DAVIS</t>
  </si>
  <si>
    <t>NANCY ELIZABETH SAGEBIEL</t>
  </si>
  <si>
    <t>JENNIFER L TATSCH</t>
  </si>
  <si>
    <t>JIMMY DUANE SIKES JR</t>
  </si>
  <si>
    <t>KAREN JEAN NICEWARNER</t>
  </si>
  <si>
    <t>MARY SCHRIMSHER NOAL</t>
  </si>
  <si>
    <t>JOHNATHEN JACOB KONKEN</t>
  </si>
  <si>
    <t>BRUCE DALTON LAFLEUR</t>
  </si>
  <si>
    <t>AMY SUMMERS WADUM</t>
  </si>
  <si>
    <t>ANTHONY ALLEN LEVERMANN</t>
  </si>
  <si>
    <t>BETHANY DAWN RAZ</t>
  </si>
  <si>
    <t>SCOTT JASON HAMETT</t>
  </si>
  <si>
    <t>DENISE ROCHELLE HAYWOOD</t>
  </si>
  <si>
    <t>NICHOLAS MATTHEW HAGEN</t>
  </si>
  <si>
    <t>RUTH ELLEN WASHINGTON</t>
  </si>
  <si>
    <t>CARRIE ELIZABETH DAILEY</t>
  </si>
  <si>
    <t>NORMAN WESLEY THORMAHLEN</t>
  </si>
  <si>
    <t>CHLOEE JUSTINE CAMARILLO</t>
  </si>
  <si>
    <t>PAMELA J LOWE</t>
  </si>
  <si>
    <t>SAVANNAH SKY SCHAFER</t>
  </si>
  <si>
    <t>SANFORD RAY FRANK JR</t>
  </si>
  <si>
    <t>JANICE KAY ABRAHAM</t>
  </si>
  <si>
    <t>MOTOROLA SOLUTIONS  IN.C</t>
  </si>
  <si>
    <t>MUSTANG MACHINERY COMPANY LTD</t>
  </si>
  <si>
    <t>NALCO COMPANY LLC</t>
  </si>
  <si>
    <t>NATHAN MORKOVSKY</t>
  </si>
  <si>
    <t>NATIONAL FOOD GROUP INC</t>
  </si>
  <si>
    <t>NATIONAL WASTE MANAGEMENT LOUISIANA  INC.</t>
  </si>
  <si>
    <t>JOHN NIXON</t>
  </si>
  <si>
    <t>ST DAVID'S HEATHCARE PARTNERSHIP</t>
  </si>
  <si>
    <t>O'REILLY AUTOMOTIVE  INC.</t>
  </si>
  <si>
    <t>OFFICE DEPOT</t>
  </si>
  <si>
    <t>OMNIBASE SERVICES OF TEXAS LP</t>
  </si>
  <si>
    <t>ROGER C. OSBORN</t>
  </si>
  <si>
    <t>PAIGE TRACTORS INC</t>
  </si>
  <si>
    <t>PAPER RETRIEVER OF TEXAS</t>
  </si>
  <si>
    <t>SL PARKER PARTNERSHIP LLC</t>
  </si>
  <si>
    <t>PARTS TOWN  LLC</t>
  </si>
  <si>
    <t>PATHMARK TRAFFIC EQUIPMENT  LLC</t>
  </si>
  <si>
    <t>PATRICK ELECTRIC SERVICE</t>
  </si>
  <si>
    <t>PATTERSON  VETERINARY SUPPLY INC</t>
  </si>
  <si>
    <t>PAUL GRANADO</t>
  </si>
  <si>
    <t>PERDUE  BRANDON  FIELDER  COLLINS &amp; MOTT LLP</t>
  </si>
  <si>
    <t>CLEVELAND MACK SALES INC</t>
  </si>
  <si>
    <t>PHILIP R DUCLOUX</t>
  </si>
  <si>
    <t>PITNEY BOWES GLOBAL FINANCIAL SERVICES</t>
  </si>
  <si>
    <t>PM WILSON &amp; ASSOCIATES PLLC</t>
  </si>
  <si>
    <t>POST OAK HARDWARE  INC.</t>
  </si>
  <si>
    <t>PREFERRED TECHNOLOGIES  LLC</t>
  </si>
  <si>
    <t>POPE PRO ENTERPRISES INC</t>
  </si>
  <si>
    <t>PROGRESSIVE - RESTITUTION ACCT</t>
  </si>
  <si>
    <t>ELGIN PROVIDENCE LLC</t>
  </si>
  <si>
    <t>PTS OF AMERICA  LLC</t>
  </si>
  <si>
    <t>AUDIO DESIGN LLC</t>
  </si>
  <si>
    <t>NESTLE WATERS N AMERICA INC</t>
  </si>
  <si>
    <t>REBECA WEATHERLY</t>
  </si>
  <si>
    <t>REBECCA STRNAD</t>
  </si>
  <si>
    <t>RED WING BUSINESS ADVANTAGE ACCOUNT</t>
  </si>
  <si>
    <t>NRG ENERGY INC</t>
  </si>
  <si>
    <t>REPUBLIC TRUCK SALES   PARTS  &amp; REPAIRS LLC</t>
  </si>
  <si>
    <t>RESERVE ACCOUNT</t>
  </si>
  <si>
    <t>CIT TECHNOLOGY FINANCE</t>
  </si>
  <si>
    <t>MIKE DAVIS</t>
  </si>
  <si>
    <t>ROBERT CARVIN</t>
  </si>
  <si>
    <t>ROMCO EQUIPMENT CO.</t>
  </si>
  <si>
    <t>RUSH AUTOMOTIVE LLC</t>
  </si>
  <si>
    <t>RUTH A. CARROLL</t>
  </si>
  <si>
    <t>SAMMY LERMA III MD</t>
  </si>
  <si>
    <t>SETON HEALTHCARE SPONSORED PROJECTS</t>
  </si>
  <si>
    <t>SHARON HANCOCK</t>
  </si>
  <si>
    <t>FERRELLGAS  LP</t>
  </si>
  <si>
    <t>SHI GOVERNMENT SOLUTIONS INC.</t>
  </si>
  <si>
    <t>SHOPPA'S FARM SUPPLY</t>
  </si>
  <si>
    <t>SHRED-IT US HOLDCO  INC</t>
  </si>
  <si>
    <t>SIMPSON SEPTIC INCORPORATED</t>
  </si>
  <si>
    <t>SINGLETON ASSOCIATES  PA</t>
  </si>
  <si>
    <t>SMITH STORES  INC.</t>
  </si>
  <si>
    <t>SMITHVILLE AUTO PARTS  INC</t>
  </si>
  <si>
    <t>SOUTH CENTRAL PLANNING AND DEVELOPMENT COMMISSION</t>
  </si>
  <si>
    <t>SOUTHERN COMPUTER WAREHOUSE INC</t>
  </si>
  <si>
    <t>SOUTHERN TIRE MART LLC</t>
  </si>
  <si>
    <t>DS WATERS OF AMERICA INC</t>
  </si>
  <si>
    <t>ST DAVID'S HEALTHCARE PARTNERSHIP</t>
  </si>
  <si>
    <t>STAPLES  INC.</t>
  </si>
  <si>
    <t>STATE OF TEXAS</t>
  </si>
  <si>
    <t>STEEL REVOLUTION WELDING</t>
  </si>
  <si>
    <t>STERICYCLE  INC.</t>
  </si>
  <si>
    <t>STEVE GRANADO</t>
  </si>
  <si>
    <t>STUNTRONICS LLC</t>
  </si>
  <si>
    <t>SUN COAST RESOURCES</t>
  </si>
  <si>
    <t>T4 DISTRIBUTION  LLC</t>
  </si>
  <si>
    <t>TAVCO SERVICES INC</t>
  </si>
  <si>
    <t>JOHN J FIETSAM INC</t>
  </si>
  <si>
    <t>TEX-CON OIL CO</t>
  </si>
  <si>
    <t>TEXAS AGGREGATES  LLC</t>
  </si>
  <si>
    <t>TEXAS ASSOCIATES INSURORS AGENCY</t>
  </si>
  <si>
    <t>TEXAS ASSOCIATION OF COUNTIES</t>
  </si>
  <si>
    <t>TEXAS COMMISSION ON ENVIRONMENTAL QUALITY</t>
  </si>
  <si>
    <t>TEXAS DECON LLC</t>
  </si>
  <si>
    <t>TEXAS DEPARTMENT OF MOTOR VEHICLES</t>
  </si>
  <si>
    <t>TEXAS DEPT OF PUBLIC SAFETY</t>
  </si>
  <si>
    <t>TEXAS DISPOSAL SYSTEMS  INC.</t>
  </si>
  <si>
    <t>TXFACT  LLC</t>
  </si>
  <si>
    <t>TEXAS JUSTICE COURT TRAINING CENTER</t>
  </si>
  <si>
    <t>TEXAS MATERIALS GROUP  INC.</t>
  </si>
  <si>
    <t>TEXAS ONCOLOGY</t>
  </si>
  <si>
    <t>TEXAS POLICE ASSOCIATION</t>
  </si>
  <si>
    <t>TEXAS STATE UNIVERSITY</t>
  </si>
  <si>
    <t>MADTEX  INC.</t>
  </si>
  <si>
    <t>TEXAS VISION CLINIC  PLLC</t>
  </si>
  <si>
    <t>TEXAS WORKFORCE COMMISSION</t>
  </si>
  <si>
    <t>BUG MASTER EXTERMINATING SERVICES  LTD</t>
  </si>
  <si>
    <t>SANDRA FAYE ROBINSON</t>
  </si>
  <si>
    <t>THE I-10 CORRIDOR ASSOCIATION</t>
  </si>
  <si>
    <t>RICHARD NELSON MOORE</t>
  </si>
  <si>
    <t>THE NITSCHE GROUP</t>
  </si>
  <si>
    <t>WEST PUBLISHING CORPORATION</t>
  </si>
  <si>
    <t>TWE-ADVANCE/NEWHOUSE PARTNERSHIP</t>
  </si>
  <si>
    <t>TRAVIS COUNTY CONSTABLE PCT 5</t>
  </si>
  <si>
    <t>TRAVIS COUNTY EMERGENCY PHYSICIANS PA</t>
  </si>
  <si>
    <t>TRAVIS COUNTY MEDICAL EXAMINER</t>
  </si>
  <si>
    <t>TRAVIS MATERIALS GROUP LTD</t>
  </si>
  <si>
    <t>TROY ALLEN RASK  JR.</t>
  </si>
  <si>
    <t>TRUCK ALIGNMENT FRAME  LLC</t>
  </si>
  <si>
    <t>TUCK LAW GROUP  PLLC</t>
  </si>
  <si>
    <t>TULL FARLEY</t>
  </si>
  <si>
    <t>TYLER TECHNOLOGIES INC</t>
  </si>
  <si>
    <t>ULINE  INC.</t>
  </si>
  <si>
    <t>VERITRACE  INC.</t>
  </si>
  <si>
    <t>VERMEER EQUIPMENT OF TEXAS  INC.</t>
  </si>
  <si>
    <t>VERNON TUCK DEVELOPMENT LLC</t>
  </si>
  <si>
    <t>TEXAS DEPARTMENT OF STATE HEALTH SERVICES</t>
  </si>
  <si>
    <t>US BANK NA</t>
  </si>
  <si>
    <t>VTX COMMUNICATIONS  LLC</t>
  </si>
  <si>
    <t>VULCAN  INC.</t>
  </si>
  <si>
    <t>WAGEWORKS INC  FSA/HSA</t>
  </si>
  <si>
    <t>WALLER COUNTY ASPHALT INC</t>
  </si>
  <si>
    <t>WASTE CONNECTIONS LONE STAR. INC.</t>
  </si>
  <si>
    <t>WASTE MANAGEMENT OF TEXAS  INC</t>
  </si>
  <si>
    <t>LEYLA YATIM-ALIN</t>
  </si>
  <si>
    <t>MAO PHARMACY INC</t>
  </si>
  <si>
    <t>WILBARGER COUNTY</t>
  </si>
  <si>
    <t>WILLIAM WATERS</t>
  </si>
  <si>
    <t>WILLIAMSON COUNTY CONSTABLE PCT 1</t>
  </si>
  <si>
    <t>YVONNE ROCHA</t>
  </si>
  <si>
    <t>COMPREHENSIVE COMMUNICATION SERVICES  LLC</t>
  </si>
  <si>
    <t>MERGERS MARKETING INC.</t>
  </si>
  <si>
    <t>FIRST NATIONAL BANK</t>
  </si>
  <si>
    <t>ROBERT C. STEUBING</t>
  </si>
  <si>
    <t>TEXAS DIVISION OF EMERGENCY MANAGEMENT</t>
  </si>
  <si>
    <t>ALLSTATE-AMERICAN HERITAGE LIFE INS CO</t>
  </si>
  <si>
    <t>AmWINS Group Benefits  Inc.</t>
  </si>
  <si>
    <t>BASTROP COUNTY ADULT PROBATION</t>
  </si>
  <si>
    <t>COLONIAL LIFE &amp; ACCIDENT INS. CO.</t>
  </si>
  <si>
    <t>GUARDIAN</t>
  </si>
  <si>
    <t>INDIANA STATE CENTRAL COLLECTION UNIT</t>
  </si>
  <si>
    <t>IRS-PAYROLL TAXES</t>
  </si>
  <si>
    <t>GERALD FLORES OLIVO</t>
  </si>
  <si>
    <t>PHI AIR MEDICAL  LLC</t>
  </si>
  <si>
    <t>STERLING HEALTH SERVICES  INC.</t>
  </si>
  <si>
    <t>TAC HEALTH BENEFITS POOL</t>
  </si>
  <si>
    <t>JNT RESOURCE PARTNERS  LP</t>
  </si>
  <si>
    <t>TEXAS ATTY.GENERAL'S OFFICE</t>
  </si>
  <si>
    <t>TEXAS CNTY &amp; DIST RETIREMENT SYS</t>
  </si>
  <si>
    <t>TEXAS LEGAL PROTECTION PLAN INC</t>
  </si>
  <si>
    <t>ASSOCIATION OF PUBLIC SAFETY COMM OFFICIALS</t>
  </si>
  <si>
    <t>GATEHOUSE MEDIA TEXAS HOLDINGS II  INC.</t>
  </si>
  <si>
    <t>MULTI SERVICE TECHNOLOGY SOLUTIONS  INC.</t>
  </si>
  <si>
    <t>CARHARTT  INC.</t>
  </si>
  <si>
    <t>NEW URBAN RESEARCH  INC</t>
  </si>
  <si>
    <t>MUNICIPAL SERVICES BUREAU/GILA GROUP</t>
  </si>
  <si>
    <t>TIGGEE  LLC</t>
  </si>
  <si>
    <t>INTERNATIONAL COUNCIL OF E-COMMERCE CONSULTANTS</t>
  </si>
  <si>
    <t>FERGUSON ENTERPRISES  INC.</t>
  </si>
  <si>
    <t>DESERT NEWCO LLC</t>
  </si>
  <si>
    <t>XXVI HOLDINGS INC</t>
  </si>
  <si>
    <t>GRAINGER INC</t>
  </si>
  <si>
    <t>KELLY-MOORE PAINT COMPANY  INC</t>
  </si>
  <si>
    <t>PETCO ANIMAL SUPPLIES INC</t>
  </si>
  <si>
    <t>QUICK TRIP GAS STATION</t>
  </si>
  <si>
    <t>BASTROP CAR WASH SERVICES LLC</t>
  </si>
  <si>
    <t>JANINE FEMINELLA</t>
  </si>
  <si>
    <t>TEXAS VETERINARY MEDICAL ASSOCIATION</t>
  </si>
  <si>
    <t>TRACTOR SUPPLY CREDIT PLAN</t>
  </si>
  <si>
    <t>WALMART # 01-1042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</si>
</sst>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/dd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2" fillId="0" borderId="0" xfId="1" applyFont="1"/>
    <xf numFmtId="164" fontId="2" fillId="0" borderId="0" xfId="0" applyNumberFormat="1" applyFont="1"/>
    <xf numFmtId="43" fontId="0" fillId="0" borderId="0" xfId="1" applyFont="1"/>
    <xf numFmtId="164" fontId="0" fillId="0" borderId="0" xfId="0" applyNumberFormat="1"/>
    <xf numFmtId="0" fontId="0" fillId="0" borderId="0" xfId="0" applyFill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7.140625" bestFit="1" customWidth="1"/>
    <col min="2" max="2" width="7.7109375" bestFit="1" customWidth="1"/>
    <col min="3" max="3" width="14" style="4" bestFit="1" customWidth="1"/>
    <col min="4" max="4" width="10.85546875" style="5" bestFit="1" customWidth="1"/>
    <col min="5" max="5" width="18" bestFit="1" customWidth="1"/>
    <col min="6" max="6" width="36" bestFit="1" customWidth="1"/>
    <col min="7" max="7" width="34.28515625" bestFit="1" customWidth="1"/>
    <col min="8" max="8" width="15" style="4" bestFit="1" customWidth="1"/>
  </cols>
  <sheetData>
    <row r="1" spans="1:8" s="1" customFormat="1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x14ac:dyDescent="0.25">
      <c r="A2" t="s">
        <v>8</v>
      </c>
      <c r="B2">
        <v>5680</v>
      </c>
      <c r="C2" s="4">
        <v>190000</v>
      </c>
      <c r="D2" s="5">
        <v>44586</v>
      </c>
      <c r="E2" t="str">
        <f>"202201208516"</f>
        <v>202201208516</v>
      </c>
      <c r="F2" t="str">
        <f>"Pay App1 - RFB 21BCP09D"</f>
        <v>Pay App1 - RFB 21BCP09D</v>
      </c>
      <c r="G2" t="str">
        <f>"Pay App1 - RFB 21BCP09D"</f>
        <v>Pay App1 - RFB 21BCP09D</v>
      </c>
      <c r="H2" s="4">
        <v>190000</v>
      </c>
    </row>
    <row r="3" spans="1:8" x14ac:dyDescent="0.25">
      <c r="A3" t="s">
        <v>9</v>
      </c>
      <c r="B3">
        <v>5611</v>
      </c>
      <c r="C3" s="4">
        <v>22786.560000000001</v>
      </c>
      <c r="D3" s="5">
        <v>44572</v>
      </c>
      <c r="E3" t="str">
        <f>"9725-001-124386"</f>
        <v>9725-001-124386</v>
      </c>
      <c r="F3" t="str">
        <f>"ACCT#9725-001/PCT#2"</f>
        <v>ACCT#9725-001/PCT#2</v>
      </c>
      <c r="G3" t="str">
        <f t="shared" ref="G3:G12" si="0">"ACCT#9725-001/PCT#2"</f>
        <v>ACCT#9725-001/PCT#2</v>
      </c>
      <c r="H3" s="4">
        <v>3431.43</v>
      </c>
    </row>
    <row r="4" spans="1:8" x14ac:dyDescent="0.25">
      <c r="E4" t="str">
        <f>"9725-001-124523"</f>
        <v>9725-001-124523</v>
      </c>
      <c r="F4" t="str">
        <f>"ACCT#9725-001/PCT#2/FLOOD"</f>
        <v>ACCT#9725-001/PCT#2/FLOOD</v>
      </c>
      <c r="G4" t="str">
        <f t="shared" si="0"/>
        <v>ACCT#9725-001/PCT#2</v>
      </c>
      <c r="H4" s="4">
        <v>1271.7</v>
      </c>
    </row>
    <row r="5" spans="1:8" x14ac:dyDescent="0.25">
      <c r="E5" t="str">
        <f>"9725-001-124540"</f>
        <v>9725-001-124540</v>
      </c>
      <c r="F5" t="str">
        <f t="shared" ref="F5:F12" si="1">"ACCT#9725-001/PCT#2"</f>
        <v>ACCT#9725-001/PCT#2</v>
      </c>
      <c r="G5" t="str">
        <f t="shared" si="0"/>
        <v>ACCT#9725-001/PCT#2</v>
      </c>
      <c r="H5" s="4">
        <v>243.36</v>
      </c>
    </row>
    <row r="6" spans="1:8" x14ac:dyDescent="0.25">
      <c r="E6" t="str">
        <f>"9725-001-124558"</f>
        <v>9725-001-124558</v>
      </c>
      <c r="F6" t="str">
        <f t="shared" si="1"/>
        <v>ACCT#9725-001/PCT#2</v>
      </c>
      <c r="G6" t="str">
        <f t="shared" si="0"/>
        <v>ACCT#9725-001/PCT#2</v>
      </c>
      <c r="H6" s="4">
        <v>2004.66</v>
      </c>
    </row>
    <row r="7" spans="1:8" x14ac:dyDescent="0.25">
      <c r="E7" t="str">
        <f>"9725-001-124578"</f>
        <v>9725-001-124578</v>
      </c>
      <c r="F7" t="str">
        <f t="shared" si="1"/>
        <v>ACCT#9725-001/PCT#2</v>
      </c>
      <c r="G7" t="str">
        <f t="shared" si="0"/>
        <v>ACCT#9725-001/PCT#2</v>
      </c>
      <c r="H7" s="4">
        <v>2817.9</v>
      </c>
    </row>
    <row r="8" spans="1:8" x14ac:dyDescent="0.25">
      <c r="E8" t="str">
        <f>"9725-001-124622"</f>
        <v>9725-001-124622</v>
      </c>
      <c r="F8" t="str">
        <f t="shared" si="1"/>
        <v>ACCT#9725-001/PCT#2</v>
      </c>
      <c r="G8" t="str">
        <f t="shared" si="0"/>
        <v>ACCT#9725-001/PCT#2</v>
      </c>
      <c r="H8" s="4">
        <v>1990.98</v>
      </c>
    </row>
    <row r="9" spans="1:8" x14ac:dyDescent="0.25">
      <c r="E9" t="str">
        <f>"9725-001-124647"</f>
        <v>9725-001-124647</v>
      </c>
      <c r="F9" t="str">
        <f t="shared" si="1"/>
        <v>ACCT#9725-001/PCT#2</v>
      </c>
      <c r="G9" t="str">
        <f t="shared" si="0"/>
        <v>ACCT#9725-001/PCT#2</v>
      </c>
      <c r="H9" s="4">
        <v>668.61</v>
      </c>
    </row>
    <row r="10" spans="1:8" x14ac:dyDescent="0.25">
      <c r="E10" t="str">
        <f>"9725-001-124679"</f>
        <v>9725-001-124679</v>
      </c>
      <c r="F10" t="str">
        <f t="shared" si="1"/>
        <v>ACCT#9725-001/PCT#2</v>
      </c>
      <c r="G10" t="str">
        <f t="shared" si="0"/>
        <v>ACCT#9725-001/PCT#2</v>
      </c>
      <c r="H10" s="4">
        <v>409.05</v>
      </c>
    </row>
    <row r="11" spans="1:8" x14ac:dyDescent="0.25">
      <c r="E11" t="str">
        <f>"9725-001-124693"</f>
        <v>9725-001-124693</v>
      </c>
      <c r="F11" t="str">
        <f t="shared" si="1"/>
        <v>ACCT#9725-001/PCT#2</v>
      </c>
      <c r="G11" t="str">
        <f t="shared" si="0"/>
        <v>ACCT#9725-001/PCT#2</v>
      </c>
      <c r="H11" s="4">
        <v>456.48</v>
      </c>
    </row>
    <row r="12" spans="1:8" x14ac:dyDescent="0.25">
      <c r="E12" t="str">
        <f>"9725-001-124709"</f>
        <v>9725-001-124709</v>
      </c>
      <c r="F12" t="str">
        <f t="shared" si="1"/>
        <v>ACCT#9725-001/PCT#2</v>
      </c>
      <c r="G12" t="str">
        <f t="shared" si="0"/>
        <v>ACCT#9725-001/PCT#2</v>
      </c>
      <c r="H12" s="4">
        <v>1602.36</v>
      </c>
    </row>
    <row r="13" spans="1:8" x14ac:dyDescent="0.25">
      <c r="E13" t="str">
        <f>"9725-001-124728"</f>
        <v>9725-001-124728</v>
      </c>
      <c r="F13" t="str">
        <f>"973 MATERIALS  LLC"</f>
        <v>973 MATERIALS  LLC</v>
      </c>
      <c r="G13" t="str">
        <f>"973 MATERIALS  LLC"</f>
        <v>973 MATERIALS  LLC</v>
      </c>
      <c r="H13" s="4">
        <v>804.51</v>
      </c>
    </row>
    <row r="14" spans="1:8" x14ac:dyDescent="0.25">
      <c r="E14" t="str">
        <f>"9725-001-124745"</f>
        <v>9725-001-124745</v>
      </c>
      <c r="F14" t="str">
        <f t="shared" ref="F14:G16" si="2">"ACCT#9725-001/PCT#2"</f>
        <v>ACCT#9725-001/PCT#2</v>
      </c>
      <c r="G14" t="str">
        <f t="shared" si="2"/>
        <v>ACCT#9725-001/PCT#2</v>
      </c>
      <c r="H14" s="4">
        <v>424.89</v>
      </c>
    </row>
    <row r="15" spans="1:8" x14ac:dyDescent="0.25">
      <c r="E15" t="str">
        <f>"9725-019-124243"</f>
        <v>9725-019-124243</v>
      </c>
      <c r="F15" t="str">
        <f t="shared" si="2"/>
        <v>ACCT#9725-001/PCT#2</v>
      </c>
      <c r="G15" t="str">
        <f t="shared" si="2"/>
        <v>ACCT#9725-001/PCT#2</v>
      </c>
      <c r="H15" s="4">
        <v>835.83</v>
      </c>
    </row>
    <row r="16" spans="1:8" x14ac:dyDescent="0.25">
      <c r="E16" t="str">
        <f>"9725-019-124367"</f>
        <v>9725-019-124367</v>
      </c>
      <c r="F16" t="str">
        <f t="shared" si="2"/>
        <v>ACCT#9725-001/PCT#2</v>
      </c>
      <c r="G16" t="str">
        <f t="shared" si="2"/>
        <v>ACCT#9725-001/PCT#2</v>
      </c>
      <c r="H16" s="4">
        <v>5824.8</v>
      </c>
    </row>
    <row r="17" spans="1:8" x14ac:dyDescent="0.25">
      <c r="A17" t="s">
        <v>9</v>
      </c>
      <c r="B17">
        <v>5674</v>
      </c>
      <c r="C17" s="4">
        <v>6708.96</v>
      </c>
      <c r="D17" s="5">
        <v>44586</v>
      </c>
      <c r="E17" t="str">
        <f>"124910"</f>
        <v>124910</v>
      </c>
      <c r="F17" t="str">
        <f>"ACCT#9725-004/PCT#1"</f>
        <v>ACCT#9725-004/PCT#1</v>
      </c>
      <c r="G17" t="str">
        <f>"ACCT#9725-004/PCT#1"</f>
        <v>ACCT#9725-004/PCT#1</v>
      </c>
      <c r="H17" s="4">
        <v>645.12</v>
      </c>
    </row>
    <row r="18" spans="1:8" x14ac:dyDescent="0.25">
      <c r="E18" t="str">
        <f>"9725-001-124769"</f>
        <v>9725-001-124769</v>
      </c>
      <c r="F18" t="str">
        <f>"ACCT#9725-001/PCT#2"</f>
        <v>ACCT#9725-001/PCT#2</v>
      </c>
      <c r="G18" t="str">
        <f>"ACCT#9725-001/PCT#2"</f>
        <v>ACCT#9725-001/PCT#2</v>
      </c>
      <c r="H18" s="4">
        <v>2799.36</v>
      </c>
    </row>
    <row r="19" spans="1:8" x14ac:dyDescent="0.25">
      <c r="E19" t="str">
        <f>"9725-004-124787"</f>
        <v>9725-004-124787</v>
      </c>
      <c r="F19" t="str">
        <f t="shared" ref="F19:G21" si="3">"ACCT#9725-004/PCT#1"</f>
        <v>ACCT#9725-004/PCT#1</v>
      </c>
      <c r="G19" t="str">
        <f t="shared" si="3"/>
        <v>ACCT#9725-004/PCT#1</v>
      </c>
      <c r="H19" s="4">
        <v>1820.16</v>
      </c>
    </row>
    <row r="20" spans="1:8" x14ac:dyDescent="0.25">
      <c r="E20" t="str">
        <f>"9725-004-124811"</f>
        <v>9725-004-124811</v>
      </c>
      <c r="F20" t="str">
        <f t="shared" si="3"/>
        <v>ACCT#9725-004/PCT#1</v>
      </c>
      <c r="G20" t="str">
        <f t="shared" si="3"/>
        <v>ACCT#9725-004/PCT#1</v>
      </c>
      <c r="H20" s="4">
        <v>1185.3</v>
      </c>
    </row>
    <row r="21" spans="1:8" x14ac:dyDescent="0.25">
      <c r="E21" t="str">
        <f>"9725-004-124878"</f>
        <v>9725-004-124878</v>
      </c>
      <c r="F21" t="str">
        <f t="shared" si="3"/>
        <v>ACCT#9725-004/PCT#1</v>
      </c>
      <c r="G21" t="str">
        <f t="shared" si="3"/>
        <v>ACCT#9725-004/PCT#1</v>
      </c>
      <c r="H21" s="4">
        <v>259.02</v>
      </c>
    </row>
    <row r="22" spans="1:8" x14ac:dyDescent="0.25">
      <c r="A22" t="s">
        <v>10</v>
      </c>
      <c r="B22">
        <v>138758</v>
      </c>
      <c r="C22" s="4">
        <v>392.25</v>
      </c>
      <c r="D22" s="5">
        <v>44585</v>
      </c>
      <c r="E22" t="str">
        <f>"449971"</f>
        <v>449971</v>
      </c>
      <c r="F22" t="str">
        <f>"CUST#16500/PCT#4"</f>
        <v>CUST#16500/PCT#4</v>
      </c>
      <c r="G22" t="str">
        <f>"CUST#16500/PCT#4"</f>
        <v>CUST#16500/PCT#4</v>
      </c>
      <c r="H22" s="4">
        <v>392.25</v>
      </c>
    </row>
    <row r="23" spans="1:8" x14ac:dyDescent="0.25">
      <c r="A23" t="s">
        <v>11</v>
      </c>
      <c r="B23">
        <v>138571</v>
      </c>
      <c r="C23" s="4">
        <v>2437.5</v>
      </c>
      <c r="D23" s="5">
        <v>44571</v>
      </c>
      <c r="E23" t="str">
        <f>"202201048009"</f>
        <v>202201048009</v>
      </c>
      <c r="F23" t="str">
        <f>"19-20002"</f>
        <v>19-20002</v>
      </c>
      <c r="G23" t="str">
        <f>"19-20002"</f>
        <v>19-20002</v>
      </c>
      <c r="H23" s="4">
        <v>150</v>
      </c>
    </row>
    <row r="24" spans="1:8" x14ac:dyDescent="0.25">
      <c r="E24" t="str">
        <f>"202201048010"</f>
        <v>202201048010</v>
      </c>
      <c r="F24" t="str">
        <f>"21-20845"</f>
        <v>21-20845</v>
      </c>
      <c r="G24" t="str">
        <f>"21-20845"</f>
        <v>21-20845</v>
      </c>
      <c r="H24" s="4">
        <v>93.75</v>
      </c>
    </row>
    <row r="25" spans="1:8" x14ac:dyDescent="0.25">
      <c r="E25" t="str">
        <f>"202201048011"</f>
        <v>202201048011</v>
      </c>
      <c r="F25" t="str">
        <f>"21-21041"</f>
        <v>21-21041</v>
      </c>
      <c r="G25" t="str">
        <f>"21-21041"</f>
        <v>21-21041</v>
      </c>
      <c r="H25" s="4">
        <v>243.75</v>
      </c>
    </row>
    <row r="26" spans="1:8" x14ac:dyDescent="0.25">
      <c r="E26" t="str">
        <f>"202201048012"</f>
        <v>202201048012</v>
      </c>
      <c r="F26" t="str">
        <f>"21-20742"</f>
        <v>21-20742</v>
      </c>
      <c r="G26" t="str">
        <f>"21-20742"</f>
        <v>21-20742</v>
      </c>
      <c r="H26" s="4">
        <v>125</v>
      </c>
    </row>
    <row r="27" spans="1:8" x14ac:dyDescent="0.25">
      <c r="E27" t="str">
        <f>"202201048013"</f>
        <v>202201048013</v>
      </c>
      <c r="F27" t="str">
        <f>"21-20542"</f>
        <v>21-20542</v>
      </c>
      <c r="G27" t="str">
        <f>"21-20542"</f>
        <v>21-20542</v>
      </c>
      <c r="H27" s="4">
        <v>1168.75</v>
      </c>
    </row>
    <row r="28" spans="1:8" x14ac:dyDescent="0.25">
      <c r="E28" t="str">
        <f>"202201048014"</f>
        <v>202201048014</v>
      </c>
      <c r="F28" t="str">
        <f>"21-20702"</f>
        <v>21-20702</v>
      </c>
      <c r="G28" t="str">
        <f>"21-20702"</f>
        <v>21-20702</v>
      </c>
      <c r="H28" s="4">
        <v>62.5</v>
      </c>
    </row>
    <row r="29" spans="1:8" x14ac:dyDescent="0.25">
      <c r="E29" t="str">
        <f>"202201048015"</f>
        <v>202201048015</v>
      </c>
      <c r="F29" t="str">
        <f>"21-21047"</f>
        <v>21-21047</v>
      </c>
      <c r="G29" t="str">
        <f>"21-21047"</f>
        <v>21-21047</v>
      </c>
      <c r="H29" s="4">
        <v>187.5</v>
      </c>
    </row>
    <row r="30" spans="1:8" x14ac:dyDescent="0.25">
      <c r="E30" t="str">
        <f>"202201048016"</f>
        <v>202201048016</v>
      </c>
      <c r="F30" t="str">
        <f>"21-20568"</f>
        <v>21-20568</v>
      </c>
      <c r="G30" t="str">
        <f>"21-20568"</f>
        <v>21-20568</v>
      </c>
      <c r="H30" s="4">
        <v>62.5</v>
      </c>
    </row>
    <row r="31" spans="1:8" x14ac:dyDescent="0.25">
      <c r="E31" t="str">
        <f>"202201048017"</f>
        <v>202201048017</v>
      </c>
      <c r="F31" t="str">
        <f>"21-20807"</f>
        <v>21-20807</v>
      </c>
      <c r="G31" t="str">
        <f>"21-20807"</f>
        <v>21-20807</v>
      </c>
      <c r="H31" s="4">
        <v>250</v>
      </c>
    </row>
    <row r="32" spans="1:8" x14ac:dyDescent="0.25">
      <c r="E32" t="str">
        <f>"202201048018"</f>
        <v>202201048018</v>
      </c>
      <c r="F32" t="str">
        <f>"20-20077"</f>
        <v>20-20077</v>
      </c>
      <c r="G32" t="str">
        <f>"20-20077"</f>
        <v>20-20077</v>
      </c>
      <c r="H32" s="4">
        <v>93.75</v>
      </c>
    </row>
    <row r="33" spans="1:8" x14ac:dyDescent="0.25">
      <c r="A33" t="s">
        <v>12</v>
      </c>
      <c r="B33">
        <v>5619</v>
      </c>
      <c r="C33" s="4">
        <v>499</v>
      </c>
      <c r="D33" s="5">
        <v>44572</v>
      </c>
      <c r="E33" t="str">
        <f>"202201048059"</f>
        <v>202201048059</v>
      </c>
      <c r="F33" t="str">
        <f t="shared" ref="F33:G35" si="4">"REIMBURSE/ADENA LEWIS"</f>
        <v>REIMBURSE/ADENA LEWIS</v>
      </c>
      <c r="G33" t="str">
        <f t="shared" si="4"/>
        <v>REIMBURSE/ADENA LEWIS</v>
      </c>
      <c r="H33" s="4">
        <v>499</v>
      </c>
    </row>
    <row r="34" spans="1:8" x14ac:dyDescent="0.25">
      <c r="A34" t="s">
        <v>12</v>
      </c>
      <c r="B34">
        <v>5685</v>
      </c>
      <c r="C34" s="4">
        <v>135</v>
      </c>
      <c r="D34" s="5">
        <v>44586</v>
      </c>
      <c r="E34" t="str">
        <f>"202201188465"</f>
        <v>202201188465</v>
      </c>
      <c r="F34" t="str">
        <f t="shared" si="4"/>
        <v>REIMBURSE/ADENA LEWIS</v>
      </c>
      <c r="G34" t="str">
        <f t="shared" si="4"/>
        <v>REIMBURSE/ADENA LEWIS</v>
      </c>
      <c r="H34" s="4">
        <v>100</v>
      </c>
    </row>
    <row r="35" spans="1:8" x14ac:dyDescent="0.25">
      <c r="E35" t="str">
        <f>"202201188472"</f>
        <v>202201188472</v>
      </c>
      <c r="F35" t="str">
        <f t="shared" si="4"/>
        <v>REIMBURSE/ADENA LEWIS</v>
      </c>
      <c r="G35" t="str">
        <f t="shared" si="4"/>
        <v>REIMBURSE/ADENA LEWIS</v>
      </c>
      <c r="H35" s="4">
        <v>35</v>
      </c>
    </row>
    <row r="36" spans="1:8" x14ac:dyDescent="0.25">
      <c r="A36" t="s">
        <v>13</v>
      </c>
      <c r="B36">
        <v>138572</v>
      </c>
      <c r="C36" s="4">
        <v>8875.44</v>
      </c>
      <c r="D36" s="5">
        <v>44571</v>
      </c>
      <c r="E36" t="str">
        <f>"7859208"</f>
        <v>7859208</v>
      </c>
      <c r="F36" t="str">
        <f>"CUST#17295/PCT#3"</f>
        <v>CUST#17295/PCT#3</v>
      </c>
      <c r="G36" t="str">
        <f>"CUST#17295/PCT#3"</f>
        <v>CUST#17295/PCT#3</v>
      </c>
      <c r="H36" s="4">
        <v>8875.44</v>
      </c>
    </row>
    <row r="37" spans="1:8" x14ac:dyDescent="0.25">
      <c r="A37" t="s">
        <v>14</v>
      </c>
      <c r="B37">
        <v>138573</v>
      </c>
      <c r="C37" s="4">
        <v>5109.87</v>
      </c>
      <c r="D37" s="5">
        <v>44571</v>
      </c>
      <c r="E37" t="str">
        <f>"70571"</f>
        <v>70571</v>
      </c>
      <c r="F37" t="str">
        <f>"TRUCK PARTS/PCT#3"</f>
        <v>TRUCK PARTS/PCT#3</v>
      </c>
      <c r="G37" t="str">
        <f>"TRUCK PARTS/PCT#3"</f>
        <v>TRUCK PARTS/PCT#3</v>
      </c>
      <c r="H37" s="4">
        <v>5109.87</v>
      </c>
    </row>
    <row r="38" spans="1:8" x14ac:dyDescent="0.25">
      <c r="A38" t="s">
        <v>15</v>
      </c>
      <c r="B38">
        <v>5721</v>
      </c>
      <c r="C38" s="4">
        <v>250</v>
      </c>
      <c r="D38" s="5">
        <v>44586</v>
      </c>
      <c r="E38" t="str">
        <f>"202201138346"</f>
        <v>202201138346</v>
      </c>
      <c r="F38" t="str">
        <f>"57-552"</f>
        <v>57-552</v>
      </c>
      <c r="G38" t="str">
        <f>"57-552"</f>
        <v>57-552</v>
      </c>
      <c r="H38" s="4">
        <v>250</v>
      </c>
    </row>
    <row r="39" spans="1:8" x14ac:dyDescent="0.25">
      <c r="A39" t="s">
        <v>16</v>
      </c>
      <c r="B39">
        <v>5631</v>
      </c>
      <c r="C39" s="4">
        <v>754.44</v>
      </c>
      <c r="D39" s="5">
        <v>44572</v>
      </c>
      <c r="E39" t="str">
        <f>"202201048141"</f>
        <v>202201048141</v>
      </c>
      <c r="F39" t="str">
        <f>"Cat Boxes"</f>
        <v>Cat Boxes</v>
      </c>
      <c r="G39" t="str">
        <f>"Cat Boxes"</f>
        <v>Cat Boxes</v>
      </c>
      <c r="H39" s="4">
        <v>294</v>
      </c>
    </row>
    <row r="40" spans="1:8" x14ac:dyDescent="0.25">
      <c r="E40" t="str">
        <f>"202201048142"</f>
        <v>202201048142</v>
      </c>
      <c r="F40" t="str">
        <f>"Velcro Brand Tape"</f>
        <v>Velcro Brand Tape</v>
      </c>
      <c r="G40" t="str">
        <f>"Velcro Brand Tape"</f>
        <v>Velcro Brand Tape</v>
      </c>
      <c r="H40" s="4">
        <v>30.82</v>
      </c>
    </row>
    <row r="41" spans="1:8" x14ac:dyDescent="0.25">
      <c r="E41" t="str">
        <f>"202201048143"</f>
        <v>202201048143</v>
      </c>
      <c r="F41" t="str">
        <f>"Amazon Glue"</f>
        <v>Amazon Glue</v>
      </c>
      <c r="G41" t="str">
        <f>"Loctite Glue"</f>
        <v>Loctite Glue</v>
      </c>
      <c r="H41" s="4">
        <v>81.94</v>
      </c>
    </row>
    <row r="42" spans="1:8" x14ac:dyDescent="0.25">
      <c r="E42" t="str">
        <f>"202201048144"</f>
        <v>202201048144</v>
      </c>
      <c r="F42" t="str">
        <f>"Cardigan Sweaters Auditor"</f>
        <v>Cardigan Sweaters Auditor</v>
      </c>
      <c r="G42" t="str">
        <f>"Cardigan Sweaters Auditor"</f>
        <v>Cardigan Sweaters Auditor</v>
      </c>
      <c r="H42" s="4">
        <v>255.92</v>
      </c>
    </row>
    <row r="43" spans="1:8" x14ac:dyDescent="0.25">
      <c r="E43" t="str">
        <f>"202201048146"</f>
        <v>202201048146</v>
      </c>
      <c r="F43" t="str">
        <f>"AMAZON CAPITAL SERVICES INC"</f>
        <v>AMAZON CAPITAL SERVICES INC</v>
      </c>
      <c r="G43" t="str">
        <f>"Sticky Notes"</f>
        <v>Sticky Notes</v>
      </c>
      <c r="H43" s="4">
        <v>7.99</v>
      </c>
    </row>
    <row r="44" spans="1:8" x14ac:dyDescent="0.25">
      <c r="E44" t="str">
        <f>""</f>
        <v/>
      </c>
      <c r="F44" t="str">
        <f>""</f>
        <v/>
      </c>
      <c r="G44" t="str">
        <f>"Tablets"</f>
        <v>Tablets</v>
      </c>
      <c r="H44" s="4">
        <v>10.74</v>
      </c>
    </row>
    <row r="45" spans="1:8" x14ac:dyDescent="0.25">
      <c r="E45" t="str">
        <f>""</f>
        <v/>
      </c>
      <c r="F45" t="str">
        <f>""</f>
        <v/>
      </c>
      <c r="G45" t="str">
        <f>"File Folders"</f>
        <v>File Folders</v>
      </c>
      <c r="H45" s="4">
        <v>11.37</v>
      </c>
    </row>
    <row r="46" spans="1:8" x14ac:dyDescent="0.25">
      <c r="E46" t="str">
        <f>"202201048147"</f>
        <v>202201048147</v>
      </c>
      <c r="F46" t="str">
        <f>"Amazon Clock"</f>
        <v>Amazon Clock</v>
      </c>
      <c r="G46" t="str">
        <f>"Amazon Clock"</f>
        <v>Amazon Clock</v>
      </c>
      <c r="H46" s="4">
        <v>31.67</v>
      </c>
    </row>
    <row r="47" spans="1:8" x14ac:dyDescent="0.25">
      <c r="E47" t="str">
        <f>"202201048148"</f>
        <v>202201048148</v>
      </c>
      <c r="F47" t="str">
        <f>"Amazon Mouse for DA's"</f>
        <v>Amazon Mouse for DA's</v>
      </c>
      <c r="G47" t="str">
        <f>"Amazon Mouse for DA's"</f>
        <v>Amazon Mouse for DA's</v>
      </c>
      <c r="H47" s="4">
        <v>29.99</v>
      </c>
    </row>
    <row r="48" spans="1:8" x14ac:dyDescent="0.25">
      <c r="A48" t="s">
        <v>16</v>
      </c>
      <c r="B48">
        <v>5697</v>
      </c>
      <c r="C48" s="4">
        <v>411.21</v>
      </c>
      <c r="D48" s="5">
        <v>44586</v>
      </c>
      <c r="E48" t="str">
        <f>"202201138446"</f>
        <v>202201138446</v>
      </c>
      <c r="F48" t="str">
        <f>"Amazon Order"</f>
        <v>Amazon Order</v>
      </c>
      <c r="G48" t="str">
        <f>"File Cabinet"</f>
        <v>File Cabinet</v>
      </c>
      <c r="H48" s="4">
        <v>118.99</v>
      </c>
    </row>
    <row r="49" spans="1:8" x14ac:dyDescent="0.25">
      <c r="E49" t="str">
        <f>"202201198479"</f>
        <v>202201198479</v>
      </c>
      <c r="F49" t="str">
        <f>"AMAZON CAPITAL SERVICES INC"</f>
        <v>AMAZON CAPITAL SERVICES INC</v>
      </c>
      <c r="G49" t="str">
        <f>"Ochsenkopf OX 172 A"</f>
        <v>Ochsenkopf OX 172 A</v>
      </c>
      <c r="H49" s="4">
        <v>141.4</v>
      </c>
    </row>
    <row r="50" spans="1:8" x14ac:dyDescent="0.25">
      <c r="E50" t="str">
        <f>"202201198480"</f>
        <v>202201198480</v>
      </c>
      <c r="F50" t="str">
        <f>"Amazon Order Coffee Maker"</f>
        <v>Amazon Order Coffee Maker</v>
      </c>
      <c r="G50" t="str">
        <f>"Coffee Maker"</f>
        <v>Coffee Maker</v>
      </c>
      <c r="H50" s="4">
        <v>44.99</v>
      </c>
    </row>
    <row r="51" spans="1:8" x14ac:dyDescent="0.25">
      <c r="E51" t="str">
        <f>"202201198481"</f>
        <v>202201198481</v>
      </c>
      <c r="F51" t="str">
        <f>"AMAZON CAPITAL SERVICES INC"</f>
        <v>AMAZON CAPITAL SERVICES INC</v>
      </c>
      <c r="G51" t="str">
        <f>"1099-NEC Forms"</f>
        <v>1099-NEC Forms</v>
      </c>
      <c r="H51" s="4">
        <v>93.84</v>
      </c>
    </row>
    <row r="52" spans="1:8" x14ac:dyDescent="0.25">
      <c r="E52" t="str">
        <f>""</f>
        <v/>
      </c>
      <c r="F52" t="str">
        <f>""</f>
        <v/>
      </c>
      <c r="G52" t="str">
        <f>"Shipping"</f>
        <v>Shipping</v>
      </c>
      <c r="H52" s="4">
        <v>11.99</v>
      </c>
    </row>
    <row r="53" spans="1:8" x14ac:dyDescent="0.25">
      <c r="A53" t="s">
        <v>17</v>
      </c>
      <c r="B53">
        <v>138574</v>
      </c>
      <c r="C53" s="4">
        <v>71</v>
      </c>
      <c r="D53" s="5">
        <v>44571</v>
      </c>
      <c r="E53" t="str">
        <f>"01-212941477"</f>
        <v>01-212941477</v>
      </c>
      <c r="F53" t="str">
        <f>"INV 01-212941477"</f>
        <v>INV 01-212941477</v>
      </c>
      <c r="G53" t="str">
        <f>"INV 01-212941477"</f>
        <v>INV 01-212941477</v>
      </c>
      <c r="H53" s="4">
        <v>36.9</v>
      </c>
    </row>
    <row r="54" spans="1:8" x14ac:dyDescent="0.25">
      <c r="E54" t="str">
        <f>"01-212944847"</f>
        <v>01-212944847</v>
      </c>
      <c r="F54" t="str">
        <f>"INV 01-212944847"</f>
        <v>INV 01-212944847</v>
      </c>
      <c r="G54" t="str">
        <f>"INV 01-212944847"</f>
        <v>INV 01-212944847</v>
      </c>
      <c r="H54" s="4">
        <v>34.1</v>
      </c>
    </row>
    <row r="55" spans="1:8" x14ac:dyDescent="0.25">
      <c r="A55" t="s">
        <v>18</v>
      </c>
      <c r="B55">
        <v>138759</v>
      </c>
      <c r="C55" s="4">
        <v>12142.95</v>
      </c>
      <c r="D55" s="5">
        <v>44585</v>
      </c>
      <c r="E55" t="str">
        <f>"114659"</f>
        <v>114659</v>
      </c>
      <c r="F55" t="str">
        <f>"VR CERTIFICATES/ELECTIONS"</f>
        <v>VR CERTIFICATES/ELECTIONS</v>
      </c>
      <c r="G55" t="str">
        <f>"VR CERTIFICATES/ELECTIONS"</f>
        <v>VR CERTIFICATES/ELECTIONS</v>
      </c>
      <c r="H55" s="4">
        <v>3908.38</v>
      </c>
    </row>
    <row r="56" spans="1:8" x14ac:dyDescent="0.25">
      <c r="E56" t="str">
        <f>"114895"</f>
        <v>114895</v>
      </c>
      <c r="F56" t="str">
        <f>"VOTER SUPPLIES/ELECTIONS"</f>
        <v>VOTER SUPPLIES/ELECTIONS</v>
      </c>
      <c r="G56" t="str">
        <f>"VOTER SUPPLIES/ELECTIONS"</f>
        <v>VOTER SUPPLIES/ELECTIONS</v>
      </c>
      <c r="H56" s="4">
        <v>7972.07</v>
      </c>
    </row>
    <row r="57" spans="1:8" x14ac:dyDescent="0.25">
      <c r="E57" t="str">
        <f>"115088"</f>
        <v>115088</v>
      </c>
      <c r="F57" t="str">
        <f>"BBM APPS/ELECTIONS"</f>
        <v>BBM APPS/ELECTIONS</v>
      </c>
      <c r="G57" t="str">
        <f>"BBM APPS/ELECTIONS"</f>
        <v>BBM APPS/ELECTIONS</v>
      </c>
      <c r="H57" s="4">
        <v>262.5</v>
      </c>
    </row>
    <row r="58" spans="1:8" x14ac:dyDescent="0.25">
      <c r="A58" t="s">
        <v>19</v>
      </c>
      <c r="B58">
        <v>5660</v>
      </c>
      <c r="C58" s="4">
        <v>200</v>
      </c>
      <c r="D58" s="5">
        <v>44572</v>
      </c>
      <c r="E58" t="str">
        <f>"202201048027"</f>
        <v>202201048027</v>
      </c>
      <c r="F58" t="str">
        <f>"423-7426"</f>
        <v>423-7426</v>
      </c>
      <c r="G58" t="str">
        <f>"423-7426"</f>
        <v>423-7426</v>
      </c>
      <c r="H58" s="4">
        <v>200</v>
      </c>
    </row>
    <row r="59" spans="1:8" x14ac:dyDescent="0.25">
      <c r="A59" t="s">
        <v>19</v>
      </c>
      <c r="B59">
        <v>5733</v>
      </c>
      <c r="C59" s="4">
        <v>900</v>
      </c>
      <c r="D59" s="5">
        <v>44586</v>
      </c>
      <c r="E59" t="str">
        <f>"202201138318"</f>
        <v>202201138318</v>
      </c>
      <c r="F59" t="str">
        <f>"423-7999"</f>
        <v>423-7999</v>
      </c>
      <c r="G59" t="str">
        <f>"423-7999"</f>
        <v>423-7999</v>
      </c>
      <c r="H59" s="4">
        <v>100</v>
      </c>
    </row>
    <row r="60" spans="1:8" x14ac:dyDescent="0.25">
      <c r="E60" t="str">
        <f>"202201138319"</f>
        <v>202201138319</v>
      </c>
      <c r="F60" t="str">
        <f>"4122920-10"</f>
        <v>4122920-10</v>
      </c>
      <c r="G60" t="str">
        <f>"4122920-10"</f>
        <v>4122920-10</v>
      </c>
      <c r="H60" s="4">
        <v>400</v>
      </c>
    </row>
    <row r="61" spans="1:8" x14ac:dyDescent="0.25">
      <c r="E61" t="str">
        <f>"202201138320"</f>
        <v>202201138320</v>
      </c>
      <c r="F61" t="str">
        <f>"17580"</f>
        <v>17580</v>
      </c>
      <c r="G61" t="str">
        <f>"17580"</f>
        <v>17580</v>
      </c>
      <c r="H61" s="4">
        <v>400</v>
      </c>
    </row>
    <row r="62" spans="1:8" x14ac:dyDescent="0.25">
      <c r="A62" t="s">
        <v>20</v>
      </c>
      <c r="B62">
        <v>138575</v>
      </c>
      <c r="C62" s="4">
        <v>6632.4</v>
      </c>
      <c r="D62" s="5">
        <v>44571</v>
      </c>
      <c r="E62" t="str">
        <f>"202201048073"</f>
        <v>202201048073</v>
      </c>
      <c r="F62" t="str">
        <f>"INV DATE 08/25/2021"</f>
        <v>INV DATE 08/25/2021</v>
      </c>
      <c r="G62" t="str">
        <f>"INV DATE 08/25/2021"</f>
        <v>INV DATE 08/25/2021</v>
      </c>
      <c r="H62" s="4">
        <v>6632.4</v>
      </c>
    </row>
    <row r="63" spans="1:8" x14ac:dyDescent="0.25">
      <c r="A63" t="s">
        <v>21</v>
      </c>
      <c r="B63">
        <v>138576</v>
      </c>
      <c r="C63" s="4">
        <v>46.59</v>
      </c>
      <c r="D63" s="5">
        <v>44571</v>
      </c>
      <c r="E63" t="str">
        <f>"202201047985"</f>
        <v>202201047985</v>
      </c>
      <c r="F63" t="str">
        <f>"ACCT#3-3053/PCT#2"</f>
        <v>ACCT#3-3053/PCT#2</v>
      </c>
      <c r="G63" t="str">
        <f>"ACCT#3-3053/PCT#2"</f>
        <v>ACCT#3-3053/PCT#2</v>
      </c>
      <c r="H63" s="4">
        <v>46.59</v>
      </c>
    </row>
    <row r="64" spans="1:8" x14ac:dyDescent="0.25">
      <c r="A64" t="s">
        <v>22</v>
      </c>
      <c r="B64">
        <v>138760</v>
      </c>
      <c r="C64" s="4">
        <v>4648.07</v>
      </c>
      <c r="D64" s="5">
        <v>44585</v>
      </c>
      <c r="E64" t="str">
        <f>"INV104525"</f>
        <v>INV104525</v>
      </c>
      <c r="F64" t="str">
        <f>"CUST#BASTROP COUNTY"</f>
        <v>CUST#BASTROP COUNTY</v>
      </c>
      <c r="G64" t="str">
        <f>"CUST#BASTROP COUNTY"</f>
        <v>CUST#BASTROP COUNTY</v>
      </c>
      <c r="H64" s="4">
        <v>4648.07</v>
      </c>
    </row>
    <row r="65" spans="1:8" x14ac:dyDescent="0.25">
      <c r="A65" t="s">
        <v>23</v>
      </c>
      <c r="B65">
        <v>138577</v>
      </c>
      <c r="C65" s="4">
        <v>495.49</v>
      </c>
      <c r="D65" s="5">
        <v>44571</v>
      </c>
      <c r="E65" t="str">
        <f>"011280"</f>
        <v>011280</v>
      </c>
      <c r="F65" t="str">
        <f>"ACCT#011280/COUNTY CLERK"</f>
        <v>ACCT#011280/COUNTY CLERK</v>
      </c>
      <c r="G65" t="str">
        <f>"ACCT#011280/COUNTY CLERK"</f>
        <v>ACCT#011280/COUNTY CLERK</v>
      </c>
      <c r="H65" s="4">
        <v>54</v>
      </c>
    </row>
    <row r="66" spans="1:8" x14ac:dyDescent="0.25">
      <c r="E66" t="str">
        <f>"012571"</f>
        <v>012571</v>
      </c>
      <c r="F66" t="str">
        <f>"ACCT#012571/TREASURER"</f>
        <v>ACCT#012571/TREASURER</v>
      </c>
      <c r="G66" t="str">
        <f>"ACCT#012571/TREASURER"</f>
        <v>ACCT#012571/TREASURER</v>
      </c>
      <c r="H66" s="4">
        <v>9</v>
      </c>
    </row>
    <row r="67" spans="1:8" x14ac:dyDescent="0.25">
      <c r="E67" t="str">
        <f>"202201047988"</f>
        <v>202201047988</v>
      </c>
      <c r="F67" t="str">
        <f>"ACCT#010057/AUDITOR"</f>
        <v>ACCT#010057/AUDITOR</v>
      </c>
      <c r="G67" t="str">
        <f>"ACCT#010057/AUDITOR"</f>
        <v>ACCT#010057/AUDITOR</v>
      </c>
      <c r="H67" s="4">
        <v>24</v>
      </c>
    </row>
    <row r="68" spans="1:8" x14ac:dyDescent="0.25">
      <c r="E68" t="str">
        <f>"202201047989"</f>
        <v>202201047989</v>
      </c>
      <c r="F68" t="str">
        <f>"ACCT#012260/DISTRICT ATTNY"</f>
        <v>ACCT#012260/DISTRICT ATTNY</v>
      </c>
      <c r="G68" t="str">
        <f>"ACCT#012260/DISTRICT ATTNY"</f>
        <v>ACCT#012260/DISTRICT ATTNY</v>
      </c>
      <c r="H68" s="4">
        <v>30</v>
      </c>
    </row>
    <row r="69" spans="1:8" x14ac:dyDescent="0.25">
      <c r="E69" t="str">
        <f>"202201047990"</f>
        <v>202201047990</v>
      </c>
      <c r="F69" t="str">
        <f>"ACCT#010602/COMMISSIONERS"</f>
        <v>ACCT#010602/COMMISSIONERS</v>
      </c>
      <c r="G69" t="str">
        <f>"ACCT#010602/COMMISSIONERS"</f>
        <v>ACCT#010602/COMMISSIONERS</v>
      </c>
      <c r="H69" s="4">
        <v>31.5</v>
      </c>
    </row>
    <row r="70" spans="1:8" x14ac:dyDescent="0.25">
      <c r="E70" t="str">
        <f>"202201047991"</f>
        <v>202201047991</v>
      </c>
      <c r="F70" t="str">
        <f>"ACCT#016020/COLLECTIONS/COMP"</f>
        <v>ACCT#016020/COLLECTIONS/COMP</v>
      </c>
      <c r="G70" t="str">
        <f>"ACCT#016020/COLLECTIONS/COMP"</f>
        <v>ACCT#016020/COLLECTIONS/COMP</v>
      </c>
      <c r="H70" s="4">
        <v>17.239999999999998</v>
      </c>
    </row>
    <row r="71" spans="1:8" x14ac:dyDescent="0.25">
      <c r="E71" t="str">
        <f>"202201047992"</f>
        <v>202201047992</v>
      </c>
      <c r="F71" t="str">
        <f>"ACCT#010238/GENERAL SVCS"</f>
        <v>ACCT#010238/GENERAL SVCS</v>
      </c>
      <c r="G71" t="str">
        <f>"ACCT#010238/GENERAL SVCS"</f>
        <v>ACCT#010238/GENERAL SVCS</v>
      </c>
      <c r="H71" s="4">
        <v>62.75</v>
      </c>
    </row>
    <row r="72" spans="1:8" x14ac:dyDescent="0.25">
      <c r="E72" t="str">
        <f>"202201047993"</f>
        <v>202201047993</v>
      </c>
      <c r="F72" t="str">
        <f>"ACCT#011474/ELECTIONS"</f>
        <v>ACCT#011474/ELECTIONS</v>
      </c>
      <c r="G72" t="str">
        <f>"ACCT#011474/ELECTIONS"</f>
        <v>ACCT#011474/ELECTIONS</v>
      </c>
      <c r="H72" s="4">
        <v>31</v>
      </c>
    </row>
    <row r="73" spans="1:8" x14ac:dyDescent="0.25">
      <c r="E73" t="str">
        <f>"202201047994"</f>
        <v>202201047994</v>
      </c>
      <c r="F73" t="str">
        <f>"ACCT#010311/COUNTY COURT"</f>
        <v>ACCT#010311/COUNTY COURT</v>
      </c>
      <c r="G73" t="str">
        <f>"ACCT#010311/COUNTY COURT"</f>
        <v>ACCT#010311/COUNTY COURT</v>
      </c>
      <c r="H73" s="4">
        <v>9</v>
      </c>
    </row>
    <row r="74" spans="1:8" x14ac:dyDescent="0.25">
      <c r="E74" t="str">
        <f>"202201048061"</f>
        <v>202201048061</v>
      </c>
      <c r="F74" t="str">
        <f>"ACCT#012803/COUNTY JUDGE"</f>
        <v>ACCT#012803/COUNTY JUDGE</v>
      </c>
      <c r="G74" t="str">
        <f>"ACCT#012803/COUNTY JUDGE"</f>
        <v>ACCT#012803/COUNTY JUDGE</v>
      </c>
      <c r="H74" s="4">
        <v>31.5</v>
      </c>
    </row>
    <row r="75" spans="1:8" x14ac:dyDescent="0.25">
      <c r="E75" t="str">
        <f>"202201048062"</f>
        <v>202201048062</v>
      </c>
      <c r="F75" t="str">
        <f>"ACCT#014877/INDIGENT HEALTH"</f>
        <v>ACCT#014877/INDIGENT HEALTH</v>
      </c>
      <c r="G75" t="str">
        <f>"ACCT#014877/INDIGENT HEALTH"</f>
        <v>ACCT#014877/INDIGENT HEALTH</v>
      </c>
      <c r="H75" s="4">
        <v>90</v>
      </c>
    </row>
    <row r="76" spans="1:8" x14ac:dyDescent="0.25">
      <c r="E76" t="str">
        <f>"202201048063"</f>
        <v>202201048063</v>
      </c>
      <c r="F76" t="str">
        <f>"ACCT#013393/HUMAN RESC."</f>
        <v>ACCT#013393/HUMAN RESC.</v>
      </c>
      <c r="G76" t="str">
        <f>"ACCT#013393/HUMAN RESC."</f>
        <v>ACCT#013393/HUMAN RESC.</v>
      </c>
      <c r="H76" s="4">
        <v>12</v>
      </c>
    </row>
    <row r="77" spans="1:8" x14ac:dyDescent="0.25">
      <c r="E77" t="str">
        <f>"202201058162"</f>
        <v>202201058162</v>
      </c>
      <c r="F77" t="str">
        <f>"ACCT#014737/ANIMAL SERVICE"</f>
        <v>ACCT#014737/ANIMAL SERVICE</v>
      </c>
      <c r="G77" t="str">
        <f>"ACCT#014737/ANIMAL SERVICE"</f>
        <v>ACCT#014737/ANIMAL SERVICE</v>
      </c>
      <c r="H77" s="4">
        <v>42.5</v>
      </c>
    </row>
    <row r="78" spans="1:8" x14ac:dyDescent="0.25">
      <c r="E78" t="str">
        <f>"202201058175"</f>
        <v>202201058175</v>
      </c>
      <c r="F78" t="str">
        <f>"ACCT#012259/DISTRICT CLERK"</f>
        <v>ACCT#012259/DISTRICT CLERK</v>
      </c>
      <c r="G78" t="str">
        <f>"ACCT#012259/DISTRICT CLERK"</f>
        <v>ACCT#012259/DISTRICT CLERK</v>
      </c>
      <c r="H78" s="4">
        <v>51</v>
      </c>
    </row>
    <row r="79" spans="1:8" x14ac:dyDescent="0.25">
      <c r="A79" t="s">
        <v>23</v>
      </c>
      <c r="B79">
        <v>138761</v>
      </c>
      <c r="C79" s="4">
        <v>169</v>
      </c>
      <c r="D79" s="5">
        <v>44585</v>
      </c>
      <c r="E79" t="str">
        <f>"202201138303"</f>
        <v>202201138303</v>
      </c>
      <c r="F79" t="str">
        <f>"ACCT#012231/DIST JUDGE"</f>
        <v>ACCT#012231/DIST JUDGE</v>
      </c>
      <c r="G79" t="str">
        <f>"ACCT#012231/DIST JUDGE"</f>
        <v>ACCT#012231/DIST JUDGE</v>
      </c>
      <c r="H79" s="4">
        <v>10</v>
      </c>
    </row>
    <row r="80" spans="1:8" x14ac:dyDescent="0.25">
      <c r="E80" t="str">
        <f>"202201138304"</f>
        <v>202201138304</v>
      </c>
      <c r="F80" t="str">
        <f>"ACCT#011955/DISTRICT JUDGE"</f>
        <v>ACCT#011955/DISTRICT JUDGE</v>
      </c>
      <c r="G80" t="str">
        <f>"ACCT#011955/DISTRICT JUDGE"</f>
        <v>ACCT#011955/DISTRICT JUDGE</v>
      </c>
      <c r="H80" s="4">
        <v>46.5</v>
      </c>
    </row>
    <row r="81" spans="1:8" x14ac:dyDescent="0.25">
      <c r="E81" t="str">
        <f>"202201138305"</f>
        <v>202201138305</v>
      </c>
      <c r="F81" t="str">
        <f>"ACCT#010149/AGRI LIFE EXTEN"</f>
        <v>ACCT#010149/AGRI LIFE EXTEN</v>
      </c>
      <c r="G81" t="str">
        <f>"ACCT#010149/AGRI LIFE EXTEN"</f>
        <v>ACCT#010149/AGRI LIFE EXTEN</v>
      </c>
      <c r="H81" s="4">
        <v>44.5</v>
      </c>
    </row>
    <row r="82" spans="1:8" x14ac:dyDescent="0.25">
      <c r="E82" t="str">
        <f>"202201138315"</f>
        <v>202201138315</v>
      </c>
      <c r="F82" t="str">
        <f>"ACCT#.015476/PURCHASING"</f>
        <v>ACCT#.015476/PURCHASING</v>
      </c>
      <c r="G82" t="str">
        <f>"ACCT#.015476/PURCHASING"</f>
        <v>ACCT#.015476/PURCHASING</v>
      </c>
      <c r="H82" s="4">
        <v>20</v>
      </c>
    </row>
    <row r="83" spans="1:8" x14ac:dyDescent="0.25">
      <c r="E83" t="str">
        <f>"202201138316"</f>
        <v>202201138316</v>
      </c>
      <c r="F83" t="str">
        <f>"ACCT#011033/IT DEPT"</f>
        <v>ACCT#011033/IT DEPT</v>
      </c>
      <c r="G83" t="str">
        <f>"ACCT#011033/IT DEPT"</f>
        <v>ACCT#011033/IT DEPT</v>
      </c>
      <c r="H83" s="4">
        <v>39</v>
      </c>
    </row>
    <row r="84" spans="1:8" x14ac:dyDescent="0.25">
      <c r="E84" t="str">
        <f>"202201138317"</f>
        <v>202201138317</v>
      </c>
      <c r="F84" t="str">
        <f>"ACCT#015199/JP#1"</f>
        <v>ACCT#015199/JP#1</v>
      </c>
      <c r="G84" t="str">
        <f>"ACCT#015199/JP#1"</f>
        <v>ACCT#015199/JP#1</v>
      </c>
      <c r="H84" s="4">
        <v>9</v>
      </c>
    </row>
    <row r="85" spans="1:8" x14ac:dyDescent="0.25">
      <c r="A85" t="s">
        <v>24</v>
      </c>
      <c r="B85">
        <v>138578</v>
      </c>
      <c r="C85" s="4">
        <v>3.07</v>
      </c>
      <c r="D85" s="5">
        <v>44571</v>
      </c>
      <c r="E85" t="str">
        <f>"7700010019"</f>
        <v>7700010019</v>
      </c>
      <c r="F85" t="str">
        <f>"FLUSH VALVE CC PARK/GENRAL SVC"</f>
        <v>FLUSH VALVE CC PARK/GENRAL SVC</v>
      </c>
      <c r="G85" t="str">
        <f>"FLUSH VALVE CC PARK/GENRAL SVC"</f>
        <v>FLUSH VALVE CC PARK/GENRAL SVC</v>
      </c>
      <c r="H85" s="4">
        <v>3.07</v>
      </c>
    </row>
    <row r="86" spans="1:8" x14ac:dyDescent="0.25">
      <c r="A86" t="s">
        <v>24</v>
      </c>
      <c r="B86">
        <v>138754</v>
      </c>
      <c r="C86" s="4">
        <v>107.18</v>
      </c>
      <c r="D86" s="5">
        <v>44575</v>
      </c>
      <c r="E86" t="str">
        <f>"202201138354"</f>
        <v>202201138354</v>
      </c>
      <c r="F86" t="str">
        <f>"ACCT#0201855301 / 12022021"</f>
        <v>ACCT#0201855301 / 12022021</v>
      </c>
      <c r="G86" t="str">
        <f>"ACCT#0201855301 / 12022021"</f>
        <v>ACCT#0201855301 / 12022021</v>
      </c>
      <c r="H86" s="4">
        <v>51.98</v>
      </c>
    </row>
    <row r="87" spans="1:8" x14ac:dyDescent="0.25">
      <c r="E87" t="str">
        <f>"202201138355"</f>
        <v>202201138355</v>
      </c>
      <c r="F87" t="str">
        <f>"ACCT#0201891401 / 12022021"</f>
        <v>ACCT#0201891401 / 12022021</v>
      </c>
      <c r="G87" t="str">
        <f t="shared" ref="G87:G93" si="5">"AQUA WATER SUPPLY CORPORATION"</f>
        <v>AQUA WATER SUPPLY CORPORATION</v>
      </c>
      <c r="H87" s="4">
        <v>25.28</v>
      </c>
    </row>
    <row r="88" spans="1:8" x14ac:dyDescent="0.25">
      <c r="E88" t="str">
        <f>"202201138356"</f>
        <v>202201138356</v>
      </c>
      <c r="F88" t="str">
        <f>"ACCT#0202496901 / 12022021"</f>
        <v>ACCT#0202496901 / 12022021</v>
      </c>
      <c r="G88" t="str">
        <f t="shared" si="5"/>
        <v>AQUA WATER SUPPLY CORPORATION</v>
      </c>
      <c r="H88" s="4">
        <v>29.92</v>
      </c>
    </row>
    <row r="89" spans="1:8" x14ac:dyDescent="0.25">
      <c r="A89" t="s">
        <v>24</v>
      </c>
      <c r="B89">
        <v>138889</v>
      </c>
      <c r="C89" s="4">
        <v>1445.78</v>
      </c>
      <c r="D89" s="5">
        <v>44588</v>
      </c>
      <c r="E89" t="str">
        <f>"202201278580"</f>
        <v>202201278580</v>
      </c>
      <c r="F89" t="str">
        <f>"ACCT#0102120801 / 01042022"</f>
        <v>ACCT#0102120801 / 01042022</v>
      </c>
      <c r="G89" t="str">
        <f t="shared" si="5"/>
        <v>AQUA WATER SUPPLY CORPORATION</v>
      </c>
      <c r="H89" s="4">
        <v>209.8</v>
      </c>
    </row>
    <row r="90" spans="1:8" x14ac:dyDescent="0.25">
      <c r="E90" t="str">
        <f>"202201278581"</f>
        <v>202201278581</v>
      </c>
      <c r="F90" t="str">
        <f>"ACCT#0400785803 / 01052022"</f>
        <v>ACCT#0400785803 / 01052022</v>
      </c>
      <c r="G90" t="str">
        <f t="shared" si="5"/>
        <v>AQUA WATER SUPPLY CORPORATION</v>
      </c>
      <c r="H90" s="4">
        <v>245.7</v>
      </c>
    </row>
    <row r="91" spans="1:8" x14ac:dyDescent="0.25">
      <c r="E91" t="str">
        <f>"202201278582"</f>
        <v>202201278582</v>
      </c>
      <c r="F91" t="str">
        <f>"ACCT#0401408501 / 01052022"</f>
        <v>ACCT#0401408501 / 01052022</v>
      </c>
      <c r="G91" t="str">
        <f t="shared" si="5"/>
        <v>AQUA WATER SUPPLY CORPORATION</v>
      </c>
      <c r="H91" s="4">
        <v>938.17</v>
      </c>
    </row>
    <row r="92" spans="1:8" x14ac:dyDescent="0.25">
      <c r="E92" t="str">
        <f>"202201278583"</f>
        <v>202201278583</v>
      </c>
      <c r="F92" t="str">
        <f>"ACCT#0800042801 / 01062022"</f>
        <v>ACCT#0800042801 / 01062022</v>
      </c>
      <c r="G92" t="str">
        <f t="shared" si="5"/>
        <v>AQUA WATER SUPPLY CORPORATION</v>
      </c>
      <c r="H92" s="4">
        <v>26.44</v>
      </c>
    </row>
    <row r="93" spans="1:8" x14ac:dyDescent="0.25">
      <c r="E93" t="str">
        <f>"202201278584"</f>
        <v>202201278584</v>
      </c>
      <c r="F93" t="str">
        <f>"ACCT#0802361501 / 01062022"</f>
        <v>ACCT#0802361501 / 01062022</v>
      </c>
      <c r="G93" t="str">
        <f t="shared" si="5"/>
        <v>AQUA WATER SUPPLY CORPORATION</v>
      </c>
      <c r="H93" s="4">
        <v>25.67</v>
      </c>
    </row>
    <row r="94" spans="1:8" x14ac:dyDescent="0.25">
      <c r="A94" t="s">
        <v>25</v>
      </c>
      <c r="B94">
        <v>138762</v>
      </c>
      <c r="C94" s="4">
        <v>450</v>
      </c>
      <c r="D94" s="5">
        <v>44585</v>
      </c>
      <c r="E94" t="str">
        <f>"2125.06"</f>
        <v>2125.06</v>
      </c>
      <c r="F94" t="str">
        <f>"MONUMENTS CONSULT"</f>
        <v>MONUMENTS CONSULT</v>
      </c>
      <c r="G94" t="str">
        <f>"MONUMENTS CONSULT"</f>
        <v>MONUMENTS CONSULT</v>
      </c>
      <c r="H94" s="4">
        <v>450</v>
      </c>
    </row>
    <row r="95" spans="1:8" x14ac:dyDescent="0.25">
      <c r="A95" t="s">
        <v>26</v>
      </c>
      <c r="B95">
        <v>138579</v>
      </c>
      <c r="C95" s="4">
        <v>7192.25</v>
      </c>
      <c r="D95" s="5">
        <v>44571</v>
      </c>
      <c r="E95" t="str">
        <f>"202201058156"</f>
        <v>202201058156</v>
      </c>
      <c r="F95" t="str">
        <f>"JAIL MEDICAL"</f>
        <v>JAIL MEDICAL</v>
      </c>
      <c r="G95" t="str">
        <f>"JAIL MEDICAL"</f>
        <v>JAIL MEDICAL</v>
      </c>
      <c r="H95" s="4">
        <v>7192.25</v>
      </c>
    </row>
    <row r="96" spans="1:8" x14ac:dyDescent="0.25">
      <c r="A96" t="s">
        <v>26</v>
      </c>
      <c r="B96">
        <v>138763</v>
      </c>
      <c r="C96" s="4">
        <v>4923.63</v>
      </c>
      <c r="D96" s="5">
        <v>44585</v>
      </c>
      <c r="E96" t="str">
        <f>"202201198482"</f>
        <v>202201198482</v>
      </c>
      <c r="F96" t="str">
        <f>"INDIGENT HEALTH"</f>
        <v>INDIGENT HEALTH</v>
      </c>
      <c r="G96" t="str">
        <f>"INDIGENT HEALTH"</f>
        <v>INDIGENT HEALTH</v>
      </c>
      <c r="H96" s="4">
        <v>4923.63</v>
      </c>
    </row>
    <row r="97" spans="1:8" x14ac:dyDescent="0.25">
      <c r="A97" t="s">
        <v>27</v>
      </c>
      <c r="B97">
        <v>138764</v>
      </c>
      <c r="C97" s="4">
        <v>8378.48</v>
      </c>
      <c r="D97" s="5">
        <v>44585</v>
      </c>
      <c r="E97" t="str">
        <f>"202201188454"</f>
        <v>202201188454</v>
      </c>
      <c r="F97" t="str">
        <f>"ACCT#512-308-9870-530-7"</f>
        <v>ACCT#512-308-9870-530-7</v>
      </c>
      <c r="G97" t="str">
        <f>"ACCT#512-308-9870-530-7"</f>
        <v>ACCT#512-308-9870-530-7</v>
      </c>
      <c r="H97" s="4">
        <v>1598.26</v>
      </c>
    </row>
    <row r="98" spans="1:8" x14ac:dyDescent="0.25">
      <c r="E98" t="str">
        <f>"202201188455"</f>
        <v>202201188455</v>
      </c>
      <c r="F98" t="str">
        <f>"ACCT#512A49-0048-193-3"</f>
        <v>ACCT#512A49-0048-193-3</v>
      </c>
      <c r="G98" t="str">
        <f>"ACCT#512A49-0048-193-3"</f>
        <v>ACCT#512A49-0048-193-3</v>
      </c>
      <c r="H98" s="4">
        <v>6585.01</v>
      </c>
    </row>
    <row r="99" spans="1:8" x14ac:dyDescent="0.25">
      <c r="E99" t="str">
        <f>""</f>
        <v/>
      </c>
      <c r="F99" t="str">
        <f>""</f>
        <v/>
      </c>
      <c r="G99" t="str">
        <f>"ACCT#512A49-0048-193-3"</f>
        <v>ACCT#512A49-0048-193-3</v>
      </c>
      <c r="H99" s="4">
        <v>53.96</v>
      </c>
    </row>
    <row r="100" spans="1:8" x14ac:dyDescent="0.25">
      <c r="E100" t="str">
        <f>""</f>
        <v/>
      </c>
      <c r="F100" t="str">
        <f>""</f>
        <v/>
      </c>
      <c r="G100" t="str">
        <f>"ACCT#512A49-0048-193-3"</f>
        <v>ACCT#512A49-0048-193-3</v>
      </c>
      <c r="H100" s="4">
        <v>141.25</v>
      </c>
    </row>
    <row r="101" spans="1:8" x14ac:dyDescent="0.25">
      <c r="A101" t="s">
        <v>27</v>
      </c>
      <c r="B101">
        <v>138765</v>
      </c>
      <c r="C101" s="4">
        <v>7488.56</v>
      </c>
      <c r="D101" s="5">
        <v>44585</v>
      </c>
      <c r="E101" t="str">
        <f>"0857586609"</f>
        <v>0857586609</v>
      </c>
      <c r="F101" t="str">
        <f>"ACCT#831-000-6084095"</f>
        <v>ACCT#831-000-6084095</v>
      </c>
      <c r="G101" t="str">
        <f>"ACCT#831-000-6084095"</f>
        <v>ACCT#831-000-6084095</v>
      </c>
      <c r="H101" s="4">
        <v>1684.69</v>
      </c>
    </row>
    <row r="102" spans="1:8" x14ac:dyDescent="0.25">
      <c r="E102" t="str">
        <f>"6350717600"</f>
        <v>6350717600</v>
      </c>
      <c r="F102" t="str">
        <f>"ACCT#831-000-7218-923"</f>
        <v>ACCT#831-000-7218-923</v>
      </c>
      <c r="G102" t="str">
        <f>"ACCT#831-000-7218-923"</f>
        <v>ACCT#831-000-7218-923</v>
      </c>
      <c r="H102" s="4">
        <v>874.25</v>
      </c>
    </row>
    <row r="103" spans="1:8" x14ac:dyDescent="0.25">
      <c r="E103" t="str">
        <f>"7148527607"</f>
        <v>7148527607</v>
      </c>
      <c r="F103" t="str">
        <f>"ACCT#831-000-9850-451"</f>
        <v>ACCT#831-000-9850-451</v>
      </c>
      <c r="G103" t="str">
        <f>"ACCT#831-000-9850-451"</f>
        <v>ACCT#831-000-9850-451</v>
      </c>
      <c r="H103" s="4">
        <v>2929.24</v>
      </c>
    </row>
    <row r="104" spans="1:8" x14ac:dyDescent="0.25">
      <c r="E104" t="str">
        <f>"8792207603"</f>
        <v>8792207603</v>
      </c>
      <c r="F104" t="str">
        <f>"ACCT#831-000-7919-623"</f>
        <v>ACCT#831-000-7919-623</v>
      </c>
      <c r="G104" t="str">
        <f>"ACCT#831-000-7919-623"</f>
        <v>ACCT#831-000-7919-623</v>
      </c>
      <c r="H104" s="4">
        <v>2000.38</v>
      </c>
    </row>
    <row r="105" spans="1:8" x14ac:dyDescent="0.25">
      <c r="A105" t="s">
        <v>28</v>
      </c>
      <c r="B105">
        <v>138580</v>
      </c>
      <c r="C105" s="4">
        <v>6860.39</v>
      </c>
      <c r="D105" s="5">
        <v>44571</v>
      </c>
      <c r="E105" t="str">
        <f>"202201047998"</f>
        <v>202201047998</v>
      </c>
      <c r="F105" t="str">
        <f>"ACCT#287290524359"</f>
        <v>ACCT#287290524359</v>
      </c>
      <c r="G105" t="str">
        <f t="shared" ref="G105:G118" si="6">"ACCT#287290524359"</f>
        <v>ACCT#287290524359</v>
      </c>
      <c r="H105" s="4">
        <v>140</v>
      </c>
    </row>
    <row r="106" spans="1:8" x14ac:dyDescent="0.25">
      <c r="E106" t="str">
        <f>""</f>
        <v/>
      </c>
      <c r="F106" t="str">
        <f>""</f>
        <v/>
      </c>
      <c r="G106" t="str">
        <f t="shared" si="6"/>
        <v>ACCT#287290524359</v>
      </c>
      <c r="H106" s="4">
        <v>245</v>
      </c>
    </row>
    <row r="107" spans="1:8" x14ac:dyDescent="0.25">
      <c r="E107" t="str">
        <f>""</f>
        <v/>
      </c>
      <c r="F107" t="str">
        <f>""</f>
        <v/>
      </c>
      <c r="G107" t="str">
        <f t="shared" si="6"/>
        <v>ACCT#287290524359</v>
      </c>
      <c r="H107" s="4">
        <v>35</v>
      </c>
    </row>
    <row r="108" spans="1:8" x14ac:dyDescent="0.25">
      <c r="E108" t="str">
        <f>""</f>
        <v/>
      </c>
      <c r="F108" t="str">
        <f>""</f>
        <v/>
      </c>
      <c r="G108" t="str">
        <f t="shared" si="6"/>
        <v>ACCT#287290524359</v>
      </c>
      <c r="H108" s="4">
        <v>35</v>
      </c>
    </row>
    <row r="109" spans="1:8" x14ac:dyDescent="0.25">
      <c r="E109" t="str">
        <f>""</f>
        <v/>
      </c>
      <c r="F109" t="str">
        <f>""</f>
        <v/>
      </c>
      <c r="G109" t="str">
        <f t="shared" si="6"/>
        <v>ACCT#287290524359</v>
      </c>
      <c r="H109" s="4">
        <v>35</v>
      </c>
    </row>
    <row r="110" spans="1:8" x14ac:dyDescent="0.25">
      <c r="E110" t="str">
        <f>""</f>
        <v/>
      </c>
      <c r="F110" t="str">
        <f>""</f>
        <v/>
      </c>
      <c r="G110" t="str">
        <f t="shared" si="6"/>
        <v>ACCT#287290524359</v>
      </c>
      <c r="H110" s="4">
        <v>175</v>
      </c>
    </row>
    <row r="111" spans="1:8" x14ac:dyDescent="0.25">
      <c r="E111" t="str">
        <f>""</f>
        <v/>
      </c>
      <c r="F111" t="str">
        <f>""</f>
        <v/>
      </c>
      <c r="G111" t="str">
        <f t="shared" si="6"/>
        <v>ACCT#287290524359</v>
      </c>
      <c r="H111" s="4">
        <v>35</v>
      </c>
    </row>
    <row r="112" spans="1:8" x14ac:dyDescent="0.25">
      <c r="E112" t="str">
        <f>""</f>
        <v/>
      </c>
      <c r="F112" t="str">
        <f>""</f>
        <v/>
      </c>
      <c r="G112" t="str">
        <f t="shared" si="6"/>
        <v>ACCT#287290524359</v>
      </c>
      <c r="H112" s="4">
        <v>531</v>
      </c>
    </row>
    <row r="113" spans="5:8" x14ac:dyDescent="0.25">
      <c r="E113" t="str">
        <f>""</f>
        <v/>
      </c>
      <c r="F113" t="str">
        <f>""</f>
        <v/>
      </c>
      <c r="G113" t="str">
        <f t="shared" si="6"/>
        <v>ACCT#287290524359</v>
      </c>
      <c r="H113" s="4">
        <v>175</v>
      </c>
    </row>
    <row r="114" spans="5:8" x14ac:dyDescent="0.25">
      <c r="E114" t="str">
        <f>""</f>
        <v/>
      </c>
      <c r="F114" t="str">
        <f>""</f>
        <v/>
      </c>
      <c r="G114" t="str">
        <f t="shared" si="6"/>
        <v>ACCT#287290524359</v>
      </c>
      <c r="H114" s="4">
        <v>245</v>
      </c>
    </row>
    <row r="115" spans="5:8" x14ac:dyDescent="0.25">
      <c r="E115" t="str">
        <f>""</f>
        <v/>
      </c>
      <c r="F115" t="str">
        <f>""</f>
        <v/>
      </c>
      <c r="G115" t="str">
        <f t="shared" si="6"/>
        <v>ACCT#287290524359</v>
      </c>
      <c r="H115" s="4">
        <v>35</v>
      </c>
    </row>
    <row r="116" spans="5:8" x14ac:dyDescent="0.25">
      <c r="E116" t="str">
        <f>""</f>
        <v/>
      </c>
      <c r="F116" t="str">
        <f>""</f>
        <v/>
      </c>
      <c r="G116" t="str">
        <f t="shared" si="6"/>
        <v>ACCT#287290524359</v>
      </c>
      <c r="H116" s="4">
        <v>2999.66</v>
      </c>
    </row>
    <row r="117" spans="5:8" x14ac:dyDescent="0.25">
      <c r="E117" t="str">
        <f>""</f>
        <v/>
      </c>
      <c r="F117" t="str">
        <f>""</f>
        <v/>
      </c>
      <c r="G117" t="str">
        <f t="shared" si="6"/>
        <v>ACCT#287290524359</v>
      </c>
      <c r="H117" s="4">
        <v>70</v>
      </c>
    </row>
    <row r="118" spans="5:8" x14ac:dyDescent="0.25">
      <c r="E118" t="str">
        <f>""</f>
        <v/>
      </c>
      <c r="F118" t="str">
        <f>""</f>
        <v/>
      </c>
      <c r="G118" t="str">
        <f t="shared" si="6"/>
        <v>ACCT#287290524359</v>
      </c>
      <c r="H118" s="4">
        <v>35</v>
      </c>
    </row>
    <row r="119" spans="5:8" x14ac:dyDescent="0.25">
      <c r="E119" t="str">
        <f>"202201047999"</f>
        <v>202201047999</v>
      </c>
      <c r="F119" t="str">
        <f>"ACCT#287263291654"</f>
        <v>ACCT#287263291654</v>
      </c>
      <c r="G119" t="str">
        <f t="shared" ref="G119:G136" si="7">"ACCT#287263291654"</f>
        <v>ACCT#287263291654</v>
      </c>
      <c r="H119" s="4">
        <v>75.98</v>
      </c>
    </row>
    <row r="120" spans="5:8" x14ac:dyDescent="0.25">
      <c r="E120" t="str">
        <f>""</f>
        <v/>
      </c>
      <c r="F120" t="str">
        <f>""</f>
        <v/>
      </c>
      <c r="G120" t="str">
        <f t="shared" si="7"/>
        <v>ACCT#287263291654</v>
      </c>
      <c r="H120" s="4">
        <v>114.17</v>
      </c>
    </row>
    <row r="121" spans="5:8" x14ac:dyDescent="0.25">
      <c r="E121" t="str">
        <f>""</f>
        <v/>
      </c>
      <c r="F121" t="str">
        <f>""</f>
        <v/>
      </c>
      <c r="G121" t="str">
        <f t="shared" si="7"/>
        <v>ACCT#287263291654</v>
      </c>
      <c r="H121" s="4">
        <v>37.99</v>
      </c>
    </row>
    <row r="122" spans="5:8" x14ac:dyDescent="0.25">
      <c r="E122" t="str">
        <f>""</f>
        <v/>
      </c>
      <c r="F122" t="str">
        <f>""</f>
        <v/>
      </c>
      <c r="G122" t="str">
        <f t="shared" si="7"/>
        <v>ACCT#287263291654</v>
      </c>
      <c r="H122" s="4">
        <v>189.95</v>
      </c>
    </row>
    <row r="123" spans="5:8" x14ac:dyDescent="0.25">
      <c r="E123" t="str">
        <f>""</f>
        <v/>
      </c>
      <c r="F123" t="str">
        <f>""</f>
        <v/>
      </c>
      <c r="G123" t="str">
        <f t="shared" si="7"/>
        <v>ACCT#287263291654</v>
      </c>
      <c r="H123" s="4">
        <v>75.98</v>
      </c>
    </row>
    <row r="124" spans="5:8" x14ac:dyDescent="0.25">
      <c r="E124" t="str">
        <f>""</f>
        <v/>
      </c>
      <c r="F124" t="str">
        <f>""</f>
        <v/>
      </c>
      <c r="G124" t="str">
        <f t="shared" si="7"/>
        <v>ACCT#287263291654</v>
      </c>
      <c r="H124" s="4">
        <v>37.99</v>
      </c>
    </row>
    <row r="125" spans="5:8" x14ac:dyDescent="0.25">
      <c r="E125" t="str">
        <f>""</f>
        <v/>
      </c>
      <c r="F125" t="str">
        <f>""</f>
        <v/>
      </c>
      <c r="G125" t="str">
        <f t="shared" si="7"/>
        <v>ACCT#287263291654</v>
      </c>
      <c r="H125" s="4">
        <v>350.91</v>
      </c>
    </row>
    <row r="126" spans="5:8" x14ac:dyDescent="0.25">
      <c r="E126" t="str">
        <f>""</f>
        <v/>
      </c>
      <c r="F126" t="str">
        <f>""</f>
        <v/>
      </c>
      <c r="G126" t="str">
        <f t="shared" si="7"/>
        <v>ACCT#287263291654</v>
      </c>
      <c r="H126" s="4">
        <v>75.98</v>
      </c>
    </row>
    <row r="127" spans="5:8" x14ac:dyDescent="0.25">
      <c r="E127" t="str">
        <f>""</f>
        <v/>
      </c>
      <c r="F127" t="str">
        <f>""</f>
        <v/>
      </c>
      <c r="G127" t="str">
        <f t="shared" si="7"/>
        <v>ACCT#287263291654</v>
      </c>
      <c r="H127" s="4">
        <v>151.96</v>
      </c>
    </row>
    <row r="128" spans="5:8" x14ac:dyDescent="0.25">
      <c r="E128" t="str">
        <f>""</f>
        <v/>
      </c>
      <c r="F128" t="str">
        <f>""</f>
        <v/>
      </c>
      <c r="G128" t="str">
        <f t="shared" si="7"/>
        <v>ACCT#287263291654</v>
      </c>
      <c r="H128" s="4">
        <v>189.95</v>
      </c>
    </row>
    <row r="129" spans="1:8" x14ac:dyDescent="0.25">
      <c r="E129" t="str">
        <f>""</f>
        <v/>
      </c>
      <c r="F129" t="str">
        <f>""</f>
        <v/>
      </c>
      <c r="G129" t="str">
        <f t="shared" si="7"/>
        <v>ACCT#287263291654</v>
      </c>
      <c r="H129" s="4">
        <v>75.98</v>
      </c>
    </row>
    <row r="130" spans="1:8" x14ac:dyDescent="0.25">
      <c r="E130" t="str">
        <f>""</f>
        <v/>
      </c>
      <c r="F130" t="str">
        <f>""</f>
        <v/>
      </c>
      <c r="G130" t="str">
        <f t="shared" si="7"/>
        <v>ACCT#287263291654</v>
      </c>
      <c r="H130" s="4">
        <v>37.99</v>
      </c>
    </row>
    <row r="131" spans="1:8" x14ac:dyDescent="0.25">
      <c r="E131" t="str">
        <f>""</f>
        <v/>
      </c>
      <c r="F131" t="str">
        <f>""</f>
        <v/>
      </c>
      <c r="G131" t="str">
        <f t="shared" si="7"/>
        <v>ACCT#287263291654</v>
      </c>
      <c r="H131" s="4">
        <v>76.38</v>
      </c>
    </row>
    <row r="132" spans="1:8" x14ac:dyDescent="0.25">
      <c r="E132" t="str">
        <f>""</f>
        <v/>
      </c>
      <c r="F132" t="str">
        <f>""</f>
        <v/>
      </c>
      <c r="G132" t="str">
        <f t="shared" si="7"/>
        <v>ACCT#287263291654</v>
      </c>
      <c r="H132" s="4">
        <v>37.99</v>
      </c>
    </row>
    <row r="133" spans="1:8" x14ac:dyDescent="0.25">
      <c r="E133" t="str">
        <f>""</f>
        <v/>
      </c>
      <c r="F133" t="str">
        <f>""</f>
        <v/>
      </c>
      <c r="G133" t="str">
        <f t="shared" si="7"/>
        <v>ACCT#287263291654</v>
      </c>
      <c r="H133" s="4">
        <v>37.99</v>
      </c>
    </row>
    <row r="134" spans="1:8" x14ac:dyDescent="0.25">
      <c r="E134" t="str">
        <f>""</f>
        <v/>
      </c>
      <c r="F134" t="str">
        <f>""</f>
        <v/>
      </c>
      <c r="G134" t="str">
        <f t="shared" si="7"/>
        <v>ACCT#287263291654</v>
      </c>
      <c r="H134" s="4">
        <v>37.99</v>
      </c>
    </row>
    <row r="135" spans="1:8" x14ac:dyDescent="0.25">
      <c r="E135" t="str">
        <f>""</f>
        <v/>
      </c>
      <c r="F135" t="str">
        <f>""</f>
        <v/>
      </c>
      <c r="G135" t="str">
        <f t="shared" si="7"/>
        <v>ACCT#287263291654</v>
      </c>
      <c r="H135" s="4">
        <v>37.99</v>
      </c>
    </row>
    <row r="136" spans="1:8" x14ac:dyDescent="0.25">
      <c r="E136" t="str">
        <f>""</f>
        <v/>
      </c>
      <c r="F136" t="str">
        <f>""</f>
        <v/>
      </c>
      <c r="G136" t="str">
        <f t="shared" si="7"/>
        <v>ACCT#287263291654</v>
      </c>
      <c r="H136" s="4">
        <v>162.36000000000001</v>
      </c>
    </row>
    <row r="137" spans="1:8" x14ac:dyDescent="0.25">
      <c r="E137" t="str">
        <f>"202201048074"</f>
        <v>202201048074</v>
      </c>
      <c r="F137" t="str">
        <f>"INV 287280903541X12202021"</f>
        <v>INV 287280903541X12202021</v>
      </c>
      <c r="G137" t="str">
        <f>"INV 287280903541X12202021"</f>
        <v>INV 287280903541X12202021</v>
      </c>
      <c r="H137" s="4">
        <v>264.2</v>
      </c>
    </row>
    <row r="138" spans="1:8" x14ac:dyDescent="0.25">
      <c r="A138" t="s">
        <v>28</v>
      </c>
      <c r="B138">
        <v>138766</v>
      </c>
      <c r="C138" s="4">
        <v>1802.67</v>
      </c>
      <c r="D138" s="5">
        <v>44585</v>
      </c>
      <c r="E138" t="str">
        <f>"202201198505"</f>
        <v>202201198505</v>
      </c>
      <c r="F138" t="str">
        <f>"ACCT#287263291654"</f>
        <v>ACCT#287263291654</v>
      </c>
      <c r="G138" t="str">
        <f t="shared" ref="G138:G155" si="8">"ACCT#287263291654"</f>
        <v>ACCT#287263291654</v>
      </c>
      <c r="H138" s="4">
        <v>75.98</v>
      </c>
    </row>
    <row r="139" spans="1:8" x14ac:dyDescent="0.25">
      <c r="E139" t="str">
        <f>""</f>
        <v/>
      </c>
      <c r="F139" t="str">
        <f>""</f>
        <v/>
      </c>
      <c r="G139" t="str">
        <f t="shared" si="8"/>
        <v>ACCT#287263291654</v>
      </c>
      <c r="H139" s="4">
        <v>113.97</v>
      </c>
    </row>
    <row r="140" spans="1:8" x14ac:dyDescent="0.25">
      <c r="E140" t="str">
        <f>""</f>
        <v/>
      </c>
      <c r="F140" t="str">
        <f>""</f>
        <v/>
      </c>
      <c r="G140" t="str">
        <f t="shared" si="8"/>
        <v>ACCT#287263291654</v>
      </c>
      <c r="H140" s="4">
        <v>36.729999999999997</v>
      </c>
    </row>
    <row r="141" spans="1:8" x14ac:dyDescent="0.25">
      <c r="E141" t="str">
        <f>""</f>
        <v/>
      </c>
      <c r="F141" t="str">
        <f>""</f>
        <v/>
      </c>
      <c r="G141" t="str">
        <f t="shared" si="8"/>
        <v>ACCT#287263291654</v>
      </c>
      <c r="H141" s="4">
        <v>189.95</v>
      </c>
    </row>
    <row r="142" spans="1:8" x14ac:dyDescent="0.25">
      <c r="E142" t="str">
        <f>""</f>
        <v/>
      </c>
      <c r="F142" t="str">
        <f>""</f>
        <v/>
      </c>
      <c r="G142" t="str">
        <f t="shared" si="8"/>
        <v>ACCT#287263291654</v>
      </c>
      <c r="H142" s="4">
        <v>75.98</v>
      </c>
    </row>
    <row r="143" spans="1:8" x14ac:dyDescent="0.25">
      <c r="E143" t="str">
        <f>""</f>
        <v/>
      </c>
      <c r="F143" t="str">
        <f>""</f>
        <v/>
      </c>
      <c r="G143" t="str">
        <f t="shared" si="8"/>
        <v>ACCT#287263291654</v>
      </c>
      <c r="H143" s="4">
        <v>37.99</v>
      </c>
    </row>
    <row r="144" spans="1:8" x14ac:dyDescent="0.25">
      <c r="E144" t="str">
        <f>""</f>
        <v/>
      </c>
      <c r="F144" t="str">
        <f>""</f>
        <v/>
      </c>
      <c r="G144" t="str">
        <f t="shared" si="8"/>
        <v>ACCT#287263291654</v>
      </c>
      <c r="H144" s="4">
        <v>350.91</v>
      </c>
    </row>
    <row r="145" spans="1:8" x14ac:dyDescent="0.25">
      <c r="E145" t="str">
        <f>""</f>
        <v/>
      </c>
      <c r="F145" t="str">
        <f>""</f>
        <v/>
      </c>
      <c r="G145" t="str">
        <f t="shared" si="8"/>
        <v>ACCT#287263291654</v>
      </c>
      <c r="H145" s="4">
        <v>75.98</v>
      </c>
    </row>
    <row r="146" spans="1:8" x14ac:dyDescent="0.25">
      <c r="E146" t="str">
        <f>""</f>
        <v/>
      </c>
      <c r="F146" t="str">
        <f>""</f>
        <v/>
      </c>
      <c r="G146" t="str">
        <f t="shared" si="8"/>
        <v>ACCT#287263291654</v>
      </c>
      <c r="H146" s="4">
        <v>151.96</v>
      </c>
    </row>
    <row r="147" spans="1:8" x14ac:dyDescent="0.25">
      <c r="E147" t="str">
        <f>""</f>
        <v/>
      </c>
      <c r="F147" t="str">
        <f>""</f>
        <v/>
      </c>
      <c r="G147" t="str">
        <f t="shared" si="8"/>
        <v>ACCT#287263291654</v>
      </c>
      <c r="H147" s="4">
        <v>189.95</v>
      </c>
    </row>
    <row r="148" spans="1:8" x14ac:dyDescent="0.25">
      <c r="E148" t="str">
        <f>""</f>
        <v/>
      </c>
      <c r="F148" t="str">
        <f>""</f>
        <v/>
      </c>
      <c r="G148" t="str">
        <f t="shared" si="8"/>
        <v>ACCT#287263291654</v>
      </c>
      <c r="H148" s="4">
        <v>75.98</v>
      </c>
    </row>
    <row r="149" spans="1:8" x14ac:dyDescent="0.25">
      <c r="E149" t="str">
        <f>""</f>
        <v/>
      </c>
      <c r="F149" t="str">
        <f>""</f>
        <v/>
      </c>
      <c r="G149" t="str">
        <f t="shared" si="8"/>
        <v>ACCT#287263291654</v>
      </c>
      <c r="H149" s="4">
        <v>37.99</v>
      </c>
    </row>
    <row r="150" spans="1:8" x14ac:dyDescent="0.25">
      <c r="E150" t="str">
        <f>""</f>
        <v/>
      </c>
      <c r="F150" t="str">
        <f>""</f>
        <v/>
      </c>
      <c r="G150" t="str">
        <f t="shared" si="8"/>
        <v>ACCT#287263291654</v>
      </c>
      <c r="H150" s="4">
        <v>75.98</v>
      </c>
    </row>
    <row r="151" spans="1:8" x14ac:dyDescent="0.25">
      <c r="E151" t="str">
        <f>""</f>
        <v/>
      </c>
      <c r="F151" t="str">
        <f>""</f>
        <v/>
      </c>
      <c r="G151" t="str">
        <f t="shared" si="8"/>
        <v>ACCT#287263291654</v>
      </c>
      <c r="H151" s="4">
        <v>37.99</v>
      </c>
    </row>
    <row r="152" spans="1:8" x14ac:dyDescent="0.25">
      <c r="E152" t="str">
        <f>""</f>
        <v/>
      </c>
      <c r="F152" t="str">
        <f>""</f>
        <v/>
      </c>
      <c r="G152" t="str">
        <f t="shared" si="8"/>
        <v>ACCT#287263291654</v>
      </c>
      <c r="H152" s="4">
        <v>37.99</v>
      </c>
    </row>
    <row r="153" spans="1:8" x14ac:dyDescent="0.25">
      <c r="E153" t="str">
        <f>""</f>
        <v/>
      </c>
      <c r="F153" t="str">
        <f>""</f>
        <v/>
      </c>
      <c r="G153" t="str">
        <f t="shared" si="8"/>
        <v>ACCT#287263291654</v>
      </c>
      <c r="H153" s="4">
        <v>38.39</v>
      </c>
    </row>
    <row r="154" spans="1:8" x14ac:dyDescent="0.25">
      <c r="E154" t="str">
        <f>""</f>
        <v/>
      </c>
      <c r="F154" t="str">
        <f>""</f>
        <v/>
      </c>
      <c r="G154" t="str">
        <f t="shared" si="8"/>
        <v>ACCT#287263291654</v>
      </c>
      <c r="H154" s="4">
        <v>37.99</v>
      </c>
    </row>
    <row r="155" spans="1:8" x14ac:dyDescent="0.25">
      <c r="E155" t="str">
        <f>""</f>
        <v/>
      </c>
      <c r="F155" t="str">
        <f>""</f>
        <v/>
      </c>
      <c r="G155" t="str">
        <f t="shared" si="8"/>
        <v>ACCT#287263291654</v>
      </c>
      <c r="H155" s="4">
        <v>160.96</v>
      </c>
    </row>
    <row r="156" spans="1:8" x14ac:dyDescent="0.25">
      <c r="A156" t="s">
        <v>29</v>
      </c>
      <c r="B156">
        <v>5641</v>
      </c>
      <c r="C156" s="4">
        <v>395.6</v>
      </c>
      <c r="D156" s="5">
        <v>44572</v>
      </c>
      <c r="E156" t="str">
        <f>"6886"</f>
        <v>6886</v>
      </c>
      <c r="F156" t="str">
        <f>"CAMLOCK/PCT#3"</f>
        <v>CAMLOCK/PCT#3</v>
      </c>
      <c r="G156" t="str">
        <f>"CAMLOCK/PCT#3"</f>
        <v>CAMLOCK/PCT#3</v>
      </c>
      <c r="H156" s="4">
        <v>395.6</v>
      </c>
    </row>
    <row r="157" spans="1:8" x14ac:dyDescent="0.25">
      <c r="A157" t="s">
        <v>29</v>
      </c>
      <c r="B157">
        <v>5710</v>
      </c>
      <c r="C157" s="4">
        <v>395.6</v>
      </c>
      <c r="D157" s="5">
        <v>44586</v>
      </c>
      <c r="E157" t="str">
        <f>"7045"</f>
        <v>7045</v>
      </c>
      <c r="F157" t="str">
        <f>"SO#6886/PCT#3"</f>
        <v>SO#6886/PCT#3</v>
      </c>
      <c r="G157" t="str">
        <f>"SO#6886/PCT#3"</f>
        <v>SO#6886/PCT#3</v>
      </c>
      <c r="H157" s="4">
        <v>395.6</v>
      </c>
    </row>
    <row r="158" spans="1:8" x14ac:dyDescent="0.25">
      <c r="A158" t="s">
        <v>30</v>
      </c>
      <c r="B158">
        <v>138581</v>
      </c>
      <c r="C158" s="4">
        <v>119.46</v>
      </c>
      <c r="D158" s="5">
        <v>44571</v>
      </c>
      <c r="E158" t="str">
        <f>"202201058157"</f>
        <v>202201058157</v>
      </c>
      <c r="F158" t="str">
        <f>"JAIL MEDICAL"</f>
        <v>JAIL MEDICAL</v>
      </c>
      <c r="G158" t="str">
        <f>"JAIL MEDICAL"</f>
        <v>JAIL MEDICAL</v>
      </c>
      <c r="H158" s="4">
        <v>119.46</v>
      </c>
    </row>
    <row r="159" spans="1:8" x14ac:dyDescent="0.25">
      <c r="A159" t="s">
        <v>31</v>
      </c>
      <c r="B159">
        <v>5643</v>
      </c>
      <c r="C159" s="4">
        <v>516.98</v>
      </c>
      <c r="D159" s="5">
        <v>44572</v>
      </c>
      <c r="E159" t="str">
        <f>"202201048057"</f>
        <v>202201048057</v>
      </c>
      <c r="F159" t="str">
        <f>"CUST#001/PCT#1"</f>
        <v>CUST#001/PCT#1</v>
      </c>
      <c r="G159" t="str">
        <f>"CUST#001/PCT#1"</f>
        <v>CUST#001/PCT#1</v>
      </c>
      <c r="H159" s="4">
        <v>84</v>
      </c>
    </row>
    <row r="160" spans="1:8" x14ac:dyDescent="0.25">
      <c r="E160" t="str">
        <f>"202201048058"</f>
        <v>202201048058</v>
      </c>
      <c r="F160" t="str">
        <f>"CUST#0010/PCT#2"</f>
        <v>CUST#0010/PCT#2</v>
      </c>
      <c r="G160" t="str">
        <f>"CUST#0010/PCT#2"</f>
        <v>CUST#0010/PCT#2</v>
      </c>
      <c r="H160" s="4">
        <v>76</v>
      </c>
    </row>
    <row r="161" spans="1:8" x14ac:dyDescent="0.25">
      <c r="E161" t="str">
        <f>"390369"</f>
        <v>390369</v>
      </c>
      <c r="F161" t="str">
        <f>"CUST#0009/PCT#1"</f>
        <v>CUST#0009/PCT#1</v>
      </c>
      <c r="G161" t="str">
        <f>"CUST#0009/PCT#1"</f>
        <v>CUST#0009/PCT#1</v>
      </c>
      <c r="H161" s="4">
        <v>356.98</v>
      </c>
    </row>
    <row r="162" spans="1:8" x14ac:dyDescent="0.25">
      <c r="A162" t="s">
        <v>32</v>
      </c>
      <c r="B162">
        <v>5613</v>
      </c>
      <c r="C162" s="4">
        <v>3300</v>
      </c>
      <c r="D162" s="5">
        <v>44572</v>
      </c>
      <c r="E162" t="str">
        <f>"1653"</f>
        <v>1653</v>
      </c>
      <c r="F162" t="str">
        <f>"TREES/LOVERS LANE/PCT#1"</f>
        <v>TREES/LOVERS LANE/PCT#1</v>
      </c>
      <c r="G162" t="str">
        <f>"TREES/LOVERS LANE/PCT#1"</f>
        <v>TREES/LOVERS LANE/PCT#1</v>
      </c>
      <c r="H162" s="4">
        <v>1650</v>
      </c>
    </row>
    <row r="163" spans="1:8" x14ac:dyDescent="0.25">
      <c r="E163" t="str">
        <f>"1654"</f>
        <v>1654</v>
      </c>
      <c r="F163" t="str">
        <f>"REMOVED TREES/KAANAPALI"</f>
        <v>REMOVED TREES/KAANAPALI</v>
      </c>
      <c r="G163" t="str">
        <f>"REMOVED TREES/KAANAPALI"</f>
        <v>REMOVED TREES/KAANAPALI</v>
      </c>
      <c r="H163" s="4">
        <v>1650</v>
      </c>
    </row>
    <row r="164" spans="1:8" x14ac:dyDescent="0.25">
      <c r="A164" t="s">
        <v>32</v>
      </c>
      <c r="B164">
        <v>5678</v>
      </c>
      <c r="C164" s="4">
        <v>5000</v>
      </c>
      <c r="D164" s="5">
        <v>44586</v>
      </c>
      <c r="E164" t="str">
        <f>"1655"</f>
        <v>1655</v>
      </c>
      <c r="F164" t="str">
        <f>"GUARDRAILS/GREEN VALLY DR/PCT1"</f>
        <v>GUARDRAILS/GREEN VALLY DR/PCT1</v>
      </c>
      <c r="G164" t="str">
        <f>"GUARDRAILS/GREEN VALLY DR/PCT1"</f>
        <v>GUARDRAILS/GREEN VALLY DR/PCT1</v>
      </c>
      <c r="H164" s="4">
        <v>5000</v>
      </c>
    </row>
    <row r="165" spans="1:8" x14ac:dyDescent="0.25">
      <c r="A165" t="s">
        <v>33</v>
      </c>
      <c r="B165">
        <v>138767</v>
      </c>
      <c r="C165" s="4">
        <v>825</v>
      </c>
      <c r="D165" s="5">
        <v>44585</v>
      </c>
      <c r="E165" t="str">
        <f>"13226 11/16/21"</f>
        <v>13226 11/16/21</v>
      </c>
      <c r="F165" t="str">
        <f t="shared" ref="F165:G177" si="9">"SERVICE"</f>
        <v>SERVICE</v>
      </c>
      <c r="G165" t="str">
        <f t="shared" si="9"/>
        <v>SERVICE</v>
      </c>
      <c r="H165" s="4">
        <v>20</v>
      </c>
    </row>
    <row r="166" spans="1:8" x14ac:dyDescent="0.25">
      <c r="E166" t="str">
        <f>"13226 11/30/21"</f>
        <v>13226 11/30/21</v>
      </c>
      <c r="F166" t="str">
        <f t="shared" si="9"/>
        <v>SERVICE</v>
      </c>
      <c r="G166" t="str">
        <f t="shared" si="9"/>
        <v>SERVICE</v>
      </c>
      <c r="H166" s="4">
        <v>131</v>
      </c>
    </row>
    <row r="167" spans="1:8" x14ac:dyDescent="0.25">
      <c r="E167" t="str">
        <f>"13289 11/23/21"</f>
        <v>13289 11/23/21</v>
      </c>
      <c r="F167" t="str">
        <f t="shared" si="9"/>
        <v>SERVICE</v>
      </c>
      <c r="G167" t="str">
        <f t="shared" si="9"/>
        <v>SERVICE</v>
      </c>
      <c r="H167" s="4">
        <v>33</v>
      </c>
    </row>
    <row r="168" spans="1:8" x14ac:dyDescent="0.25">
      <c r="E168" t="str">
        <f>"13313"</f>
        <v>13313</v>
      </c>
      <c r="F168" t="str">
        <f t="shared" si="9"/>
        <v>SERVICE</v>
      </c>
      <c r="G168" t="str">
        <f t="shared" si="9"/>
        <v>SERVICE</v>
      </c>
      <c r="H168" s="4">
        <v>75</v>
      </c>
    </row>
    <row r="169" spans="1:8" x14ac:dyDescent="0.25">
      <c r="E169" t="str">
        <f>"13510 11/22/21"</f>
        <v>13510 11/22/21</v>
      </c>
      <c r="F169" t="str">
        <f t="shared" si="9"/>
        <v>SERVICE</v>
      </c>
      <c r="G169" t="str">
        <f t="shared" si="9"/>
        <v>SERVICE</v>
      </c>
      <c r="H169" s="4">
        <v>25</v>
      </c>
    </row>
    <row r="170" spans="1:8" x14ac:dyDescent="0.25">
      <c r="E170" t="str">
        <f>"13610"</f>
        <v>13610</v>
      </c>
      <c r="F170" t="str">
        <f t="shared" si="9"/>
        <v>SERVICE</v>
      </c>
      <c r="G170" t="str">
        <f t="shared" si="9"/>
        <v>SERVICE</v>
      </c>
      <c r="H170" s="4">
        <v>75</v>
      </c>
    </row>
    <row r="171" spans="1:8" x14ac:dyDescent="0.25">
      <c r="E171" t="str">
        <f>"13666 11/29/21"</f>
        <v>13666 11/29/21</v>
      </c>
      <c r="F171" t="str">
        <f t="shared" si="9"/>
        <v>SERVICE</v>
      </c>
      <c r="G171" t="str">
        <f t="shared" si="9"/>
        <v>SERVICE</v>
      </c>
      <c r="H171" s="4">
        <v>38</v>
      </c>
    </row>
    <row r="172" spans="1:8" x14ac:dyDescent="0.25">
      <c r="E172" t="str">
        <f>"13707"</f>
        <v>13707</v>
      </c>
      <c r="F172" t="str">
        <f t="shared" si="9"/>
        <v>SERVICE</v>
      </c>
      <c r="G172" t="str">
        <f t="shared" si="9"/>
        <v>SERVICE</v>
      </c>
      <c r="H172" s="4">
        <v>75</v>
      </c>
    </row>
    <row r="173" spans="1:8" x14ac:dyDescent="0.25">
      <c r="E173" t="str">
        <f>"13747 11/15/21"</f>
        <v>13747 11/15/21</v>
      </c>
      <c r="F173" t="str">
        <f t="shared" si="9"/>
        <v>SERVICE</v>
      </c>
      <c r="G173" t="str">
        <f t="shared" si="9"/>
        <v>SERVICE</v>
      </c>
      <c r="H173" s="4">
        <v>53</v>
      </c>
    </row>
    <row r="174" spans="1:8" x14ac:dyDescent="0.25">
      <c r="E174" t="str">
        <f>"13782"</f>
        <v>13782</v>
      </c>
      <c r="F174" t="str">
        <f t="shared" si="9"/>
        <v>SERVICE</v>
      </c>
      <c r="G174" t="str">
        <f t="shared" si="9"/>
        <v>SERVICE</v>
      </c>
      <c r="H174" s="4">
        <v>75</v>
      </c>
    </row>
    <row r="175" spans="1:8" x14ac:dyDescent="0.25">
      <c r="E175" t="str">
        <f>"13808"</f>
        <v>13808</v>
      </c>
      <c r="F175" t="str">
        <f t="shared" si="9"/>
        <v>SERVICE</v>
      </c>
      <c r="G175" t="str">
        <f t="shared" si="9"/>
        <v>SERVICE</v>
      </c>
      <c r="H175" s="4">
        <v>75</v>
      </c>
    </row>
    <row r="176" spans="1:8" x14ac:dyDescent="0.25">
      <c r="E176" t="str">
        <f>"13819"</f>
        <v>13819</v>
      </c>
      <c r="F176" t="str">
        <f t="shared" si="9"/>
        <v>SERVICE</v>
      </c>
      <c r="G176" t="str">
        <f t="shared" si="9"/>
        <v>SERVICE</v>
      </c>
      <c r="H176" s="4">
        <v>75</v>
      </c>
    </row>
    <row r="177" spans="1:8" x14ac:dyDescent="0.25">
      <c r="E177" t="str">
        <f>"13826"</f>
        <v>13826</v>
      </c>
      <c r="F177" t="str">
        <f t="shared" si="9"/>
        <v>SERVICE</v>
      </c>
      <c r="G177" t="str">
        <f t="shared" si="9"/>
        <v>SERVICE</v>
      </c>
      <c r="H177" s="4">
        <v>75</v>
      </c>
    </row>
    <row r="178" spans="1:8" x14ac:dyDescent="0.25">
      <c r="A178" t="s">
        <v>34</v>
      </c>
      <c r="B178">
        <v>5711</v>
      </c>
      <c r="C178" s="4">
        <v>1314.92</v>
      </c>
      <c r="D178" s="5">
        <v>44586</v>
      </c>
      <c r="E178" t="str">
        <f>"202201138306"</f>
        <v>202201138306</v>
      </c>
      <c r="F178" t="str">
        <f>"ACCT#BC01"</f>
        <v>ACCT#BC01</v>
      </c>
      <c r="G178" t="str">
        <f>"ACCT#BC01"</f>
        <v>ACCT#BC01</v>
      </c>
      <c r="H178" s="4">
        <v>203.75</v>
      </c>
    </row>
    <row r="179" spans="1:8" x14ac:dyDescent="0.25">
      <c r="E179" t="str">
        <f>""</f>
        <v/>
      </c>
      <c r="F179" t="str">
        <f>""</f>
        <v/>
      </c>
      <c r="G179" t="str">
        <f>"ACCT#BC01"</f>
        <v>ACCT#BC01</v>
      </c>
      <c r="H179" s="4">
        <v>298.39</v>
      </c>
    </row>
    <row r="180" spans="1:8" x14ac:dyDescent="0.25">
      <c r="E180" t="str">
        <f>""</f>
        <v/>
      </c>
      <c r="F180" t="str">
        <f>""</f>
        <v/>
      </c>
      <c r="G180" t="str">
        <f>"ACCT#BC01"</f>
        <v>ACCT#BC01</v>
      </c>
      <c r="H180" s="4">
        <v>812.78</v>
      </c>
    </row>
    <row r="181" spans="1:8" x14ac:dyDescent="0.25">
      <c r="A181" t="s">
        <v>35</v>
      </c>
      <c r="B181">
        <v>5651</v>
      </c>
      <c r="C181" s="4">
        <v>163</v>
      </c>
      <c r="D181" s="5">
        <v>44572</v>
      </c>
      <c r="E181" t="str">
        <f>"202201048000"</f>
        <v>202201048000</v>
      </c>
      <c r="F181" t="str">
        <f>"VEHICLE REGISTRATION DEC 2021"</f>
        <v>VEHICLE REGISTRATION DEC 2021</v>
      </c>
      <c r="G181" t="str">
        <f>"VEHICLE REGISTRATION DEC 2021"</f>
        <v>VEHICLE REGISTRATION DEC 2021</v>
      </c>
      <c r="H181" s="4">
        <v>45</v>
      </c>
    </row>
    <row r="182" spans="1:8" x14ac:dyDescent="0.25">
      <c r="E182" t="str">
        <f>""</f>
        <v/>
      </c>
      <c r="F182" t="str">
        <f>""</f>
        <v/>
      </c>
      <c r="G182" t="str">
        <f>"VEHICLE REGISTRATION DEC 2021"</f>
        <v>VEHICLE REGISTRATION DEC 2021</v>
      </c>
      <c r="H182" s="4">
        <v>22</v>
      </c>
    </row>
    <row r="183" spans="1:8" x14ac:dyDescent="0.25">
      <c r="E183" t="str">
        <f>""</f>
        <v/>
      </c>
      <c r="F183" t="str">
        <f>""</f>
        <v/>
      </c>
      <c r="G183" t="str">
        <f>"VEHICLE REGISTRATION DEC 2021"</f>
        <v>VEHICLE REGISTRATION DEC 2021</v>
      </c>
      <c r="H183" s="4">
        <v>7.5</v>
      </c>
    </row>
    <row r="184" spans="1:8" x14ac:dyDescent="0.25">
      <c r="E184" t="str">
        <f>""</f>
        <v/>
      </c>
      <c r="F184" t="str">
        <f>""</f>
        <v/>
      </c>
      <c r="G184" t="str">
        <f>"VEHICLE REGISTRATION DEC 2021"</f>
        <v>VEHICLE REGISTRATION DEC 2021</v>
      </c>
      <c r="H184" s="4">
        <v>7.5</v>
      </c>
    </row>
    <row r="185" spans="1:8" x14ac:dyDescent="0.25">
      <c r="E185" t="str">
        <f>""</f>
        <v/>
      </c>
      <c r="F185" t="str">
        <f>""</f>
        <v/>
      </c>
      <c r="G185" t="str">
        <f>"VEHICLE REGISTRATION DEC 2021"</f>
        <v>VEHICLE REGISTRATION DEC 2021</v>
      </c>
      <c r="H185" s="4">
        <v>81</v>
      </c>
    </row>
    <row r="186" spans="1:8" x14ac:dyDescent="0.25">
      <c r="A186" t="s">
        <v>36</v>
      </c>
      <c r="B186">
        <v>5699</v>
      </c>
      <c r="C186" s="4">
        <v>22395.02</v>
      </c>
      <c r="D186" s="5">
        <v>44586</v>
      </c>
      <c r="E186" t="str">
        <f>"202201138314"</f>
        <v>202201138314</v>
      </c>
      <c r="F186" t="str">
        <f>"HOGG FOUNDATION GRANT"</f>
        <v>HOGG FOUNDATION GRANT</v>
      </c>
      <c r="G186" t="str">
        <f>"HOGG FOUNDATION GRANT"</f>
        <v>HOGG FOUNDATION GRANT</v>
      </c>
      <c r="H186" s="4">
        <v>17020.82</v>
      </c>
    </row>
    <row r="187" spans="1:8" x14ac:dyDescent="0.25">
      <c r="E187" t="str">
        <f>"202201188466"</f>
        <v>202201188466</v>
      </c>
      <c r="F187" t="str">
        <f>"HOME VISIT GRANT/ NOVEMBER 21"</f>
        <v>HOME VISIT GRANT/ NOVEMBER 21</v>
      </c>
      <c r="G187" t="str">
        <f>"HOME VISIT GRANT/ NOVEMBER 21"</f>
        <v>HOME VISIT GRANT/ NOVEMBER 21</v>
      </c>
      <c r="H187" s="4">
        <v>5374.2</v>
      </c>
    </row>
    <row r="188" spans="1:8" x14ac:dyDescent="0.25">
      <c r="A188" t="s">
        <v>37</v>
      </c>
      <c r="B188">
        <v>138582</v>
      </c>
      <c r="C188" s="4">
        <v>120</v>
      </c>
      <c r="D188" s="5">
        <v>44571</v>
      </c>
      <c r="E188" t="str">
        <f>"202201048060"</f>
        <v>202201048060</v>
      </c>
      <c r="F188" t="str">
        <f>"LPHCP RECORDING FEES/DEC"</f>
        <v>LPHCP RECORDING FEES/DEC</v>
      </c>
      <c r="G188" t="str">
        <f>"LPHCP RECORDING FEES/DEC"</f>
        <v>LPHCP RECORDING FEES/DEC</v>
      </c>
      <c r="H188" s="4">
        <v>120</v>
      </c>
    </row>
    <row r="189" spans="1:8" x14ac:dyDescent="0.25">
      <c r="A189" t="s">
        <v>38</v>
      </c>
      <c r="B189">
        <v>138768</v>
      </c>
      <c r="C189" s="4">
        <v>82017</v>
      </c>
      <c r="D189" s="5">
        <v>44585</v>
      </c>
      <c r="E189" t="str">
        <f>"1122BC"</f>
        <v>1122BC</v>
      </c>
      <c r="F189" t="str">
        <f>"COUNTY CONTRIBUTION/JUVENILE"</f>
        <v>COUNTY CONTRIBUTION/JUVENILE</v>
      </c>
      <c r="G189" t="str">
        <f>"COUNTY CONTRIBUTION/JUVENILE"</f>
        <v>COUNTY CONTRIBUTION/JUVENILE</v>
      </c>
      <c r="H189" s="4">
        <v>82017</v>
      </c>
    </row>
    <row r="190" spans="1:8" x14ac:dyDescent="0.25">
      <c r="A190" t="s">
        <v>39</v>
      </c>
      <c r="B190">
        <v>5676</v>
      </c>
      <c r="C190" s="4">
        <v>2510</v>
      </c>
      <c r="D190" s="5">
        <v>44586</v>
      </c>
      <c r="E190" t="str">
        <f>"20211269"</f>
        <v>20211269</v>
      </c>
      <c r="F190" t="str">
        <f>"TRANSPORT/KIMBERLY OLSON"</f>
        <v>TRANSPORT/KIMBERLY OLSON</v>
      </c>
      <c r="G190" t="str">
        <f>"TRANSPORT/KIMBERLY OLSON"</f>
        <v>TRANSPORT/KIMBERLY OLSON</v>
      </c>
      <c r="H190" s="4">
        <v>295</v>
      </c>
    </row>
    <row r="191" spans="1:8" x14ac:dyDescent="0.25">
      <c r="E191" t="str">
        <f>"20211273"</f>
        <v>20211273</v>
      </c>
      <c r="F191" t="str">
        <f>"TRANSPORT/BOBBY DORAN"</f>
        <v>TRANSPORT/BOBBY DORAN</v>
      </c>
      <c r="G191" t="str">
        <f>"TRANSPORT/BOBBY DORAN"</f>
        <v>TRANSPORT/BOBBY DORAN</v>
      </c>
      <c r="H191" s="4">
        <v>295</v>
      </c>
    </row>
    <row r="192" spans="1:8" x14ac:dyDescent="0.25">
      <c r="E192" t="str">
        <f>"2021267"</f>
        <v>2021267</v>
      </c>
      <c r="F192" t="str">
        <f>"TRANSPORT/JORDAN MCDONALD"</f>
        <v>TRANSPORT/JORDAN MCDONALD</v>
      </c>
      <c r="G192" t="str">
        <f>"TRANSPORT/JORDAN MCDONALD"</f>
        <v>TRANSPORT/JORDAN MCDONALD</v>
      </c>
      <c r="H192" s="4">
        <v>640</v>
      </c>
    </row>
    <row r="193" spans="1:8" x14ac:dyDescent="0.25">
      <c r="E193" t="str">
        <f>"2021271"</f>
        <v>2021271</v>
      </c>
      <c r="F193" t="str">
        <f>"TRANSPORT/DANA DENNEY"</f>
        <v>TRANSPORT/DANA DENNEY</v>
      </c>
      <c r="G193" t="str">
        <f>"TRANSPORT/DANA DENNEY"</f>
        <v>TRANSPORT/DANA DENNEY</v>
      </c>
      <c r="H193" s="4">
        <v>640</v>
      </c>
    </row>
    <row r="194" spans="1:8" x14ac:dyDescent="0.25">
      <c r="E194" t="str">
        <f>"2021279"</f>
        <v>2021279</v>
      </c>
      <c r="F194" t="str">
        <f>"TRANSPORT/M.MARTINEZ"</f>
        <v>TRANSPORT/M.MARTINEZ</v>
      </c>
      <c r="G194" t="str">
        <f>"TRANSPORT/M.MARTINEZ"</f>
        <v>TRANSPORT/M.MARTINEZ</v>
      </c>
      <c r="H194" s="4">
        <v>640</v>
      </c>
    </row>
    <row r="195" spans="1:8" x14ac:dyDescent="0.25">
      <c r="A195" t="s">
        <v>40</v>
      </c>
      <c r="B195">
        <v>138583</v>
      </c>
      <c r="C195" s="4">
        <v>179.75</v>
      </c>
      <c r="D195" s="5">
        <v>44571</v>
      </c>
      <c r="E195" t="str">
        <f>"1201301"</f>
        <v>1201301</v>
      </c>
      <c r="F195" t="str">
        <f>"INV 1201301"</f>
        <v>INV 1201301</v>
      </c>
      <c r="G195" t="str">
        <f>"INV 1201301"</f>
        <v>INV 1201301</v>
      </c>
      <c r="H195" s="4">
        <v>179.75</v>
      </c>
    </row>
    <row r="196" spans="1:8" x14ac:dyDescent="0.25">
      <c r="A196" t="s">
        <v>41</v>
      </c>
      <c r="B196">
        <v>5610</v>
      </c>
      <c r="C196" s="4">
        <v>1069.04</v>
      </c>
      <c r="D196" s="5">
        <v>44572</v>
      </c>
      <c r="E196" t="str">
        <f>"202201048075"</f>
        <v>202201048075</v>
      </c>
      <c r="F196" t="str">
        <f>"DECEMBER SERVICE"</f>
        <v>DECEMBER SERVICE</v>
      </c>
      <c r="G196" t="str">
        <f>"DECEMBER SER - LE"</f>
        <v>DECEMBER SER - LE</v>
      </c>
      <c r="H196" s="4">
        <v>631.54</v>
      </c>
    </row>
    <row r="197" spans="1:8" x14ac:dyDescent="0.25">
      <c r="E197" t="str">
        <f>""</f>
        <v/>
      </c>
      <c r="F197" t="str">
        <f>""</f>
        <v/>
      </c>
      <c r="G197" t="str">
        <f>"DECEMBER SER - JAIL"</f>
        <v>DECEMBER SER - JAIL</v>
      </c>
      <c r="H197" s="4">
        <v>437.5</v>
      </c>
    </row>
    <row r="198" spans="1:8" x14ac:dyDescent="0.25">
      <c r="A198" t="s">
        <v>42</v>
      </c>
      <c r="B198">
        <v>138584</v>
      </c>
      <c r="C198" s="4">
        <v>686</v>
      </c>
      <c r="D198" s="5">
        <v>44571</v>
      </c>
      <c r="E198" t="str">
        <f>"202201047995"</f>
        <v>202201047995</v>
      </c>
      <c r="F198" t="str">
        <f>"CAUSE#21CM15913"</f>
        <v>CAUSE#21CM15913</v>
      </c>
      <c r="G198" t="str">
        <f>"CAUSE#21CM15913"</f>
        <v>CAUSE#21CM15913</v>
      </c>
      <c r="H198" s="4">
        <v>686</v>
      </c>
    </row>
    <row r="199" spans="1:8" x14ac:dyDescent="0.25">
      <c r="A199" t="s">
        <v>42</v>
      </c>
      <c r="B199">
        <v>138769</v>
      </c>
      <c r="C199" s="4">
        <v>660</v>
      </c>
      <c r="D199" s="5">
        <v>44585</v>
      </c>
      <c r="E199" t="str">
        <f>"202201198513"</f>
        <v>202201198513</v>
      </c>
      <c r="F199" t="str">
        <f>"CASE#21MI15979"</f>
        <v>CASE#21MI15979</v>
      </c>
      <c r="G199" t="str">
        <f>"CASE#21MI15979"</f>
        <v>CASE#21MI15979</v>
      </c>
      <c r="H199" s="4">
        <v>660</v>
      </c>
    </row>
    <row r="200" spans="1:8" x14ac:dyDescent="0.25">
      <c r="A200" t="s">
        <v>43</v>
      </c>
      <c r="B200">
        <v>138585</v>
      </c>
      <c r="C200" s="4">
        <v>6552.57</v>
      </c>
      <c r="D200" s="5">
        <v>44571</v>
      </c>
      <c r="E200" t="str">
        <f>"76245020"</f>
        <v>76245020</v>
      </c>
      <c r="F200" t="str">
        <f>"INV 76245020  76253164  7"</f>
        <v>INV 76245020  76253164  7</v>
      </c>
      <c r="G200" t="str">
        <f>"INV 76245020"</f>
        <v>INV 76245020</v>
      </c>
      <c r="H200" s="4">
        <v>1350.46</v>
      </c>
    </row>
    <row r="201" spans="1:8" x14ac:dyDescent="0.25">
      <c r="E201" t="str">
        <f>""</f>
        <v/>
      </c>
      <c r="F201" t="str">
        <f>""</f>
        <v/>
      </c>
      <c r="G201" t="str">
        <f>"INV 76253164"</f>
        <v>INV 76253164</v>
      </c>
      <c r="H201" s="4">
        <v>3317.28</v>
      </c>
    </row>
    <row r="202" spans="1:8" x14ac:dyDescent="0.25">
      <c r="E202" t="str">
        <f>""</f>
        <v/>
      </c>
      <c r="F202" t="str">
        <f>""</f>
        <v/>
      </c>
      <c r="G202" t="str">
        <f>"INV 76262139"</f>
        <v>INV 76262139</v>
      </c>
      <c r="H202" s="4">
        <v>1884.83</v>
      </c>
    </row>
    <row r="203" spans="1:8" x14ac:dyDescent="0.25">
      <c r="A203" t="s">
        <v>43</v>
      </c>
      <c r="B203">
        <v>138770</v>
      </c>
      <c r="C203" s="4">
        <v>4230.28</v>
      </c>
      <c r="D203" s="5">
        <v>44585</v>
      </c>
      <c r="E203" t="str">
        <f>"76270257"</f>
        <v>76270257</v>
      </c>
      <c r="F203" t="str">
        <f>"INV 76270257"</f>
        <v>INV 76270257</v>
      </c>
      <c r="G203" t="str">
        <f>"INV 76270257"</f>
        <v>INV 76270257</v>
      </c>
      <c r="H203" s="4">
        <v>3318.7</v>
      </c>
    </row>
    <row r="204" spans="1:8" x14ac:dyDescent="0.25">
      <c r="E204" t="str">
        <f>""</f>
        <v/>
      </c>
      <c r="F204" t="str">
        <f>""</f>
        <v/>
      </c>
      <c r="G204" t="str">
        <f>"INV 76279249"</f>
        <v>INV 76279249</v>
      </c>
      <c r="H204" s="4">
        <v>911.58</v>
      </c>
    </row>
    <row r="205" spans="1:8" x14ac:dyDescent="0.25">
      <c r="A205" t="s">
        <v>44</v>
      </c>
      <c r="B205">
        <v>138771</v>
      </c>
      <c r="C205" s="4">
        <v>407.87</v>
      </c>
      <c r="D205" s="5">
        <v>44585</v>
      </c>
      <c r="E205" t="str">
        <f>"202201138444"</f>
        <v>202201138444</v>
      </c>
      <c r="F205" t="str">
        <f>"ACCT#7110/PCT#3"</f>
        <v>ACCT#7110/PCT#3</v>
      </c>
      <c r="G205" t="str">
        <f>"ACCT#7110/PCT#3"</f>
        <v>ACCT#7110/PCT#3</v>
      </c>
      <c r="H205" s="4">
        <v>407.87</v>
      </c>
    </row>
    <row r="206" spans="1:8" x14ac:dyDescent="0.25">
      <c r="A206" t="s">
        <v>45</v>
      </c>
      <c r="B206">
        <v>5652</v>
      </c>
      <c r="C206" s="4">
        <v>3301.84</v>
      </c>
      <c r="D206" s="5">
        <v>44572</v>
      </c>
      <c r="E206" t="str">
        <f>"25608"</f>
        <v>25608</v>
      </c>
      <c r="F206" t="str">
        <f>"INV 25608"</f>
        <v>INV 25608</v>
      </c>
      <c r="G206" t="str">
        <f>"INV 25608"</f>
        <v>INV 25608</v>
      </c>
      <c r="H206" s="4">
        <v>3301.84</v>
      </c>
    </row>
    <row r="207" spans="1:8" x14ac:dyDescent="0.25">
      <c r="A207" t="s">
        <v>46</v>
      </c>
      <c r="B207">
        <v>138586</v>
      </c>
      <c r="C207" s="4">
        <v>17514.18</v>
      </c>
      <c r="D207" s="5">
        <v>44571</v>
      </c>
      <c r="E207" t="str">
        <f>"51287035"</f>
        <v>51287035</v>
      </c>
      <c r="F207" t="str">
        <f>"CUST#C27745/PCT#1"</f>
        <v>CUST#C27745/PCT#1</v>
      </c>
      <c r="G207" t="str">
        <f>"CUST#C27745/PCT#1"</f>
        <v>CUST#C27745/PCT#1</v>
      </c>
      <c r="H207" s="4">
        <v>844.38</v>
      </c>
    </row>
    <row r="208" spans="1:8" x14ac:dyDescent="0.25">
      <c r="E208" t="str">
        <f>"51287883"</f>
        <v>51287883</v>
      </c>
      <c r="F208" t="str">
        <f>"CUST#C27745/PCT#1"</f>
        <v>CUST#C27745/PCT#1</v>
      </c>
      <c r="G208" t="str">
        <f>"CUST#C27745/PCT#1"</f>
        <v>CUST#C27745/PCT#1</v>
      </c>
      <c r="H208" s="4">
        <v>338.31</v>
      </c>
    </row>
    <row r="209" spans="1:8" x14ac:dyDescent="0.25">
      <c r="E209" t="str">
        <f>"51287890"</f>
        <v>51287890</v>
      </c>
      <c r="F209" t="str">
        <f t="shared" ref="F209:G213" si="10">"CUST#C27986/PCT#4"</f>
        <v>CUST#C27986/PCT#4</v>
      </c>
      <c r="G209" t="str">
        <f t="shared" si="10"/>
        <v>CUST#C27986/PCT#4</v>
      </c>
      <c r="H209" s="4">
        <v>142.74</v>
      </c>
    </row>
    <row r="210" spans="1:8" x14ac:dyDescent="0.25">
      <c r="E210" t="str">
        <f>"51287891"</f>
        <v>51287891</v>
      </c>
      <c r="F210" t="str">
        <f t="shared" si="10"/>
        <v>CUST#C27986/PCT#4</v>
      </c>
      <c r="G210" t="str">
        <f t="shared" si="10"/>
        <v>CUST#C27986/PCT#4</v>
      </c>
      <c r="H210" s="4">
        <v>3793.59</v>
      </c>
    </row>
    <row r="211" spans="1:8" x14ac:dyDescent="0.25">
      <c r="E211" t="str">
        <f>"51287892"</f>
        <v>51287892</v>
      </c>
      <c r="F211" t="str">
        <f t="shared" si="10"/>
        <v>CUST#C27986/PCT#4</v>
      </c>
      <c r="G211" t="str">
        <f t="shared" si="10"/>
        <v>CUST#C27986/PCT#4</v>
      </c>
      <c r="H211" s="4">
        <v>134.55000000000001</v>
      </c>
    </row>
    <row r="212" spans="1:8" x14ac:dyDescent="0.25">
      <c r="E212" t="str">
        <f>"51288451"</f>
        <v>51288451</v>
      </c>
      <c r="F212" t="str">
        <f t="shared" si="10"/>
        <v>CUST#C27986/PCT#4</v>
      </c>
      <c r="G212" t="str">
        <f t="shared" si="10"/>
        <v>CUST#C27986/PCT#4</v>
      </c>
      <c r="H212" s="4">
        <v>5936.94</v>
      </c>
    </row>
    <row r="213" spans="1:8" x14ac:dyDescent="0.25">
      <c r="E213" t="str">
        <f>"51288936"</f>
        <v>51288936</v>
      </c>
      <c r="F213" t="str">
        <f t="shared" si="10"/>
        <v>CUST#C27986/PCT#4</v>
      </c>
      <c r="G213" t="str">
        <f t="shared" si="10"/>
        <v>CUST#C27986/PCT#4</v>
      </c>
      <c r="H213" s="4">
        <v>6323.67</v>
      </c>
    </row>
    <row r="214" spans="1:8" x14ac:dyDescent="0.25">
      <c r="A214" t="s">
        <v>47</v>
      </c>
      <c r="B214">
        <v>5693</v>
      </c>
      <c r="C214" s="4">
        <v>2322</v>
      </c>
      <c r="D214" s="5">
        <v>44586</v>
      </c>
      <c r="E214" t="str">
        <f>"6575"</f>
        <v>6575</v>
      </c>
      <c r="F214" t="str">
        <f>"2012 FRIGHTLINER/PCT#4"</f>
        <v>2012 FRIGHTLINER/PCT#4</v>
      </c>
      <c r="G214" t="str">
        <f>"2012 FRIGHTLINER/PCT#4"</f>
        <v>2012 FRIGHTLINER/PCT#4</v>
      </c>
      <c r="H214" s="4">
        <v>525</v>
      </c>
    </row>
    <row r="215" spans="1:8" x14ac:dyDescent="0.25">
      <c r="E215" t="str">
        <f>"6613"</f>
        <v>6613</v>
      </c>
      <c r="F215" t="str">
        <f>"WATER TRUCK/PCT#4"</f>
        <v>WATER TRUCK/PCT#4</v>
      </c>
      <c r="G215" t="str">
        <f>"WATER TRUCK/PCT#4"</f>
        <v>WATER TRUCK/PCT#4</v>
      </c>
      <c r="H215" s="4">
        <v>230</v>
      </c>
    </row>
    <row r="216" spans="1:8" x14ac:dyDescent="0.25">
      <c r="E216" t="str">
        <f>"6625"</f>
        <v>6625</v>
      </c>
      <c r="F216" t="str">
        <f>"2018 FRIGHTLINER/PCT#4"</f>
        <v>2018 FRIGHTLINER/PCT#4</v>
      </c>
      <c r="G216" t="str">
        <f>"2018 FRIGHTLINER/PCT#4"</f>
        <v>2018 FRIGHTLINER/PCT#4</v>
      </c>
      <c r="H216" s="4">
        <v>1567</v>
      </c>
    </row>
    <row r="217" spans="1:8" x14ac:dyDescent="0.25">
      <c r="A217" t="s">
        <v>48</v>
      </c>
      <c r="B217">
        <v>5671</v>
      </c>
      <c r="C217" s="4">
        <v>300</v>
      </c>
      <c r="D217" s="5">
        <v>44586</v>
      </c>
      <c r="E217" t="str">
        <f>"22001"</f>
        <v>22001</v>
      </c>
      <c r="F217" t="str">
        <f>"CASE 423-8268"</f>
        <v>CASE 423-8268</v>
      </c>
      <c r="G217" t="str">
        <f>"CASE 423-8268"</f>
        <v>CASE 423-8268</v>
      </c>
      <c r="H217" s="4">
        <v>300</v>
      </c>
    </row>
    <row r="218" spans="1:8" x14ac:dyDescent="0.25">
      <c r="A218" t="s">
        <v>49</v>
      </c>
      <c r="B218">
        <v>138587</v>
      </c>
      <c r="C218" s="4">
        <v>758.64</v>
      </c>
      <c r="D218" s="5">
        <v>44571</v>
      </c>
      <c r="E218" t="str">
        <f>"84048401682"</f>
        <v>84048401682</v>
      </c>
      <c r="F218" t="str">
        <f>"INV 84048401682  84048401"</f>
        <v>INV 84048401682  84048401</v>
      </c>
      <c r="G218" t="str">
        <f>"INV 84048401682"</f>
        <v>INV 84048401682</v>
      </c>
      <c r="H218" s="4">
        <v>332.52</v>
      </c>
    </row>
    <row r="219" spans="1:8" x14ac:dyDescent="0.25">
      <c r="E219" t="str">
        <f>""</f>
        <v/>
      </c>
      <c r="F219" t="str">
        <f>""</f>
        <v/>
      </c>
      <c r="G219" t="str">
        <f>"INV 84048401749"</f>
        <v>INV 84048401749</v>
      </c>
      <c r="H219" s="4">
        <v>313.8</v>
      </c>
    </row>
    <row r="220" spans="1:8" x14ac:dyDescent="0.25">
      <c r="E220" t="str">
        <f>""</f>
        <v/>
      </c>
      <c r="F220" t="str">
        <f>""</f>
        <v/>
      </c>
      <c r="G220" t="str">
        <f>"INV 84048401827"</f>
        <v>INV 84048401827</v>
      </c>
      <c r="H220" s="4">
        <v>112.32</v>
      </c>
    </row>
    <row r="221" spans="1:8" x14ac:dyDescent="0.25">
      <c r="A221" t="s">
        <v>49</v>
      </c>
      <c r="B221">
        <v>138772</v>
      </c>
      <c r="C221" s="4">
        <v>660.12</v>
      </c>
      <c r="D221" s="5">
        <v>44585</v>
      </c>
      <c r="E221" t="str">
        <f>"8404840186"</f>
        <v>8404840186</v>
      </c>
      <c r="F221" t="str">
        <f>"INV 84048401865"</f>
        <v>INV 84048401865</v>
      </c>
      <c r="G221" t="str">
        <f>"INV 84048401865"</f>
        <v>INV 84048401865</v>
      </c>
      <c r="H221" s="4">
        <v>355.68</v>
      </c>
    </row>
    <row r="222" spans="1:8" x14ac:dyDescent="0.25">
      <c r="E222" t="str">
        <f>""</f>
        <v/>
      </c>
      <c r="F222" t="str">
        <f>""</f>
        <v/>
      </c>
      <c r="G222" t="str">
        <f>"INV 84048401920"</f>
        <v>INV 84048401920</v>
      </c>
      <c r="H222" s="4">
        <v>304.44</v>
      </c>
    </row>
    <row r="223" spans="1:8" x14ac:dyDescent="0.25">
      <c r="A223" t="s">
        <v>50</v>
      </c>
      <c r="B223">
        <v>5689</v>
      </c>
      <c r="C223" s="4">
        <v>2500</v>
      </c>
      <c r="D223" s="5">
        <v>44586</v>
      </c>
      <c r="E223" t="str">
        <f>"202201138334"</f>
        <v>202201138334</v>
      </c>
      <c r="F223" t="str">
        <f>"57-649"</f>
        <v>57-649</v>
      </c>
      <c r="G223" t="str">
        <f>"57-649"</f>
        <v>57-649</v>
      </c>
      <c r="H223" s="4">
        <v>250</v>
      </c>
    </row>
    <row r="224" spans="1:8" x14ac:dyDescent="0.25">
      <c r="E224" t="str">
        <f>"202201138335"</f>
        <v>202201138335</v>
      </c>
      <c r="F224" t="str">
        <f>"57-826"</f>
        <v>57-826</v>
      </c>
      <c r="G224" t="str">
        <f>"57-826"</f>
        <v>57-826</v>
      </c>
      <c r="H224" s="4">
        <v>250</v>
      </c>
    </row>
    <row r="225" spans="1:8" x14ac:dyDescent="0.25">
      <c r="E225" t="str">
        <f>"202201138336"</f>
        <v>202201138336</v>
      </c>
      <c r="F225" t="str">
        <f>"4061121-7/4061121-6"</f>
        <v>4061121-7/4061121-6</v>
      </c>
      <c r="G225" t="str">
        <f>"4061121-7/4061121-6"</f>
        <v>4061121-7/4061121-6</v>
      </c>
      <c r="H225" s="4">
        <v>375</v>
      </c>
    </row>
    <row r="226" spans="1:8" x14ac:dyDescent="0.25">
      <c r="E226" t="str">
        <f>"202201138340"</f>
        <v>202201138340</v>
      </c>
      <c r="F226" t="str">
        <f>"57-951"</f>
        <v>57-951</v>
      </c>
      <c r="G226" t="str">
        <f>"57-951"</f>
        <v>57-951</v>
      </c>
      <c r="H226" s="4">
        <v>250</v>
      </c>
    </row>
    <row r="227" spans="1:8" x14ac:dyDescent="0.25">
      <c r="E227" t="str">
        <f>"202201138341"</f>
        <v>202201138341</v>
      </c>
      <c r="F227" t="str">
        <f>"57-841"</f>
        <v>57-841</v>
      </c>
      <c r="G227" t="str">
        <f>"57-841"</f>
        <v>57-841</v>
      </c>
      <c r="H227" s="4">
        <v>250</v>
      </c>
    </row>
    <row r="228" spans="1:8" x14ac:dyDescent="0.25">
      <c r="E228" t="str">
        <f>"202201138342"</f>
        <v>202201138342</v>
      </c>
      <c r="F228" t="str">
        <f>"57-670"</f>
        <v>57-670</v>
      </c>
      <c r="G228" t="str">
        <f>"57-670"</f>
        <v>57-670</v>
      </c>
      <c r="H228" s="4">
        <v>250</v>
      </c>
    </row>
    <row r="229" spans="1:8" x14ac:dyDescent="0.25">
      <c r="E229" t="str">
        <f>"202201138343"</f>
        <v>202201138343</v>
      </c>
      <c r="F229" t="str">
        <f>"58-006"</f>
        <v>58-006</v>
      </c>
      <c r="G229" t="str">
        <f>"58-006"</f>
        <v>58-006</v>
      </c>
      <c r="H229" s="4">
        <v>250</v>
      </c>
    </row>
    <row r="230" spans="1:8" x14ac:dyDescent="0.25">
      <c r="E230" t="str">
        <f>"202201138344"</f>
        <v>202201138344</v>
      </c>
      <c r="F230" t="str">
        <f>"57-394"</f>
        <v>57-394</v>
      </c>
      <c r="G230" t="str">
        <f>"57-394"</f>
        <v>57-394</v>
      </c>
      <c r="H230" s="4">
        <v>250</v>
      </c>
    </row>
    <row r="231" spans="1:8" x14ac:dyDescent="0.25">
      <c r="E231" t="str">
        <f>"202201138345"</f>
        <v>202201138345</v>
      </c>
      <c r="F231" t="str">
        <f>"57-634/58-143"</f>
        <v>57-634/58-143</v>
      </c>
      <c r="G231" t="str">
        <f>"57-634/58-143"</f>
        <v>57-634/58-143</v>
      </c>
      <c r="H231" s="4">
        <v>375</v>
      </c>
    </row>
    <row r="232" spans="1:8" x14ac:dyDescent="0.25">
      <c r="A232" t="s">
        <v>51</v>
      </c>
      <c r="B232">
        <v>138755</v>
      </c>
      <c r="C232" s="4">
        <v>2974.54</v>
      </c>
      <c r="D232" s="5">
        <v>44575</v>
      </c>
      <c r="E232" t="str">
        <f>"202201138352"</f>
        <v>202201138352</v>
      </c>
      <c r="F232" t="str">
        <f>"ACCT#5000057374 / 01042022"</f>
        <v>ACCT#5000057374 / 01042022</v>
      </c>
      <c r="G232" t="str">
        <f>"ACCT#5000057374 / 01042022"</f>
        <v>ACCT#5000057374 / 01042022</v>
      </c>
      <c r="H232" s="4">
        <v>817.78</v>
      </c>
    </row>
    <row r="233" spans="1:8" x14ac:dyDescent="0.25">
      <c r="E233" t="str">
        <f>""</f>
        <v/>
      </c>
      <c r="F233" t="str">
        <f>""</f>
        <v/>
      </c>
      <c r="G233" t="str">
        <f>"ACCT#5000057374 / 01042022"</f>
        <v>ACCT#5000057374 / 01042022</v>
      </c>
      <c r="H233" s="4">
        <v>1453.88</v>
      </c>
    </row>
    <row r="234" spans="1:8" x14ac:dyDescent="0.25">
      <c r="E234" t="str">
        <f>""</f>
        <v/>
      </c>
      <c r="F234" t="str">
        <f>""</f>
        <v/>
      </c>
      <c r="G234" t="str">
        <f>"ACCT#5000057374 / 01042022"</f>
        <v>ACCT#5000057374 / 01042022</v>
      </c>
      <c r="H234" s="4">
        <v>252.34</v>
      </c>
    </row>
    <row r="235" spans="1:8" x14ac:dyDescent="0.25">
      <c r="E235" t="str">
        <f>""</f>
        <v/>
      </c>
      <c r="F235" t="str">
        <f>""</f>
        <v/>
      </c>
      <c r="G235" t="str">
        <f>"ACCT#5000057374 / 01042022"</f>
        <v>ACCT#5000057374 / 01042022</v>
      </c>
      <c r="H235" s="4">
        <v>320.7</v>
      </c>
    </row>
    <row r="236" spans="1:8" x14ac:dyDescent="0.25">
      <c r="E236" t="str">
        <f>"202201138364"</f>
        <v>202201138364</v>
      </c>
      <c r="F236" t="str">
        <f>"ACCT#5500090397 / 01032022"</f>
        <v>ACCT#5500090397 / 01032022</v>
      </c>
      <c r="G236" t="str">
        <f>"ACCT#5500090397 / 01032022"</f>
        <v>ACCT#5500090397 / 01032022</v>
      </c>
      <c r="H236" s="4">
        <v>129.84</v>
      </c>
    </row>
    <row r="237" spans="1:8" x14ac:dyDescent="0.25">
      <c r="A237" t="s">
        <v>52</v>
      </c>
      <c r="B237">
        <v>5731</v>
      </c>
      <c r="C237" s="4">
        <v>23050.400000000001</v>
      </c>
      <c r="D237" s="5">
        <v>44586</v>
      </c>
      <c r="E237" t="str">
        <f>"202201188467"</f>
        <v>202201188467</v>
      </c>
      <c r="F237" t="str">
        <f>"HOME VISIT GRANT/"</f>
        <v>HOME VISIT GRANT/</v>
      </c>
      <c r="G237" t="str">
        <f>"HOME VISIT GRANT/"</f>
        <v>HOME VISIT GRANT/</v>
      </c>
      <c r="H237" s="4">
        <v>22100.400000000001</v>
      </c>
    </row>
    <row r="238" spans="1:8" x14ac:dyDescent="0.25">
      <c r="E238" t="str">
        <f>"25122021"</f>
        <v>25122021</v>
      </c>
      <c r="F238" t="str">
        <f>"INV 25122021"</f>
        <v>INV 25122021</v>
      </c>
      <c r="G238" t="str">
        <f>"INV 25122021"</f>
        <v>INV 25122021</v>
      </c>
      <c r="H238" s="4">
        <v>950</v>
      </c>
    </row>
    <row r="239" spans="1:8" x14ac:dyDescent="0.25">
      <c r="A239" t="s">
        <v>53</v>
      </c>
      <c r="B239">
        <v>138588</v>
      </c>
      <c r="C239" s="4">
        <v>2100.64</v>
      </c>
      <c r="D239" s="5">
        <v>44571</v>
      </c>
      <c r="E239" t="str">
        <f>"13802952"</f>
        <v>13802952</v>
      </c>
      <c r="F239" t="str">
        <f t="shared" ref="F239:G241" si="11">"CUST#300362/ANIMAL SHELTER"</f>
        <v>CUST#300362/ANIMAL SHELTER</v>
      </c>
      <c r="G239" t="str">
        <f t="shared" si="11"/>
        <v>CUST#300362/ANIMAL SHELTER</v>
      </c>
      <c r="H239" s="4">
        <v>1181.2</v>
      </c>
    </row>
    <row r="240" spans="1:8" x14ac:dyDescent="0.25">
      <c r="E240" t="str">
        <f>"13816221"</f>
        <v>13816221</v>
      </c>
      <c r="F240" t="str">
        <f t="shared" si="11"/>
        <v>CUST#300362/ANIMAL SHELTER</v>
      </c>
      <c r="G240" t="str">
        <f t="shared" si="11"/>
        <v>CUST#300362/ANIMAL SHELTER</v>
      </c>
      <c r="H240" s="4">
        <v>919.44</v>
      </c>
    </row>
    <row r="241" spans="1:8" x14ac:dyDescent="0.25">
      <c r="A241" t="s">
        <v>53</v>
      </c>
      <c r="B241">
        <v>138773</v>
      </c>
      <c r="C241" s="4">
        <v>999.28</v>
      </c>
      <c r="D241" s="5">
        <v>44585</v>
      </c>
      <c r="E241" t="str">
        <f>"13952122"</f>
        <v>13952122</v>
      </c>
      <c r="F241" t="str">
        <f t="shared" si="11"/>
        <v>CUST#300362/ANIMAL SHELTER</v>
      </c>
      <c r="G241" t="str">
        <f t="shared" si="11"/>
        <v>CUST#300362/ANIMAL SHELTER</v>
      </c>
      <c r="H241" s="4">
        <v>999.28</v>
      </c>
    </row>
    <row r="242" spans="1:8" x14ac:dyDescent="0.25">
      <c r="A242" t="s">
        <v>54</v>
      </c>
      <c r="B242">
        <v>138589</v>
      </c>
      <c r="C242" s="4">
        <v>2658.75</v>
      </c>
      <c r="D242" s="5">
        <v>44571</v>
      </c>
      <c r="E242" t="str">
        <f>"1475"</f>
        <v>1475</v>
      </c>
      <c r="F242" t="str">
        <f>"CAUSE#G-341"</f>
        <v>CAUSE#G-341</v>
      </c>
      <c r="G242" t="str">
        <f>"CAUSE#G-341"</f>
        <v>CAUSE#G-341</v>
      </c>
      <c r="H242" s="4">
        <v>2658.75</v>
      </c>
    </row>
    <row r="243" spans="1:8" x14ac:dyDescent="0.25">
      <c r="A243" t="s">
        <v>55</v>
      </c>
      <c r="B243">
        <v>138774</v>
      </c>
      <c r="C243" s="4">
        <v>25</v>
      </c>
      <c r="D243" s="5">
        <v>44585</v>
      </c>
      <c r="E243" t="str">
        <f>"202201198496"</f>
        <v>202201198496</v>
      </c>
      <c r="F243" t="str">
        <f>"REIMBURSE/BRADLEY KLAUS"</f>
        <v>REIMBURSE/BRADLEY KLAUS</v>
      </c>
      <c r="G243" t="str">
        <f>"REIMBURSE/BRADLEY KLAUS"</f>
        <v>REIMBURSE/BRADLEY KLAUS</v>
      </c>
      <c r="H243" s="4">
        <v>25</v>
      </c>
    </row>
    <row r="244" spans="1:8" x14ac:dyDescent="0.25">
      <c r="A244" t="s">
        <v>56</v>
      </c>
      <c r="B244">
        <v>138590</v>
      </c>
      <c r="C244" s="4">
        <v>2338.37</v>
      </c>
      <c r="D244" s="5">
        <v>44571</v>
      </c>
      <c r="E244" t="str">
        <f>"130907"</f>
        <v>130907</v>
      </c>
      <c r="F244" t="str">
        <f t="shared" ref="F244:G246" si="12">"ACCT#1268/PCT#3"</f>
        <v>ACCT#1268/PCT#3</v>
      </c>
      <c r="G244" t="str">
        <f t="shared" si="12"/>
        <v>ACCT#1268/PCT#3</v>
      </c>
      <c r="H244" s="4">
        <v>1373.31</v>
      </c>
    </row>
    <row r="245" spans="1:8" x14ac:dyDescent="0.25">
      <c r="E245" t="str">
        <f>"131109"</f>
        <v>131109</v>
      </c>
      <c r="F245" t="str">
        <f t="shared" si="12"/>
        <v>ACCT#1268/PCT#3</v>
      </c>
      <c r="G245" t="str">
        <f t="shared" si="12"/>
        <v>ACCT#1268/PCT#3</v>
      </c>
      <c r="H245" s="4">
        <v>965.06</v>
      </c>
    </row>
    <row r="246" spans="1:8" x14ac:dyDescent="0.25">
      <c r="A246" t="s">
        <v>56</v>
      </c>
      <c r="B246">
        <v>138775</v>
      </c>
      <c r="C246" s="4">
        <v>3918.61</v>
      </c>
      <c r="D246" s="5">
        <v>44585</v>
      </c>
      <c r="E246" t="str">
        <f>"131535"</f>
        <v>131535</v>
      </c>
      <c r="F246" t="str">
        <f t="shared" si="12"/>
        <v>ACCT#1268/PCT#3</v>
      </c>
      <c r="G246" t="str">
        <f t="shared" si="12"/>
        <v>ACCT#1268/PCT#3</v>
      </c>
      <c r="H246" s="4">
        <v>3918.61</v>
      </c>
    </row>
    <row r="247" spans="1:8" x14ac:dyDescent="0.25">
      <c r="A247" t="s">
        <v>57</v>
      </c>
      <c r="B247">
        <v>5734</v>
      </c>
      <c r="C247" s="4">
        <v>250</v>
      </c>
      <c r="D247" s="5">
        <v>44586</v>
      </c>
      <c r="E247" t="str">
        <f>"202201138326"</f>
        <v>202201138326</v>
      </c>
      <c r="F247" t="str">
        <f>"CM2019117-D"</f>
        <v>CM2019117-D</v>
      </c>
      <c r="G247" t="str">
        <f>"CM2019117-D"</f>
        <v>CM2019117-D</v>
      </c>
      <c r="H247" s="4">
        <v>250</v>
      </c>
    </row>
    <row r="248" spans="1:8" x14ac:dyDescent="0.25">
      <c r="A248" t="s">
        <v>58</v>
      </c>
      <c r="B248">
        <v>138591</v>
      </c>
      <c r="C248" s="4">
        <v>30</v>
      </c>
      <c r="D248" s="5">
        <v>44571</v>
      </c>
      <c r="E248" t="str">
        <f>"21-21067"</f>
        <v>21-21067</v>
      </c>
      <c r="F248" t="str">
        <f>"CAR FUND"</f>
        <v>CAR FUND</v>
      </c>
      <c r="G248" t="str">
        <f>"CAR FUND"</f>
        <v>CAR FUND</v>
      </c>
      <c r="H248" s="4">
        <v>15</v>
      </c>
    </row>
    <row r="249" spans="1:8" x14ac:dyDescent="0.25">
      <c r="E249" t="str">
        <f>"21-21068"</f>
        <v>21-21068</v>
      </c>
      <c r="F249" t="str">
        <f>"CENTERAL ADOPTION FUND"</f>
        <v>CENTERAL ADOPTION FUND</v>
      </c>
      <c r="G249" t="str">
        <f>"CENTERAL ADOPTION FUND"</f>
        <v>CENTERAL ADOPTION FUND</v>
      </c>
      <c r="H249" s="4">
        <v>15</v>
      </c>
    </row>
    <row r="250" spans="1:8" x14ac:dyDescent="0.25">
      <c r="A250" t="s">
        <v>58</v>
      </c>
      <c r="B250">
        <v>138776</v>
      </c>
      <c r="C250" s="4">
        <v>15</v>
      </c>
      <c r="D250" s="5">
        <v>44585</v>
      </c>
      <c r="E250" t="str">
        <f>"202201188463"</f>
        <v>202201188463</v>
      </c>
      <c r="F250" t="str">
        <f>"21-21071/CENTRAL ADOPTION"</f>
        <v>21-21071/CENTRAL ADOPTION</v>
      </c>
      <c r="G250" t="str">
        <f>"21-21071/CENTRAL ADOPTION"</f>
        <v>21-21071/CENTRAL ADOPTION</v>
      </c>
      <c r="H250" s="4">
        <v>15</v>
      </c>
    </row>
    <row r="251" spans="1:8" x14ac:dyDescent="0.25">
      <c r="A251" t="s">
        <v>59</v>
      </c>
      <c r="B251">
        <v>1541</v>
      </c>
      <c r="C251" s="4">
        <v>2751.11</v>
      </c>
      <c r="D251" s="5">
        <v>44571</v>
      </c>
      <c r="E251" t="str">
        <f>"202201048133"</f>
        <v>202201048133</v>
      </c>
      <c r="F251" t="str">
        <f>"Mastercard"</f>
        <v>Mastercard</v>
      </c>
      <c r="G251" t="str">
        <f>"the branding shop"</f>
        <v>the branding shop</v>
      </c>
      <c r="H251" s="4">
        <v>15</v>
      </c>
    </row>
    <row r="252" spans="1:8" x14ac:dyDescent="0.25">
      <c r="E252" t="str">
        <f>""</f>
        <v/>
      </c>
      <c r="F252" t="str">
        <f>""</f>
        <v/>
      </c>
      <c r="G252" t="str">
        <f>"the branding shop"</f>
        <v>the branding shop</v>
      </c>
      <c r="H252" s="4">
        <v>60</v>
      </c>
    </row>
    <row r="253" spans="1:8" x14ac:dyDescent="0.25">
      <c r="E253" t="str">
        <f>""</f>
        <v/>
      </c>
      <c r="F253" t="str">
        <f>""</f>
        <v/>
      </c>
      <c r="G253" t="str">
        <f>"emat"</f>
        <v>emat</v>
      </c>
      <c r="H253" s="4">
        <v>150</v>
      </c>
    </row>
    <row r="254" spans="1:8" x14ac:dyDescent="0.25">
      <c r="E254" t="str">
        <f>""</f>
        <v/>
      </c>
      <c r="F254" t="str">
        <f>""</f>
        <v/>
      </c>
      <c r="G254" t="str">
        <f>"home depot"</f>
        <v>home depot</v>
      </c>
      <c r="H254" s="4">
        <v>25.73</v>
      </c>
    </row>
    <row r="255" spans="1:8" x14ac:dyDescent="0.25">
      <c r="E255" t="str">
        <f>""</f>
        <v/>
      </c>
      <c r="F255" t="str">
        <f>""</f>
        <v/>
      </c>
      <c r="G255" t="str">
        <f>"qt"</f>
        <v>qt</v>
      </c>
      <c r="H255" s="4">
        <v>64.03</v>
      </c>
    </row>
    <row r="256" spans="1:8" x14ac:dyDescent="0.25">
      <c r="E256" t="str">
        <f>""</f>
        <v/>
      </c>
      <c r="F256" t="str">
        <f>""</f>
        <v/>
      </c>
      <c r="G256" t="str">
        <f>"fwb"</f>
        <v>fwb</v>
      </c>
      <c r="H256" s="4">
        <v>18</v>
      </c>
    </row>
    <row r="257" spans="1:8" x14ac:dyDescent="0.25">
      <c r="E257" t="str">
        <f>""</f>
        <v/>
      </c>
      <c r="F257" t="str">
        <f>""</f>
        <v/>
      </c>
      <c r="G257" t="str">
        <f>"lubys"</f>
        <v>lubys</v>
      </c>
      <c r="H257" s="4">
        <v>18</v>
      </c>
    </row>
    <row r="258" spans="1:8" x14ac:dyDescent="0.25">
      <c r="E258" t="str">
        <f>""</f>
        <v/>
      </c>
      <c r="F258" t="str">
        <f>""</f>
        <v/>
      </c>
      <c r="G258" t="str">
        <f>"subway"</f>
        <v>subway</v>
      </c>
      <c r="H258" s="4">
        <v>7.78</v>
      </c>
    </row>
    <row r="259" spans="1:8" x14ac:dyDescent="0.25">
      <c r="E259" t="str">
        <f>""</f>
        <v/>
      </c>
      <c r="F259" t="str">
        <f>""</f>
        <v/>
      </c>
      <c r="G259" t="str">
        <f>"fwb"</f>
        <v>fwb</v>
      </c>
      <c r="H259" s="4">
        <v>18</v>
      </c>
    </row>
    <row r="260" spans="1:8" x14ac:dyDescent="0.25">
      <c r="E260" t="str">
        <f>""</f>
        <v/>
      </c>
      <c r="F260" t="str">
        <f>""</f>
        <v/>
      </c>
      <c r="G260" t="str">
        <f>"academy"</f>
        <v>academy</v>
      </c>
      <c r="H260" s="4">
        <v>1364.87</v>
      </c>
    </row>
    <row r="261" spans="1:8" x14ac:dyDescent="0.25">
      <c r="E261" t="str">
        <f>""</f>
        <v/>
      </c>
      <c r="F261" t="str">
        <f>""</f>
        <v/>
      </c>
      <c r="G261" t="str">
        <f>"texas boot co"</f>
        <v>texas boot co</v>
      </c>
      <c r="H261" s="4">
        <v>484.85</v>
      </c>
    </row>
    <row r="262" spans="1:8" x14ac:dyDescent="0.25">
      <c r="E262" t="str">
        <f>""</f>
        <v/>
      </c>
      <c r="F262" t="str">
        <f>""</f>
        <v/>
      </c>
      <c r="G262" t="str">
        <f>"magnum custom"</f>
        <v>magnum custom</v>
      </c>
      <c r="H262" s="4">
        <v>29.9</v>
      </c>
    </row>
    <row r="263" spans="1:8" x14ac:dyDescent="0.25">
      <c r="E263" t="str">
        <f>""</f>
        <v/>
      </c>
      <c r="F263" t="str">
        <f>""</f>
        <v/>
      </c>
      <c r="G263" t="str">
        <f>"harbor freight"</f>
        <v>harbor freight</v>
      </c>
      <c r="H263" s="4">
        <v>494.95</v>
      </c>
    </row>
    <row r="264" spans="1:8" x14ac:dyDescent="0.25">
      <c r="A264" t="s">
        <v>59</v>
      </c>
      <c r="B264">
        <v>1542</v>
      </c>
      <c r="C264" s="4">
        <v>442.92</v>
      </c>
      <c r="D264" s="5">
        <v>44571</v>
      </c>
      <c r="E264" t="str">
        <f>"202201048154"</f>
        <v>202201048154</v>
      </c>
      <c r="F264" t="str">
        <f>"STATEMENT FOR CARD 0574"</f>
        <v>STATEMENT FOR CARD 0574</v>
      </c>
      <c r="G264" t="str">
        <f>"WALMART"</f>
        <v>WALMART</v>
      </c>
      <c r="H264" s="4">
        <v>118.36</v>
      </c>
    </row>
    <row r="265" spans="1:8" x14ac:dyDescent="0.25">
      <c r="E265" t="str">
        <f>""</f>
        <v/>
      </c>
      <c r="F265" t="str">
        <f>""</f>
        <v/>
      </c>
      <c r="G265" t="str">
        <f>"OTTER A.I"</f>
        <v>OTTER A.I</v>
      </c>
      <c r="H265" s="4">
        <v>99.99</v>
      </c>
    </row>
    <row r="266" spans="1:8" x14ac:dyDescent="0.25">
      <c r="E266" t="str">
        <f>""</f>
        <v/>
      </c>
      <c r="F266" t="str">
        <f>""</f>
        <v/>
      </c>
      <c r="G266" t="str">
        <f>"QT 4128 BASTROP"</f>
        <v>QT 4128 BASTROP</v>
      </c>
      <c r="H266" s="4">
        <v>32.130000000000003</v>
      </c>
    </row>
    <row r="267" spans="1:8" x14ac:dyDescent="0.25">
      <c r="E267" t="str">
        <f>""</f>
        <v/>
      </c>
      <c r="F267" t="str">
        <f>""</f>
        <v/>
      </c>
      <c r="G267" t="str">
        <f>"QT 4128 BASTROP"</f>
        <v>QT 4128 BASTROP</v>
      </c>
      <c r="H267" s="4">
        <v>38.090000000000003</v>
      </c>
    </row>
    <row r="268" spans="1:8" x14ac:dyDescent="0.25">
      <c r="E268" t="str">
        <f>""</f>
        <v/>
      </c>
      <c r="F268" t="str">
        <f>""</f>
        <v/>
      </c>
      <c r="G268" t="str">
        <f>"CAPITAL TOWING"</f>
        <v>CAPITAL TOWING</v>
      </c>
      <c r="H268" s="4">
        <v>154.35</v>
      </c>
    </row>
    <row r="269" spans="1:8" x14ac:dyDescent="0.25">
      <c r="A269" t="s">
        <v>60</v>
      </c>
      <c r="B269">
        <v>138777</v>
      </c>
      <c r="C269" s="4">
        <v>1093.75</v>
      </c>
      <c r="D269" s="5">
        <v>44585</v>
      </c>
      <c r="E269" t="str">
        <f>"6"</f>
        <v>6</v>
      </c>
      <c r="F269" t="str">
        <f>"CONTRCT/CAROLYN DILL"</f>
        <v>CONTRCT/CAROLYN DILL</v>
      </c>
      <c r="G269" t="str">
        <f>"CONTRCT/CAROLYN DILL"</f>
        <v>CONTRCT/CAROLYN DILL</v>
      </c>
      <c r="H269" s="4">
        <v>1093.75</v>
      </c>
    </row>
    <row r="270" spans="1:8" x14ac:dyDescent="0.25">
      <c r="A270" t="s">
        <v>61</v>
      </c>
      <c r="B270">
        <v>5658</v>
      </c>
      <c r="C270" s="4">
        <v>169.84</v>
      </c>
      <c r="D270" s="5">
        <v>44572</v>
      </c>
      <c r="E270" t="str">
        <f>"202201048139"</f>
        <v>202201048139</v>
      </c>
      <c r="F270" t="str">
        <f>"CDW GOVERNMENT INC"</f>
        <v>CDW GOVERNMENT INC</v>
      </c>
      <c r="G270" t="str">
        <f>"Zebra Labels"</f>
        <v>Zebra Labels</v>
      </c>
      <c r="H270" s="4">
        <v>169.84</v>
      </c>
    </row>
    <row r="271" spans="1:8" x14ac:dyDescent="0.25">
      <c r="A271" t="s">
        <v>61</v>
      </c>
      <c r="B271">
        <v>5730</v>
      </c>
      <c r="C271" s="4">
        <v>152.86000000000001</v>
      </c>
      <c r="D271" s="5">
        <v>44586</v>
      </c>
      <c r="E271" t="str">
        <f>"1C6PDG1"</f>
        <v>1C6PDG1</v>
      </c>
      <c r="F271" t="str">
        <f>"Xerox Fuser Kit TaxOffice"</f>
        <v>Xerox Fuser Kit TaxOffice</v>
      </c>
      <c r="G271" t="str">
        <f>"Xerox Fuser Kit Tax Offic"</f>
        <v>Xerox Fuser Kit Tax Offic</v>
      </c>
      <c r="H271" s="4">
        <v>152.86000000000001</v>
      </c>
    </row>
    <row r="272" spans="1:8" x14ac:dyDescent="0.25">
      <c r="A272" t="s">
        <v>62</v>
      </c>
      <c r="B272">
        <v>138592</v>
      </c>
      <c r="C272" s="4">
        <v>526.25</v>
      </c>
      <c r="D272" s="5">
        <v>44571</v>
      </c>
      <c r="E272" t="str">
        <f>"CID2794215"</f>
        <v>CID2794215</v>
      </c>
      <c r="F272" t="str">
        <f t="shared" ref="F272:G277" si="13">"ACCT#509314860/TOURISM"</f>
        <v>ACCT#509314860/TOURISM</v>
      </c>
      <c r="G272" t="str">
        <f t="shared" si="13"/>
        <v>ACCT#509314860/TOURISM</v>
      </c>
      <c r="H272" s="4">
        <v>526.25</v>
      </c>
    </row>
    <row r="273" spans="1:8" x14ac:dyDescent="0.25">
      <c r="A273" t="s">
        <v>62</v>
      </c>
      <c r="B273">
        <v>138778</v>
      </c>
      <c r="C273" s="4">
        <v>1658.3</v>
      </c>
      <c r="D273" s="5">
        <v>44585</v>
      </c>
      <c r="E273" t="str">
        <f>"CID2797319"</f>
        <v>CID2797319</v>
      </c>
      <c r="F273" t="str">
        <f t="shared" si="13"/>
        <v>ACCT#509314860/TOURISM</v>
      </c>
      <c r="G273" t="str">
        <f t="shared" si="13"/>
        <v>ACCT#509314860/TOURISM</v>
      </c>
      <c r="H273" s="4">
        <v>481.35</v>
      </c>
    </row>
    <row r="274" spans="1:8" x14ac:dyDescent="0.25">
      <c r="E274" t="str">
        <f>"CID2797918"</f>
        <v>CID2797918</v>
      </c>
      <c r="F274" t="str">
        <f t="shared" si="13"/>
        <v>ACCT#509314860/TOURISM</v>
      </c>
      <c r="G274" t="str">
        <f t="shared" si="13"/>
        <v>ACCT#509314860/TOURISM</v>
      </c>
      <c r="H274" s="4">
        <v>325.27</v>
      </c>
    </row>
    <row r="275" spans="1:8" x14ac:dyDescent="0.25">
      <c r="E275" t="str">
        <f>"CID2797919"</f>
        <v>CID2797919</v>
      </c>
      <c r="F275" t="str">
        <f t="shared" si="13"/>
        <v>ACCT#509314860/TOURISM</v>
      </c>
      <c r="G275" t="str">
        <f t="shared" si="13"/>
        <v>ACCT#509314860/TOURISM</v>
      </c>
      <c r="H275" s="4">
        <v>222.58</v>
      </c>
    </row>
    <row r="276" spans="1:8" x14ac:dyDescent="0.25">
      <c r="E276" t="str">
        <f>"CID2797921"</f>
        <v>CID2797921</v>
      </c>
      <c r="F276" t="str">
        <f t="shared" si="13"/>
        <v>ACCT#509314860/TOURISM</v>
      </c>
      <c r="G276" t="str">
        <f t="shared" si="13"/>
        <v>ACCT#509314860/TOURISM</v>
      </c>
      <c r="H276" s="4">
        <v>280.85000000000002</v>
      </c>
    </row>
    <row r="277" spans="1:8" x14ac:dyDescent="0.25">
      <c r="E277" t="str">
        <f>"CIDA1421"</f>
        <v>CIDA1421</v>
      </c>
      <c r="F277" t="str">
        <f t="shared" si="13"/>
        <v>ACCT#509314860/TOURISM</v>
      </c>
      <c r="G277" t="str">
        <f t="shared" si="13"/>
        <v>ACCT#509314860/TOURISM</v>
      </c>
      <c r="H277" s="4">
        <v>348.25</v>
      </c>
    </row>
    <row r="278" spans="1:8" x14ac:dyDescent="0.25">
      <c r="A278" t="s">
        <v>63</v>
      </c>
      <c r="B278">
        <v>138593</v>
      </c>
      <c r="C278" s="4">
        <v>3962.7</v>
      </c>
      <c r="D278" s="5">
        <v>44571</v>
      </c>
      <c r="E278" t="str">
        <f>"30146292"</f>
        <v>30146292</v>
      </c>
      <c r="F278" t="str">
        <f>"CUST#BASPCT1"</f>
        <v>CUST#BASPCT1</v>
      </c>
      <c r="G278" t="str">
        <f>"CUST#BASPCT1"</f>
        <v>CUST#BASPCT1</v>
      </c>
      <c r="H278" s="4">
        <v>856.96</v>
      </c>
    </row>
    <row r="279" spans="1:8" x14ac:dyDescent="0.25">
      <c r="E279" t="str">
        <f>"30146388"</f>
        <v>30146388</v>
      </c>
      <c r="F279" t="str">
        <f>"CUST#BASPCT1/PCT#1"</f>
        <v>CUST#BASPCT1/PCT#1</v>
      </c>
      <c r="G279" t="str">
        <f>"CUST#BASPCT1/PCT#1"</f>
        <v>CUST#BASPCT1/PCT#1</v>
      </c>
      <c r="H279" s="4">
        <v>3105.74</v>
      </c>
    </row>
    <row r="280" spans="1:8" x14ac:dyDescent="0.25">
      <c r="A280" t="s">
        <v>64</v>
      </c>
      <c r="B280">
        <v>138594</v>
      </c>
      <c r="C280" s="4">
        <v>475</v>
      </c>
      <c r="D280" s="5">
        <v>44571</v>
      </c>
      <c r="E280" t="str">
        <f>"003"</f>
        <v>003</v>
      </c>
      <c r="F280" t="str">
        <f>"SPONSORSHIP RC&amp;D"</f>
        <v>SPONSORSHIP RC&amp;D</v>
      </c>
      <c r="G280" t="str">
        <f>"SPONSORSHIP RC&amp;D"</f>
        <v>SPONSORSHIP RC&amp;D</v>
      </c>
      <c r="H280" s="4">
        <v>475</v>
      </c>
    </row>
    <row r="281" spans="1:8" x14ac:dyDescent="0.25">
      <c r="A281" t="s">
        <v>65</v>
      </c>
      <c r="B281">
        <v>138595</v>
      </c>
      <c r="C281" s="4">
        <v>975</v>
      </c>
      <c r="D281" s="5">
        <v>44571</v>
      </c>
      <c r="E281" t="str">
        <f>"202201048028"</f>
        <v>202201048028</v>
      </c>
      <c r="F281" t="str">
        <f>"21-21040"</f>
        <v>21-21040</v>
      </c>
      <c r="G281" t="str">
        <f>"21-21040"</f>
        <v>21-21040</v>
      </c>
      <c r="H281" s="4">
        <v>125</v>
      </c>
    </row>
    <row r="282" spans="1:8" x14ac:dyDescent="0.25">
      <c r="E282" t="str">
        <f>"202201048029"</f>
        <v>202201048029</v>
      </c>
      <c r="F282" t="str">
        <f>"20-20243"</f>
        <v>20-20243</v>
      </c>
      <c r="G282" t="str">
        <f>"20-20243"</f>
        <v>20-20243</v>
      </c>
      <c r="H282" s="4">
        <v>125</v>
      </c>
    </row>
    <row r="283" spans="1:8" x14ac:dyDescent="0.25">
      <c r="E283" t="str">
        <f>"202201048030"</f>
        <v>202201048030</v>
      </c>
      <c r="F283" t="str">
        <f>"21-20975"</f>
        <v>21-20975</v>
      </c>
      <c r="G283" t="str">
        <f>"21-20975"</f>
        <v>21-20975</v>
      </c>
      <c r="H283" s="4">
        <v>162.5</v>
      </c>
    </row>
    <row r="284" spans="1:8" x14ac:dyDescent="0.25">
      <c r="E284" t="str">
        <f>"202201048031"</f>
        <v>202201048031</v>
      </c>
      <c r="F284" t="str">
        <f>"20-20331"</f>
        <v>20-20331</v>
      </c>
      <c r="G284" t="str">
        <f>"20-20331"</f>
        <v>20-20331</v>
      </c>
      <c r="H284" s="4">
        <v>62.5</v>
      </c>
    </row>
    <row r="285" spans="1:8" x14ac:dyDescent="0.25">
      <c r="E285" t="str">
        <f>"202201048054"</f>
        <v>202201048054</v>
      </c>
      <c r="F285" t="str">
        <f>"57-657"</f>
        <v>57-657</v>
      </c>
      <c r="G285" t="str">
        <f>"57-657"</f>
        <v>57-657</v>
      </c>
      <c r="H285" s="4">
        <v>250</v>
      </c>
    </row>
    <row r="286" spans="1:8" x14ac:dyDescent="0.25">
      <c r="E286" t="str">
        <f>"202201048055"</f>
        <v>202201048055</v>
      </c>
      <c r="F286" t="str">
        <f>"C190100"</f>
        <v>C190100</v>
      </c>
      <c r="G286" t="str">
        <f>"C190100"</f>
        <v>C190100</v>
      </c>
      <c r="H286" s="4">
        <v>250</v>
      </c>
    </row>
    <row r="287" spans="1:8" x14ac:dyDescent="0.25">
      <c r="A287" t="s">
        <v>66</v>
      </c>
      <c r="B287">
        <v>138596</v>
      </c>
      <c r="C287" s="4">
        <v>870</v>
      </c>
      <c r="D287" s="5">
        <v>44571</v>
      </c>
      <c r="E287" t="str">
        <f>"202201048065"</f>
        <v>202201048065</v>
      </c>
      <c r="F287" t="str">
        <f>"JAN2022-JUY2022"</f>
        <v>JAN2022-JUY2022</v>
      </c>
      <c r="G287" t="str">
        <f>"JAN2022-JUY2022"</f>
        <v>JAN2022-JUY2022</v>
      </c>
      <c r="H287" s="4">
        <v>870</v>
      </c>
    </row>
    <row r="288" spans="1:8" x14ac:dyDescent="0.25">
      <c r="A288" t="s">
        <v>67</v>
      </c>
      <c r="B288">
        <v>5661</v>
      </c>
      <c r="C288" s="4">
        <v>600</v>
      </c>
      <c r="D288" s="5">
        <v>44572</v>
      </c>
      <c r="E288" t="str">
        <f>"202201048045"</f>
        <v>202201048045</v>
      </c>
      <c r="F288" t="str">
        <f>"57-941"</f>
        <v>57-941</v>
      </c>
      <c r="G288" t="str">
        <f>"57-941"</f>
        <v>57-941</v>
      </c>
      <c r="H288" s="4">
        <v>250</v>
      </c>
    </row>
    <row r="289" spans="1:8" x14ac:dyDescent="0.25">
      <c r="E289" t="str">
        <f>"202201048046"</f>
        <v>202201048046</v>
      </c>
      <c r="F289" t="str">
        <f>"307012021B"</f>
        <v>307012021B</v>
      </c>
      <c r="G289" t="str">
        <f>"307012021B"</f>
        <v>307012021B</v>
      </c>
      <c r="H289" s="4">
        <v>250</v>
      </c>
    </row>
    <row r="290" spans="1:8" x14ac:dyDescent="0.25">
      <c r="E290" t="str">
        <f>"202201048047"</f>
        <v>202201048047</v>
      </c>
      <c r="F290" t="str">
        <f>"J-"</f>
        <v>J-</v>
      </c>
      <c r="G290" t="str">
        <f>"J-"</f>
        <v>J-</v>
      </c>
      <c r="H290" s="4">
        <v>100</v>
      </c>
    </row>
    <row r="291" spans="1:8" x14ac:dyDescent="0.25">
      <c r="A291" t="s">
        <v>68</v>
      </c>
      <c r="B291">
        <v>5708</v>
      </c>
      <c r="C291" s="4">
        <v>550</v>
      </c>
      <c r="D291" s="5">
        <v>44586</v>
      </c>
      <c r="E291" t="str">
        <f>"202201188456"</f>
        <v>202201188456</v>
      </c>
      <c r="F291" t="str">
        <f>"REIMBURSE/CHRISTINE FILES"</f>
        <v>REIMBURSE/CHRISTINE FILES</v>
      </c>
      <c r="G291" t="str">
        <f>"REIMBURSE/CHRISTINE FILES"</f>
        <v>REIMBURSE/CHRISTINE FILES</v>
      </c>
      <c r="H291" s="4">
        <v>270</v>
      </c>
    </row>
    <row r="292" spans="1:8" x14ac:dyDescent="0.25">
      <c r="E292" t="str">
        <f>"202201188471"</f>
        <v>202201188471</v>
      </c>
      <c r="F292" t="str">
        <f>"REIMBURSE/CHRISTINE FILES"</f>
        <v>REIMBURSE/CHRISTINE FILES</v>
      </c>
      <c r="G292" t="str">
        <f>"REIMBURSE/CHRISTINE FILES"</f>
        <v>REIMBURSE/CHRISTINE FILES</v>
      </c>
      <c r="H292" s="4">
        <v>280</v>
      </c>
    </row>
    <row r="293" spans="1:8" x14ac:dyDescent="0.25">
      <c r="A293" t="s">
        <v>69</v>
      </c>
      <c r="B293">
        <v>138597</v>
      </c>
      <c r="C293" s="4">
        <v>308.45</v>
      </c>
      <c r="D293" s="5">
        <v>44571</v>
      </c>
      <c r="E293" t="str">
        <f>"5089019792"</f>
        <v>5089019792</v>
      </c>
      <c r="F293" t="str">
        <f>"CUST#11167190"</f>
        <v>CUST#11167190</v>
      </c>
      <c r="G293" t="str">
        <f>"CUST#11167190"</f>
        <v>CUST#11167190</v>
      </c>
      <c r="H293" s="4">
        <v>158.44999999999999</v>
      </c>
    </row>
    <row r="294" spans="1:8" x14ac:dyDescent="0.25">
      <c r="E294" t="str">
        <f>"9160048550"</f>
        <v>9160048550</v>
      </c>
      <c r="F294" t="str">
        <f>"INV 9160048550"</f>
        <v>INV 9160048550</v>
      </c>
      <c r="G294" t="str">
        <f>"INV 9160048550"</f>
        <v>INV 9160048550</v>
      </c>
      <c r="H294" s="4">
        <v>100</v>
      </c>
    </row>
    <row r="295" spans="1:8" x14ac:dyDescent="0.25">
      <c r="E295" t="str">
        <f>"9160048551"</f>
        <v>9160048551</v>
      </c>
      <c r="F295" t="str">
        <f>"INV 9160048551"</f>
        <v>INV 9160048551</v>
      </c>
      <c r="G295" t="str">
        <f>"INV 9160048551"</f>
        <v>INV 9160048551</v>
      </c>
      <c r="H295" s="4">
        <v>50</v>
      </c>
    </row>
    <row r="296" spans="1:8" x14ac:dyDescent="0.25">
      <c r="A296" t="s">
        <v>70</v>
      </c>
      <c r="B296">
        <v>138598</v>
      </c>
      <c r="C296" s="4">
        <v>5411.77</v>
      </c>
      <c r="D296" s="5">
        <v>44571</v>
      </c>
      <c r="E296" t="str">
        <f>"202201058178"</f>
        <v>202201058178</v>
      </c>
      <c r="F296" t="str">
        <f>"PAYER#14108367/PCT#2"</f>
        <v>PAYER#14108367/PCT#2</v>
      </c>
      <c r="G296" t="str">
        <f>"PAYER#14108367/PCT#2"</f>
        <v>PAYER#14108367/PCT#2</v>
      </c>
      <c r="H296" s="4">
        <v>793.74</v>
      </c>
    </row>
    <row r="297" spans="1:8" x14ac:dyDescent="0.25">
      <c r="E297" t="str">
        <f>"202201058180"</f>
        <v>202201058180</v>
      </c>
      <c r="F297" t="str">
        <f>"PAYER#14108431/PCT#1"</f>
        <v>PAYER#14108431/PCT#1</v>
      </c>
      <c r="G297" t="str">
        <f>"PAYER#14108431/PCT#1"</f>
        <v>PAYER#14108431/PCT#1</v>
      </c>
      <c r="H297" s="4">
        <v>922.61</v>
      </c>
    </row>
    <row r="298" spans="1:8" x14ac:dyDescent="0.25">
      <c r="E298" t="str">
        <f>"202201058183"</f>
        <v>202201058183</v>
      </c>
      <c r="F298" t="str">
        <f>"PAYER#14108430/PCT#4"</f>
        <v>PAYER#14108430/PCT#4</v>
      </c>
      <c r="G298" t="str">
        <f>"PAYER#14108430/PCT#4"</f>
        <v>PAYER#14108430/PCT#4</v>
      </c>
      <c r="H298" s="4">
        <v>1486.73</v>
      </c>
    </row>
    <row r="299" spans="1:8" x14ac:dyDescent="0.25">
      <c r="E299" t="str">
        <f>"202201058184"</f>
        <v>202201058184</v>
      </c>
      <c r="F299" t="str">
        <f>"PAYER#14108463/ANIMAL SHELTER"</f>
        <v>PAYER#14108463/ANIMAL SHELTER</v>
      </c>
      <c r="G299" t="str">
        <f>"PAYER#14108463/ANIMAL SHELTER"</f>
        <v>PAYER#14108463/ANIMAL SHELTER</v>
      </c>
      <c r="H299" s="4">
        <v>264.16000000000003</v>
      </c>
    </row>
    <row r="300" spans="1:8" x14ac:dyDescent="0.25">
      <c r="E300" t="str">
        <f>"202201058191"</f>
        <v>202201058191</v>
      </c>
      <c r="F300" t="str">
        <f>"PAYER#14108375/GENERAL SVCS"</f>
        <v>PAYER#14108375/GENERAL SVCS</v>
      </c>
      <c r="G300" t="str">
        <f>"PAYER#14108375/GENERAL SVCS"</f>
        <v>PAYER#14108375/GENERAL SVCS</v>
      </c>
      <c r="H300" s="4">
        <v>1877.99</v>
      </c>
    </row>
    <row r="301" spans="1:8" x14ac:dyDescent="0.25">
      <c r="E301" t="str">
        <f>"202201068194"</f>
        <v>202201068194</v>
      </c>
      <c r="F301" t="str">
        <f>"PAYER#14108431/SIGN SHOP"</f>
        <v>PAYER#14108431/SIGN SHOP</v>
      </c>
      <c r="G301" t="str">
        <f>"PAYER#14108431/SIGN SHOP"</f>
        <v>PAYER#14108431/SIGN SHOP</v>
      </c>
      <c r="H301" s="4">
        <v>66.540000000000006</v>
      </c>
    </row>
    <row r="302" spans="1:8" x14ac:dyDescent="0.25">
      <c r="A302" t="s">
        <v>70</v>
      </c>
      <c r="B302">
        <v>138779</v>
      </c>
      <c r="C302" s="4">
        <v>257.58</v>
      </c>
      <c r="D302" s="5">
        <v>44585</v>
      </c>
      <c r="E302" t="str">
        <f>"8405483255"</f>
        <v>8405483255</v>
      </c>
      <c r="F302" t="str">
        <f>"CUST#10377368/PCT#2"</f>
        <v>CUST#10377368/PCT#2</v>
      </c>
      <c r="G302" t="str">
        <f>"CUST#10377368/PCT#2"</f>
        <v>CUST#10377368/PCT#2</v>
      </c>
      <c r="H302" s="4">
        <v>257.58</v>
      </c>
    </row>
    <row r="303" spans="1:8" x14ac:dyDescent="0.25">
      <c r="A303" t="s">
        <v>71</v>
      </c>
      <c r="B303">
        <v>1576</v>
      </c>
      <c r="C303" s="4">
        <v>6100.38</v>
      </c>
      <c r="D303" s="5">
        <v>44574</v>
      </c>
      <c r="E303" t="str">
        <f>"202201138298"</f>
        <v>202201138298</v>
      </c>
      <c r="F303" t="str">
        <f>"ACCT#72-5613 / 0103/2022"</f>
        <v>ACCT#72-5613 / 0103/2022</v>
      </c>
      <c r="G303" t="str">
        <f>"ACCT#72-5613 / 0103/2022"</f>
        <v>ACCT#72-5613 / 0103/2022</v>
      </c>
      <c r="H303" s="4">
        <v>-4054.62</v>
      </c>
    </row>
    <row r="304" spans="1:8" x14ac:dyDescent="0.25">
      <c r="E304" t="str">
        <f>"202201138351"</f>
        <v>202201138351</v>
      </c>
      <c r="F304" t="str">
        <f>"ACCT#72-5613 / 01032022"</f>
        <v>ACCT#72-5613 / 01032022</v>
      </c>
      <c r="G304" t="str">
        <f>"ACCT#72-5613 / 01032022"</f>
        <v>ACCT#72-5613 / 01032022</v>
      </c>
      <c r="H304" s="4">
        <v>-14.81</v>
      </c>
    </row>
    <row r="305" spans="1:8" x14ac:dyDescent="0.25">
      <c r="E305" t="str">
        <f>"202201138297"</f>
        <v>202201138297</v>
      </c>
      <c r="F305" t="str">
        <f>"ACCT#72-5613 / 0103/2022"</f>
        <v>ACCT#72-5613 / 0103/2022</v>
      </c>
      <c r="G305" t="str">
        <f>"ACCT#72-5613 / 0103/2022"</f>
        <v>ACCT#72-5613 / 0103/2022</v>
      </c>
      <c r="H305" s="4">
        <v>4054.62</v>
      </c>
    </row>
    <row r="306" spans="1:8" x14ac:dyDescent="0.25">
      <c r="E306" t="str">
        <f>"202201138350"</f>
        <v>202201138350</v>
      </c>
      <c r="F306" t="str">
        <f>"ACCT#72-5613 / 01032022"</f>
        <v>ACCT#72-5613 / 01032022</v>
      </c>
      <c r="G306" t="str">
        <f>"ACCT#72-5613 / 01032022"</f>
        <v>ACCT#72-5613 / 01032022</v>
      </c>
      <c r="H306" s="4">
        <v>6115.19</v>
      </c>
    </row>
    <row r="307" spans="1:8" x14ac:dyDescent="0.25">
      <c r="A307" t="s">
        <v>72</v>
      </c>
      <c r="B307">
        <v>138567</v>
      </c>
      <c r="C307" s="4">
        <v>41518.85</v>
      </c>
      <c r="D307" s="5">
        <v>44568</v>
      </c>
      <c r="E307" t="str">
        <f>"202201068202"</f>
        <v>202201068202</v>
      </c>
      <c r="F307" t="str">
        <f>"ACCT#02-2083-04 / 12292021"</f>
        <v>ACCT#02-2083-04 / 12292021</v>
      </c>
      <c r="G307" t="str">
        <f>"CITY OF BASTROP"</f>
        <v>CITY OF BASTROP</v>
      </c>
      <c r="H307" s="4">
        <v>6751.13</v>
      </c>
    </row>
    <row r="308" spans="1:8" x14ac:dyDescent="0.25">
      <c r="E308" t="str">
        <f>"202201068203"</f>
        <v>202201068203</v>
      </c>
      <c r="F308" t="str">
        <f>"COUNTY DEV CENTER / 12292021"</f>
        <v>COUNTY DEV CENTER / 12292021</v>
      </c>
      <c r="G308" t="str">
        <f>"CITY OF BASTROP"</f>
        <v>CITY OF BASTROP</v>
      </c>
      <c r="H308" s="4">
        <v>1667.32</v>
      </c>
    </row>
    <row r="309" spans="1:8" x14ac:dyDescent="0.25">
      <c r="E309" t="str">
        <f>"202201068204"</f>
        <v>202201068204</v>
      </c>
      <c r="F309" t="str">
        <f>"COUNTY LAW CENTER / 12292021"</f>
        <v>COUNTY LAW CENTER / 12292021</v>
      </c>
      <c r="G309" t="str">
        <f>"CITY OF BASTROP"</f>
        <v>CITY OF BASTROP</v>
      </c>
      <c r="H309" s="4">
        <v>21439</v>
      </c>
    </row>
    <row r="310" spans="1:8" x14ac:dyDescent="0.25">
      <c r="E310" t="str">
        <f>"202201068205"</f>
        <v>202201068205</v>
      </c>
      <c r="F310" t="str">
        <f>"BASTROP COURTHOUSE / 12292021"</f>
        <v>BASTROP COURTHOUSE / 12292021</v>
      </c>
      <c r="G310" t="str">
        <f>"CITY OF BASTROP"</f>
        <v>CITY OF BASTROP</v>
      </c>
      <c r="H310" s="4">
        <v>11661.4</v>
      </c>
    </row>
    <row r="311" spans="1:8" x14ac:dyDescent="0.25">
      <c r="A311" t="s">
        <v>72</v>
      </c>
      <c r="B311">
        <v>138780</v>
      </c>
      <c r="C311" s="4">
        <v>750</v>
      </c>
      <c r="D311" s="5">
        <v>44585</v>
      </c>
      <c r="E311" t="str">
        <f>"202201138308"</f>
        <v>202201138308</v>
      </c>
      <c r="F311" t="str">
        <f>"PARKING LOT RENTAL"</f>
        <v>PARKING LOT RENTAL</v>
      </c>
      <c r="G311" t="str">
        <f>"PARKING LOT RENTAL"</f>
        <v>PARKING LOT RENTAL</v>
      </c>
      <c r="H311" s="4">
        <v>750</v>
      </c>
    </row>
    <row r="312" spans="1:8" x14ac:dyDescent="0.25">
      <c r="A312" t="s">
        <v>73</v>
      </c>
      <c r="B312">
        <v>138568</v>
      </c>
      <c r="C312" s="4">
        <v>2798.54</v>
      </c>
      <c r="D312" s="5">
        <v>44568</v>
      </c>
      <c r="E312" t="str">
        <f>"202201068195"</f>
        <v>202201068195</v>
      </c>
      <c r="F312" t="str">
        <f>"ACCT#007-0000-388-000/12292021"</f>
        <v>ACCT#007-0000-388-000/12292021</v>
      </c>
      <c r="G312" t="str">
        <f>"ACCT#007-0000-388-000/12292021"</f>
        <v>ACCT#007-0000-388-000/12292021</v>
      </c>
      <c r="H312" s="4">
        <v>489.87</v>
      </c>
    </row>
    <row r="313" spans="1:8" x14ac:dyDescent="0.25">
      <c r="E313" t="str">
        <f>"202201068196"</f>
        <v>202201068196</v>
      </c>
      <c r="F313" t="str">
        <f>"ACCT#007-0000389-000/12292021"</f>
        <v>ACCT#007-0000389-000/12292021</v>
      </c>
      <c r="G313" t="str">
        <f>"CITY OF SMITHVILLE"</f>
        <v>CITY OF SMITHVILLE</v>
      </c>
      <c r="H313" s="4">
        <v>72.489999999999995</v>
      </c>
    </row>
    <row r="314" spans="1:8" x14ac:dyDescent="0.25">
      <c r="E314" t="str">
        <f>"202201068198"</f>
        <v>202201068198</v>
      </c>
      <c r="F314" t="str">
        <f>"ACCT#044-0001240-000/12292021"</f>
        <v>ACCT#044-0001240-000/12292021</v>
      </c>
      <c r="G314" t="str">
        <f>"ACCT#044-0001240-000/12292021"</f>
        <v>ACCT#044-0001240-000/12292021</v>
      </c>
      <c r="H314" s="4">
        <v>350.24</v>
      </c>
    </row>
    <row r="315" spans="1:8" x14ac:dyDescent="0.25">
      <c r="E315" t="str">
        <f>"202201068199"</f>
        <v>202201068199</v>
      </c>
      <c r="F315" t="str">
        <f>"ACCT#044-0001250-000/12292021"</f>
        <v>ACCT#044-0001250-000/12292021</v>
      </c>
      <c r="G315" t="str">
        <f>"CITY OF SMITHVILLE"</f>
        <v>CITY OF SMITHVILLE</v>
      </c>
      <c r="H315" s="4">
        <v>137.66999999999999</v>
      </c>
    </row>
    <row r="316" spans="1:8" x14ac:dyDescent="0.25">
      <c r="E316" t="str">
        <f>"202201068200"</f>
        <v>202201068200</v>
      </c>
      <c r="F316" t="str">
        <f>"ACCT#044-0001252-000/12292021"</f>
        <v>ACCT#044-0001252-000/12292021</v>
      </c>
      <c r="G316" t="str">
        <f>"CITY OF SMITHVILLE"</f>
        <v>CITY OF SMITHVILLE</v>
      </c>
      <c r="H316" s="4">
        <v>1517.7</v>
      </c>
    </row>
    <row r="317" spans="1:8" x14ac:dyDescent="0.25">
      <c r="E317" t="str">
        <f>"202201068201"</f>
        <v>202201068201</v>
      </c>
      <c r="F317" t="str">
        <f>"ACCT#044-0001253-000/12292021"</f>
        <v>ACCT#044-0001253-000/12292021</v>
      </c>
      <c r="G317" t="str">
        <f>"CITY OF SMITHVILLE"</f>
        <v>CITY OF SMITHVILLE</v>
      </c>
      <c r="H317" s="4">
        <v>230.57</v>
      </c>
    </row>
    <row r="318" spans="1:8" x14ac:dyDescent="0.25">
      <c r="A318" t="s">
        <v>74</v>
      </c>
      <c r="B318">
        <v>138599</v>
      </c>
      <c r="C318" s="4">
        <v>179.67</v>
      </c>
      <c r="D318" s="5">
        <v>44571</v>
      </c>
      <c r="E318" t="str">
        <f>"202201058182"</f>
        <v>202201058182</v>
      </c>
      <c r="F318" t="str">
        <f>"REIMBURSEMENT/CLARA BECKETT"</f>
        <v>REIMBURSEMENT/CLARA BECKETT</v>
      </c>
      <c r="G318" t="str">
        <f>"REIMBURSEMENT/CLARA BECKETT"</f>
        <v>REIMBURSEMENT/CLARA BECKETT</v>
      </c>
      <c r="H318" s="4">
        <v>179.67</v>
      </c>
    </row>
    <row r="319" spans="1:8" x14ac:dyDescent="0.25">
      <c r="A319" t="s">
        <v>75</v>
      </c>
      <c r="B319">
        <v>5615</v>
      </c>
      <c r="C319" s="4">
        <v>749</v>
      </c>
      <c r="D319" s="5">
        <v>44572</v>
      </c>
      <c r="E319" t="str">
        <f>"0082485"</f>
        <v>0082485</v>
      </c>
      <c r="F319" t="str">
        <f>"INV PMA-0082485"</f>
        <v>INV PMA-0082485</v>
      </c>
      <c r="G319" t="str">
        <f>"INV PMA-0082485"</f>
        <v>INV PMA-0082485</v>
      </c>
      <c r="H319" s="4">
        <v>749</v>
      </c>
    </row>
    <row r="320" spans="1:8" x14ac:dyDescent="0.25">
      <c r="A320" t="s">
        <v>76</v>
      </c>
      <c r="B320">
        <v>5713</v>
      </c>
      <c r="C320" s="4">
        <v>114.72</v>
      </c>
      <c r="D320" s="5">
        <v>44586</v>
      </c>
      <c r="E320" t="str">
        <f>"202201198483"</f>
        <v>202201198483</v>
      </c>
      <c r="F320" t="str">
        <f>"INDIGENT HEALTH"</f>
        <v>INDIGENT HEALTH</v>
      </c>
      <c r="G320" t="str">
        <f>"INDIGENT HEALTH"</f>
        <v>INDIGENT HEALTH</v>
      </c>
      <c r="H320" s="4">
        <v>114.72</v>
      </c>
    </row>
    <row r="321" spans="1:8" x14ac:dyDescent="0.25">
      <c r="A321" t="s">
        <v>77</v>
      </c>
      <c r="B321">
        <v>138781</v>
      </c>
      <c r="C321" s="4">
        <v>10000</v>
      </c>
      <c r="D321" s="5">
        <v>44585</v>
      </c>
      <c r="E321" t="str">
        <f>"202201138453"</f>
        <v>202201138453</v>
      </c>
      <c r="F321" t="str">
        <f>"FY 2021-2022 FUNDS"</f>
        <v>FY 2021-2022 FUNDS</v>
      </c>
      <c r="G321" t="str">
        <f>"FY 2021-2022 FUNDS"</f>
        <v>FY 2021-2022 FUNDS</v>
      </c>
      <c r="H321" s="4">
        <v>10000</v>
      </c>
    </row>
    <row r="322" spans="1:8" x14ac:dyDescent="0.25">
      <c r="A322" t="s">
        <v>78</v>
      </c>
      <c r="B322">
        <v>5684</v>
      </c>
      <c r="C322" s="4">
        <v>456</v>
      </c>
      <c r="D322" s="5">
        <v>44586</v>
      </c>
      <c r="E322" t="str">
        <f>"7902200595"</f>
        <v>7902200595</v>
      </c>
      <c r="F322" t="str">
        <f>"INV 7902200595"</f>
        <v>INV 7902200595</v>
      </c>
      <c r="G322" t="str">
        <f>"INV 7902200595"</f>
        <v>INV 7902200595</v>
      </c>
      <c r="H322" s="4">
        <v>456</v>
      </c>
    </row>
    <row r="323" spans="1:8" x14ac:dyDescent="0.25">
      <c r="A323" t="s">
        <v>79</v>
      </c>
      <c r="B323">
        <v>5690</v>
      </c>
      <c r="C323" s="4">
        <v>33.270000000000003</v>
      </c>
      <c r="D323" s="5">
        <v>44586</v>
      </c>
      <c r="E323" t="str">
        <f>"202201198484"</f>
        <v>202201198484</v>
      </c>
      <c r="F323" t="str">
        <f>"INDIGENT HEALTH"</f>
        <v>INDIGENT HEALTH</v>
      </c>
      <c r="G323" t="str">
        <f>"INDIGENT HEALTH"</f>
        <v>INDIGENT HEALTH</v>
      </c>
      <c r="H323" s="4">
        <v>33.270000000000003</v>
      </c>
    </row>
    <row r="324" spans="1:8" x14ac:dyDescent="0.25">
      <c r="A324" t="s">
        <v>80</v>
      </c>
      <c r="B324">
        <v>138782</v>
      </c>
      <c r="C324" s="4">
        <v>225</v>
      </c>
      <c r="D324" s="5">
        <v>44585</v>
      </c>
      <c r="E324" t="str">
        <f>"824"</f>
        <v>824</v>
      </c>
      <c r="F324" t="str">
        <f>"SVCS FOR DECEMBER 2021"</f>
        <v>SVCS FOR DECEMBER 2021</v>
      </c>
      <c r="G324" t="str">
        <f>"SVCS FOR DECEMBER 2021"</f>
        <v>SVCS FOR DECEMBER 2021</v>
      </c>
      <c r="H324" s="4">
        <v>225</v>
      </c>
    </row>
    <row r="325" spans="1:8" x14ac:dyDescent="0.25">
      <c r="A325" t="s">
        <v>81</v>
      </c>
      <c r="B325">
        <v>138783</v>
      </c>
      <c r="C325" s="4">
        <v>3155.4</v>
      </c>
      <c r="D325" s="5">
        <v>44585</v>
      </c>
      <c r="E325" t="str">
        <f>"24214384"</f>
        <v>24214384</v>
      </c>
      <c r="F325" t="str">
        <f>"CUST#434304/PCT#4"</f>
        <v>CUST#434304/PCT#4</v>
      </c>
      <c r="G325" t="str">
        <f>"CUST#434304/PCT#4"</f>
        <v>CUST#434304/PCT#4</v>
      </c>
      <c r="H325" s="4">
        <v>3155.4</v>
      </c>
    </row>
    <row r="326" spans="1:8" x14ac:dyDescent="0.25">
      <c r="A326" t="s">
        <v>82</v>
      </c>
      <c r="B326">
        <v>5644</v>
      </c>
      <c r="C326" s="4">
        <v>8017.63</v>
      </c>
      <c r="D326" s="5">
        <v>44572</v>
      </c>
      <c r="E326" t="str">
        <f>"202201058179"</f>
        <v>202201058179</v>
      </c>
      <c r="F326" t="str">
        <f>"Oil Dist. Repairs"</f>
        <v>Oil Dist. Repairs</v>
      </c>
      <c r="G326" t="str">
        <f>"S Connector"</f>
        <v>S Connector</v>
      </c>
      <c r="H326" s="4">
        <v>353.64</v>
      </c>
    </row>
    <row r="327" spans="1:8" x14ac:dyDescent="0.25">
      <c r="E327" t="str">
        <f>""</f>
        <v/>
      </c>
      <c r="F327" t="str">
        <f>""</f>
        <v/>
      </c>
      <c r="G327" t="str">
        <f>"Cap-Dust 3"</f>
        <v>Cap-Dust 3</v>
      </c>
      <c r="H327" s="4">
        <v>92.86</v>
      </c>
    </row>
    <row r="328" spans="1:8" x14ac:dyDescent="0.25">
      <c r="E328" t="str">
        <f>""</f>
        <v/>
      </c>
      <c r="F328" t="str">
        <f>""</f>
        <v/>
      </c>
      <c r="G328" t="str">
        <f>"Adaptor-3 I"</f>
        <v>Adaptor-3 I</v>
      </c>
      <c r="H328" s="4">
        <v>78.239999999999995</v>
      </c>
    </row>
    <row r="329" spans="1:8" x14ac:dyDescent="0.25">
      <c r="E329" t="str">
        <f>""</f>
        <v/>
      </c>
      <c r="F329" t="str">
        <f>""</f>
        <v/>
      </c>
      <c r="G329" t="str">
        <f>"Pump Packin"</f>
        <v>Pump Packin</v>
      </c>
      <c r="H329" s="4">
        <v>40.6</v>
      </c>
    </row>
    <row r="330" spans="1:8" x14ac:dyDescent="0.25">
      <c r="E330" t="str">
        <f>""</f>
        <v/>
      </c>
      <c r="F330" t="str">
        <f>""</f>
        <v/>
      </c>
      <c r="G330" t="str">
        <f>"Strainer"</f>
        <v>Strainer</v>
      </c>
      <c r="H330" s="4">
        <v>344.83</v>
      </c>
    </row>
    <row r="331" spans="1:8" x14ac:dyDescent="0.25">
      <c r="E331" t="str">
        <f>""</f>
        <v/>
      </c>
      <c r="F331" t="str">
        <f>""</f>
        <v/>
      </c>
      <c r="G331" t="str">
        <f>"Mac Valve"</f>
        <v>Mac Valve</v>
      </c>
      <c r="H331" s="4">
        <v>3854.5</v>
      </c>
    </row>
    <row r="332" spans="1:8" x14ac:dyDescent="0.25">
      <c r="E332" t="str">
        <f>""</f>
        <v/>
      </c>
      <c r="F332" t="str">
        <f>""</f>
        <v/>
      </c>
      <c r="G332" t="str">
        <f>"End Plate K"</f>
        <v>End Plate K</v>
      </c>
      <c r="H332" s="4">
        <v>308.16000000000003</v>
      </c>
    </row>
    <row r="333" spans="1:8" x14ac:dyDescent="0.25">
      <c r="E333" t="str">
        <f>""</f>
        <v/>
      </c>
      <c r="F333" t="str">
        <f>""</f>
        <v/>
      </c>
      <c r="G333" t="str">
        <f>"Environmental"</f>
        <v>Environmental</v>
      </c>
      <c r="H333" s="4">
        <v>260</v>
      </c>
    </row>
    <row r="334" spans="1:8" x14ac:dyDescent="0.25">
      <c r="E334" t="str">
        <f>""</f>
        <v/>
      </c>
      <c r="F334" t="str">
        <f>""</f>
        <v/>
      </c>
      <c r="G334" t="str">
        <f>"Labor"</f>
        <v>Labor</v>
      </c>
      <c r="H334" s="4">
        <v>2600</v>
      </c>
    </row>
    <row r="335" spans="1:8" x14ac:dyDescent="0.25">
      <c r="E335" t="str">
        <f>""</f>
        <v/>
      </c>
      <c r="F335" t="str">
        <f>""</f>
        <v/>
      </c>
      <c r="G335" t="str">
        <f>"Fuel"</f>
        <v>Fuel</v>
      </c>
      <c r="H335" s="4">
        <v>84.8</v>
      </c>
    </row>
    <row r="336" spans="1:8" x14ac:dyDescent="0.25">
      <c r="A336" s="6" t="s">
        <v>37</v>
      </c>
      <c r="B336">
        <v>138600</v>
      </c>
      <c r="C336" s="4">
        <v>244</v>
      </c>
      <c r="D336" s="5">
        <v>44571</v>
      </c>
      <c r="E336" t="str">
        <f>"202201048004"</f>
        <v>202201048004</v>
      </c>
      <c r="F336" t="str">
        <f>"DEV. SVCS RECORDING FEES/DEC"</f>
        <v>DEV. SVCS RECORDING FEES/DEC</v>
      </c>
      <c r="G336" t="str">
        <f>"DEV. SVCS RECORDING FEES/DEC"</f>
        <v>DEV. SVCS RECORDING FEES/DEC</v>
      </c>
      <c r="H336" s="4">
        <v>244</v>
      </c>
    </row>
    <row r="337" spans="1:8" x14ac:dyDescent="0.25">
      <c r="A337" t="s">
        <v>37</v>
      </c>
      <c r="B337">
        <v>138887</v>
      </c>
      <c r="C337" s="4">
        <v>61</v>
      </c>
      <c r="D337" s="5">
        <v>44586</v>
      </c>
      <c r="E337" t="str">
        <f>"202201258559"</f>
        <v>202201258559</v>
      </c>
      <c r="F337" t="str">
        <f>"DEVELOPMENT SVCS FEE"</f>
        <v>DEVELOPMENT SVCS FEE</v>
      </c>
      <c r="G337" t="str">
        <f>"DEVELOPMENT SVCS FEE"</f>
        <v>DEVELOPMENT SVCS FEE</v>
      </c>
      <c r="H337" s="4">
        <v>61</v>
      </c>
    </row>
    <row r="338" spans="1:8" x14ac:dyDescent="0.25">
      <c r="A338" t="s">
        <v>83</v>
      </c>
      <c r="B338">
        <v>138785</v>
      </c>
      <c r="C338" s="4">
        <v>75</v>
      </c>
      <c r="D338" s="5">
        <v>44585</v>
      </c>
      <c r="E338" t="str">
        <f>"13313"</f>
        <v>13313</v>
      </c>
      <c r="F338" t="str">
        <f>"SERVICE"</f>
        <v>SERVICE</v>
      </c>
      <c r="G338" t="str">
        <f>"SERVICE"</f>
        <v>SERVICE</v>
      </c>
      <c r="H338" s="4">
        <v>75</v>
      </c>
    </row>
    <row r="339" spans="1:8" x14ac:dyDescent="0.25">
      <c r="A339" t="s">
        <v>84</v>
      </c>
      <c r="B339">
        <v>5712</v>
      </c>
      <c r="C339" s="4">
        <v>104.98</v>
      </c>
      <c r="D339" s="5">
        <v>44586</v>
      </c>
      <c r="E339" t="str">
        <f>"265293"</f>
        <v>265293</v>
      </c>
      <c r="F339" t="str">
        <f>"CUST#4011/PCT#3"</f>
        <v>CUST#4011/PCT#3</v>
      </c>
      <c r="G339" t="str">
        <f>"CUST#4011/PCT#3"</f>
        <v>CUST#4011/PCT#3</v>
      </c>
      <c r="H339" s="4">
        <v>104.98</v>
      </c>
    </row>
    <row r="340" spans="1:8" x14ac:dyDescent="0.25">
      <c r="A340" t="s">
        <v>85</v>
      </c>
      <c r="B340">
        <v>138601</v>
      </c>
      <c r="C340" s="4">
        <v>1432.99</v>
      </c>
      <c r="D340" s="5">
        <v>44571</v>
      </c>
      <c r="E340" t="str">
        <f>"VS97001"</f>
        <v>VS97001</v>
      </c>
      <c r="F340" t="str">
        <f>"ACCT#68930-000/ANIMAL SHELTER"</f>
        <v>ACCT#68930-000/ANIMAL SHELTER</v>
      </c>
      <c r="G340" t="str">
        <f t="shared" ref="G340:G349" si="14">"ACCT#68930-000/ANIMAL SHELTER"</f>
        <v>ACCT#68930-000/ANIMAL SHELTER</v>
      </c>
      <c r="H340" s="4">
        <v>23.76</v>
      </c>
    </row>
    <row r="341" spans="1:8" x14ac:dyDescent="0.25">
      <c r="E341" t="str">
        <f>"VS97327"</f>
        <v>VS97327</v>
      </c>
      <c r="F341" t="str">
        <f>"ACCT#68930-000/ANIMAL SHELTER"</f>
        <v>ACCT#68930-000/ANIMAL SHELTER</v>
      </c>
      <c r="G341" t="str">
        <f t="shared" si="14"/>
        <v>ACCT#68930-000/ANIMAL SHELTER</v>
      </c>
      <c r="H341" s="4">
        <v>38.99</v>
      </c>
    </row>
    <row r="342" spans="1:8" x14ac:dyDescent="0.25">
      <c r="E342" t="str">
        <f>""</f>
        <v/>
      </c>
      <c r="F342" t="str">
        <f>""</f>
        <v/>
      </c>
      <c r="G342" t="str">
        <f t="shared" si="14"/>
        <v>ACCT#68930-000/ANIMAL SHELTER</v>
      </c>
      <c r="H342" s="4">
        <v>42.62</v>
      </c>
    </row>
    <row r="343" spans="1:8" x14ac:dyDescent="0.25">
      <c r="E343" t="str">
        <f>"VU20081"</f>
        <v>VU20081</v>
      </c>
      <c r="F343" t="str">
        <f>"ACCT#68930-000/ANIMAL SHELTER"</f>
        <v>ACCT#68930-000/ANIMAL SHELTER</v>
      </c>
      <c r="G343" t="str">
        <f t="shared" si="14"/>
        <v>ACCT#68930-000/ANIMAL SHELTER</v>
      </c>
      <c r="H343" s="4">
        <v>37</v>
      </c>
    </row>
    <row r="344" spans="1:8" x14ac:dyDescent="0.25">
      <c r="E344" t="str">
        <f>"VV38972"</f>
        <v>VV38972</v>
      </c>
      <c r="F344" t="str">
        <f>"ACCT#68930-000/ANIMAL SHELTER"</f>
        <v>ACCT#68930-000/ANIMAL SHELTER</v>
      </c>
      <c r="G344" t="str">
        <f t="shared" si="14"/>
        <v>ACCT#68930-000/ANIMAL SHELTER</v>
      </c>
      <c r="H344" s="4">
        <v>167.98</v>
      </c>
    </row>
    <row r="345" spans="1:8" x14ac:dyDescent="0.25">
      <c r="E345" t="str">
        <f>""</f>
        <v/>
      </c>
      <c r="F345" t="str">
        <f>""</f>
        <v/>
      </c>
      <c r="G345" t="str">
        <f t="shared" si="14"/>
        <v>ACCT#68930-000/ANIMAL SHELTER</v>
      </c>
      <c r="H345" s="4">
        <v>810.9</v>
      </c>
    </row>
    <row r="346" spans="1:8" x14ac:dyDescent="0.25">
      <c r="E346" t="str">
        <f>""</f>
        <v/>
      </c>
      <c r="F346" t="str">
        <f>""</f>
        <v/>
      </c>
      <c r="G346" t="str">
        <f t="shared" si="14"/>
        <v>ACCT#68930-000/ANIMAL SHELTER</v>
      </c>
      <c r="H346" s="4">
        <v>138.07</v>
      </c>
    </row>
    <row r="347" spans="1:8" x14ac:dyDescent="0.25">
      <c r="E347" t="str">
        <f>"VV39282"</f>
        <v>VV39282</v>
      </c>
      <c r="F347" t="str">
        <f>"ACCT#68930-000/ANIMAL SHELTER"</f>
        <v>ACCT#68930-000/ANIMAL SHELTER</v>
      </c>
      <c r="G347" t="str">
        <f t="shared" si="14"/>
        <v>ACCT#68930-000/ANIMAL SHELTER</v>
      </c>
      <c r="H347" s="4">
        <v>42.61</v>
      </c>
    </row>
    <row r="348" spans="1:8" x14ac:dyDescent="0.25">
      <c r="E348" t="str">
        <f>"VV42263"</f>
        <v>VV42263</v>
      </c>
      <c r="F348" t="str">
        <f>"ACCT#68930-000/ANIMAL SHELTER"</f>
        <v>ACCT#68930-000/ANIMAL SHELTER</v>
      </c>
      <c r="G348" t="str">
        <f t="shared" si="14"/>
        <v>ACCT#68930-000/ANIMAL SHELTER</v>
      </c>
      <c r="H348" s="4">
        <v>71.44</v>
      </c>
    </row>
    <row r="349" spans="1:8" x14ac:dyDescent="0.25">
      <c r="E349" t="str">
        <f>"VV43403"</f>
        <v>VV43403</v>
      </c>
      <c r="F349" t="str">
        <f>"ACCT#68930-000/ANIMAL SHELTER"</f>
        <v>ACCT#68930-000/ANIMAL SHELTER</v>
      </c>
      <c r="G349" t="str">
        <f t="shared" si="14"/>
        <v>ACCT#68930-000/ANIMAL SHELTER</v>
      </c>
      <c r="H349" s="4">
        <v>59.62</v>
      </c>
    </row>
    <row r="350" spans="1:8" x14ac:dyDescent="0.25">
      <c r="A350" t="s">
        <v>85</v>
      </c>
      <c r="B350">
        <v>138786</v>
      </c>
      <c r="C350" s="4">
        <v>7052.04</v>
      </c>
      <c r="D350" s="5">
        <v>44585</v>
      </c>
      <c r="E350" t="str">
        <f>"VS42938"</f>
        <v>VS42938</v>
      </c>
      <c r="F350" t="str">
        <f>"CUST#68930-000/ANIMAL SHELTER"</f>
        <v>CUST#68930-000/ANIMAL SHELTER</v>
      </c>
      <c r="G350" t="str">
        <f>"CUST#68930-000/ANIMAL SHELTER"</f>
        <v>CUST#68930-000/ANIMAL SHELTER</v>
      </c>
      <c r="H350" s="4">
        <v>3222.74</v>
      </c>
    </row>
    <row r="351" spans="1:8" x14ac:dyDescent="0.25">
      <c r="E351" t="str">
        <f>"VV55599"</f>
        <v>VV55599</v>
      </c>
      <c r="F351" t="str">
        <f>"ACCT#68930/ANIMAL SHELTER"</f>
        <v>ACCT#68930/ANIMAL SHELTER</v>
      </c>
      <c r="G351" t="str">
        <f>"ACCT#68930/ANIMAL SHELTER"</f>
        <v>ACCT#68930/ANIMAL SHELTER</v>
      </c>
      <c r="H351" s="4">
        <v>3240.38</v>
      </c>
    </row>
    <row r="352" spans="1:8" x14ac:dyDescent="0.25">
      <c r="E352" t="str">
        <f>"VW58326"</f>
        <v>VW58326</v>
      </c>
      <c r="F352" t="str">
        <f>"ACCT#68930/ANIMAL SHELTER"</f>
        <v>ACCT#68930/ANIMAL SHELTER</v>
      </c>
      <c r="G352" t="str">
        <f>"ACCT#68930/ANIMAL SHELTER"</f>
        <v>ACCT#68930/ANIMAL SHELTER</v>
      </c>
      <c r="H352" s="4">
        <v>40.57</v>
      </c>
    </row>
    <row r="353" spans="1:8" x14ac:dyDescent="0.25">
      <c r="E353" t="str">
        <f>""</f>
        <v/>
      </c>
      <c r="F353" t="str">
        <f>""</f>
        <v/>
      </c>
      <c r="G353" t="str">
        <f>"ACCT#68930/ANIMAL SHELTER"</f>
        <v>ACCT#68930/ANIMAL SHELTER</v>
      </c>
      <c r="H353" s="4">
        <v>548.35</v>
      </c>
    </row>
    <row r="354" spans="1:8" x14ac:dyDescent="0.25">
      <c r="A354" t="s">
        <v>86</v>
      </c>
      <c r="B354">
        <v>138787</v>
      </c>
      <c r="C354" s="4">
        <v>25</v>
      </c>
      <c r="D354" s="5">
        <v>44585</v>
      </c>
      <c r="E354" t="str">
        <f>"13-163/12-20-21"</f>
        <v>13-163/12-20-21</v>
      </c>
      <c r="F354" t="str">
        <f>"RESTITUTION-M.MANZANARES"</f>
        <v>RESTITUTION-M.MANZANARES</v>
      </c>
      <c r="G354" t="str">
        <f>"RESTITUTION-M.MANZANARES"</f>
        <v>RESTITUTION-M.MANZANARES</v>
      </c>
      <c r="H354" s="4">
        <v>25</v>
      </c>
    </row>
    <row r="355" spans="1:8" x14ac:dyDescent="0.25">
      <c r="A355" t="s">
        <v>87</v>
      </c>
      <c r="B355">
        <v>138788</v>
      </c>
      <c r="C355" s="4">
        <v>160</v>
      </c>
      <c r="D355" s="5">
        <v>44585</v>
      </c>
      <c r="E355" t="str">
        <f>"13610"</f>
        <v>13610</v>
      </c>
      <c r="F355" t="str">
        <f>"SERVICE"</f>
        <v>SERVICE</v>
      </c>
      <c r="G355" t="str">
        <f>"SERVICE"</f>
        <v>SERVICE</v>
      </c>
      <c r="H355" s="4">
        <v>80</v>
      </c>
    </row>
    <row r="356" spans="1:8" x14ac:dyDescent="0.25">
      <c r="E356" t="str">
        <f>"13794"</f>
        <v>13794</v>
      </c>
      <c r="F356" t="str">
        <f>"SERVICE"</f>
        <v>SERVICE</v>
      </c>
      <c r="G356" t="str">
        <f>"SERVICE"</f>
        <v>SERVICE</v>
      </c>
      <c r="H356" s="4">
        <v>80</v>
      </c>
    </row>
    <row r="357" spans="1:8" x14ac:dyDescent="0.25">
      <c r="A357" t="s">
        <v>88</v>
      </c>
      <c r="B357">
        <v>138789</v>
      </c>
      <c r="C357" s="4">
        <v>15</v>
      </c>
      <c r="D357" s="5">
        <v>44585</v>
      </c>
      <c r="E357" t="str">
        <f>"16-020/12-28-21"</f>
        <v>16-020/12-28-21</v>
      </c>
      <c r="F357" t="str">
        <f>"RESTITUTION-DARRYL KOUBA"</f>
        <v>RESTITUTION-DARRYL KOUBA</v>
      </c>
      <c r="G357" t="str">
        <f>"RESTITUTION-DARRYL KOUBA"</f>
        <v>RESTITUTION-DARRYL KOUBA</v>
      </c>
      <c r="H357" s="4">
        <v>15</v>
      </c>
    </row>
    <row r="358" spans="1:8" x14ac:dyDescent="0.25">
      <c r="A358" t="s">
        <v>89</v>
      </c>
      <c r="B358">
        <v>5655</v>
      </c>
      <c r="C358" s="4">
        <v>602.70000000000005</v>
      </c>
      <c r="D358" s="5">
        <v>44572</v>
      </c>
      <c r="E358" t="str">
        <f>"1249559"</f>
        <v>1249559</v>
      </c>
      <c r="F358" t="str">
        <f>"INV 1249559"</f>
        <v>INV 1249559</v>
      </c>
      <c r="G358" t="str">
        <f>"INV 1249559"</f>
        <v>INV 1249559</v>
      </c>
      <c r="H358" s="4">
        <v>602.70000000000005</v>
      </c>
    </row>
    <row r="359" spans="1:8" x14ac:dyDescent="0.25">
      <c r="A359" t="s">
        <v>90</v>
      </c>
      <c r="B359">
        <v>5642</v>
      </c>
      <c r="C359" s="4">
        <v>200</v>
      </c>
      <c r="D359" s="5">
        <v>44572</v>
      </c>
      <c r="E359" t="str">
        <f>"202201048003"</f>
        <v>202201048003</v>
      </c>
      <c r="F359" t="str">
        <f>"DAVID B BROOKS/NOV&amp;DEC 21"</f>
        <v>DAVID B BROOKS/NOV&amp;DEC 21</v>
      </c>
      <c r="G359" t="str">
        <f>"DAVID B BROOKS/NOV&amp;DEC 21"</f>
        <v>DAVID B BROOKS/NOV&amp;DEC 21</v>
      </c>
      <c r="H359" s="4">
        <v>200</v>
      </c>
    </row>
    <row r="360" spans="1:8" x14ac:dyDescent="0.25">
      <c r="A360" t="s">
        <v>91</v>
      </c>
      <c r="B360">
        <v>138790</v>
      </c>
      <c r="C360" s="4">
        <v>1441</v>
      </c>
      <c r="D360" s="5">
        <v>44585</v>
      </c>
      <c r="E360" t="str">
        <f>"143788"</f>
        <v>143788</v>
      </c>
      <c r="F360" t="str">
        <f>"INV 143788"</f>
        <v>INV 143788</v>
      </c>
      <c r="G360" t="str">
        <f>"INV 143788 (LE)"</f>
        <v>INV 143788 (LE)</v>
      </c>
      <c r="H360" s="4">
        <v>720.5</v>
      </c>
    </row>
    <row r="361" spans="1:8" x14ac:dyDescent="0.25">
      <c r="E361" t="str">
        <f>""</f>
        <v/>
      </c>
      <c r="F361" t="str">
        <f>""</f>
        <v/>
      </c>
      <c r="G361" t="str">
        <f>"INV 143788 (JAIL)"</f>
        <v>INV 143788 (JAIL)</v>
      </c>
      <c r="H361" s="4">
        <v>720.5</v>
      </c>
    </row>
    <row r="362" spans="1:8" x14ac:dyDescent="0.25">
      <c r="A362" t="s">
        <v>92</v>
      </c>
      <c r="B362">
        <v>138602</v>
      </c>
      <c r="C362" s="4">
        <v>1622.73</v>
      </c>
      <c r="D362" s="5">
        <v>44571</v>
      </c>
      <c r="E362" t="str">
        <f>"229209155"</f>
        <v>229209155</v>
      </c>
      <c r="F362" t="str">
        <f>"INV 229209155  229211198"</f>
        <v>INV 229209155  229211198</v>
      </c>
      <c r="G362" t="str">
        <f>"INV 229209155"</f>
        <v>INV 229209155</v>
      </c>
      <c r="H362" s="4">
        <v>633.88</v>
      </c>
    </row>
    <row r="363" spans="1:8" x14ac:dyDescent="0.25">
      <c r="E363" t="str">
        <f>""</f>
        <v/>
      </c>
      <c r="F363" t="str">
        <f>""</f>
        <v/>
      </c>
      <c r="G363" t="str">
        <f>"INV 229211198"</f>
        <v>INV 229211198</v>
      </c>
      <c r="H363" s="4">
        <v>760.65</v>
      </c>
    </row>
    <row r="364" spans="1:8" x14ac:dyDescent="0.25">
      <c r="E364" t="str">
        <f>""</f>
        <v/>
      </c>
      <c r="F364" t="str">
        <f>""</f>
        <v/>
      </c>
      <c r="G364" t="str">
        <f>"INV 229212415"</f>
        <v>INV 229212415</v>
      </c>
      <c r="H364" s="4">
        <v>228.2</v>
      </c>
    </row>
    <row r="365" spans="1:8" x14ac:dyDescent="0.25">
      <c r="A365" t="s">
        <v>92</v>
      </c>
      <c r="B365">
        <v>138791</v>
      </c>
      <c r="C365" s="4">
        <v>1419.88</v>
      </c>
      <c r="D365" s="5">
        <v>44585</v>
      </c>
      <c r="E365" t="str">
        <f>"229213614"</f>
        <v>229213614</v>
      </c>
      <c r="F365" t="str">
        <f>"INV 229213614"</f>
        <v>INV 229213614</v>
      </c>
      <c r="G365" t="str">
        <f>"INV 229213614"</f>
        <v>INV 229213614</v>
      </c>
      <c r="H365" s="4">
        <v>862.07</v>
      </c>
    </row>
    <row r="366" spans="1:8" x14ac:dyDescent="0.25">
      <c r="E366" t="str">
        <f>""</f>
        <v/>
      </c>
      <c r="F366" t="str">
        <f>""</f>
        <v/>
      </c>
      <c r="G366" t="str">
        <f>"INV 229216326"</f>
        <v>INV 229216326</v>
      </c>
      <c r="H366" s="4">
        <v>557.80999999999995</v>
      </c>
    </row>
    <row r="367" spans="1:8" x14ac:dyDescent="0.25">
      <c r="A367" t="s">
        <v>93</v>
      </c>
      <c r="B367">
        <v>138603</v>
      </c>
      <c r="C367" s="4">
        <v>85.48</v>
      </c>
      <c r="D367" s="5">
        <v>44571</v>
      </c>
      <c r="E367" t="str">
        <f>"202201048150"</f>
        <v>202201048150</v>
      </c>
      <c r="F367" t="str">
        <f>"DELL External USB"</f>
        <v>DELL External USB</v>
      </c>
      <c r="G367" t="str">
        <f>"DELL External USB"</f>
        <v>DELL External USB</v>
      </c>
      <c r="H367" s="4">
        <v>85.48</v>
      </c>
    </row>
    <row r="368" spans="1:8" x14ac:dyDescent="0.25">
      <c r="A368" t="s">
        <v>93</v>
      </c>
      <c r="B368">
        <v>138792</v>
      </c>
      <c r="C368" s="4">
        <v>10629.5</v>
      </c>
      <c r="D368" s="5">
        <v>44585</v>
      </c>
      <c r="E368" t="str">
        <f>"3000106715019"</f>
        <v>3000106715019</v>
      </c>
      <c r="F368" t="str">
        <f>"DELL Ultra Sharp 40"</f>
        <v>DELL Ultra Sharp 40</v>
      </c>
      <c r="G368" t="str">
        <f>"DELL Ultra Sharp 40"</f>
        <v>DELL Ultra Sharp 40</v>
      </c>
      <c r="H368" s="4">
        <v>10629.5</v>
      </c>
    </row>
    <row r="369" spans="1:8" x14ac:dyDescent="0.25">
      <c r="A369" t="s">
        <v>94</v>
      </c>
      <c r="B369">
        <v>5645</v>
      </c>
      <c r="C369" s="4">
        <v>1495</v>
      </c>
      <c r="D369" s="5">
        <v>44572</v>
      </c>
      <c r="E369" t="str">
        <f>"BATX017664"</f>
        <v>BATX017664</v>
      </c>
      <c r="F369" t="str">
        <f>"INV BATX017664"</f>
        <v>INV BATX017664</v>
      </c>
      <c r="G369" t="str">
        <f>"INV BATX017664"</f>
        <v>INV BATX017664</v>
      </c>
      <c r="H369" s="4">
        <v>1495</v>
      </c>
    </row>
    <row r="370" spans="1:8" x14ac:dyDescent="0.25">
      <c r="A370" t="s">
        <v>95</v>
      </c>
      <c r="B370">
        <v>138793</v>
      </c>
      <c r="C370" s="4">
        <v>27.5</v>
      </c>
      <c r="D370" s="5">
        <v>44585</v>
      </c>
      <c r="E370" t="str">
        <f>"28891"</f>
        <v>28891</v>
      </c>
      <c r="F370" t="str">
        <f>"INV 28891"</f>
        <v>INV 28891</v>
      </c>
      <c r="G370" t="str">
        <f>"INV 28891"</f>
        <v>INV 28891</v>
      </c>
      <c r="H370" s="4">
        <v>27.5</v>
      </c>
    </row>
    <row r="371" spans="1:8" x14ac:dyDescent="0.25">
      <c r="A371" t="s">
        <v>96</v>
      </c>
      <c r="B371">
        <v>138604</v>
      </c>
      <c r="C371" s="4">
        <v>19137.3</v>
      </c>
      <c r="D371" s="5">
        <v>44571</v>
      </c>
      <c r="E371" t="str">
        <f>"202201047996"</f>
        <v>202201047996</v>
      </c>
      <c r="F371" t="str">
        <f>"CUST#PKE5000"</f>
        <v>CUST#PKE5000</v>
      </c>
      <c r="G371" t="str">
        <f>"CUST#PKE5000"</f>
        <v>CUST#PKE5000</v>
      </c>
      <c r="H371" s="4">
        <v>19137.3</v>
      </c>
    </row>
    <row r="372" spans="1:8" x14ac:dyDescent="0.25">
      <c r="A372" t="s">
        <v>97</v>
      </c>
      <c r="B372">
        <v>138794</v>
      </c>
      <c r="C372" s="4">
        <v>134.34</v>
      </c>
      <c r="D372" s="5">
        <v>44585</v>
      </c>
      <c r="E372" t="str">
        <f>"2025"</f>
        <v>2025</v>
      </c>
      <c r="F372" t="str">
        <f>"INV 2025"</f>
        <v>INV 2025</v>
      </c>
      <c r="G372" t="str">
        <f>"INV 2025"</f>
        <v>INV 2025</v>
      </c>
      <c r="H372" s="4">
        <v>134.34</v>
      </c>
    </row>
    <row r="373" spans="1:8" x14ac:dyDescent="0.25">
      <c r="A373" t="s">
        <v>98</v>
      </c>
      <c r="B373">
        <v>138795</v>
      </c>
      <c r="C373" s="4">
        <v>268.54000000000002</v>
      </c>
      <c r="D373" s="5">
        <v>44585</v>
      </c>
      <c r="E373" t="str">
        <f>"2944434"</f>
        <v>2944434</v>
      </c>
      <c r="F373" t="str">
        <f>"ACCT#27917/PCT#4"</f>
        <v>ACCT#27917/PCT#4</v>
      </c>
      <c r="G373" t="str">
        <f>"ACCT#27917/PCT#4"</f>
        <v>ACCT#27917/PCT#4</v>
      </c>
      <c r="H373" s="4">
        <v>268.54000000000002</v>
      </c>
    </row>
    <row r="374" spans="1:8" x14ac:dyDescent="0.25">
      <c r="A374" t="s">
        <v>99</v>
      </c>
      <c r="B374">
        <v>138890</v>
      </c>
      <c r="C374" s="4">
        <v>749.4</v>
      </c>
      <c r="D374" s="5">
        <v>44588</v>
      </c>
      <c r="E374" t="str">
        <f>"202201278585"</f>
        <v>202201278585</v>
      </c>
      <c r="F374" t="str">
        <f>"ACCT#405900029213 / 02012022"</f>
        <v>ACCT#405900029213 / 02012022</v>
      </c>
      <c r="G374" t="str">
        <f>"ACCT#405900029213 / 02012022"</f>
        <v>ACCT#405900029213 / 02012022</v>
      </c>
      <c r="H374" s="4">
        <v>374.7</v>
      </c>
    </row>
    <row r="375" spans="1:8" x14ac:dyDescent="0.25">
      <c r="E375" t="str">
        <f>"202201278586"</f>
        <v>202201278586</v>
      </c>
      <c r="F375" t="str">
        <f>"ACCT#405900029225 / 02012022"</f>
        <v>ACCT#405900029225 / 02012022</v>
      </c>
      <c r="G375" t="str">
        <f>"DONNIE STARK"</f>
        <v>DONNIE STARK</v>
      </c>
      <c r="H375" s="4">
        <v>187.35</v>
      </c>
    </row>
    <row r="376" spans="1:8" x14ac:dyDescent="0.25">
      <c r="E376" t="str">
        <f>"202201278587"</f>
        <v>202201278587</v>
      </c>
      <c r="F376" t="str">
        <f>"ACCT#405900028789 / 02012022"</f>
        <v>ACCT#405900028789 / 02012022</v>
      </c>
      <c r="G376" t="str">
        <f>"DONNIE STARK"</f>
        <v>DONNIE STARK</v>
      </c>
      <c r="H376" s="4">
        <v>187.35</v>
      </c>
    </row>
    <row r="377" spans="1:8" x14ac:dyDescent="0.25">
      <c r="A377" t="s">
        <v>100</v>
      </c>
      <c r="B377">
        <v>138796</v>
      </c>
      <c r="C377" s="4">
        <v>25</v>
      </c>
      <c r="D377" s="5">
        <v>44585</v>
      </c>
      <c r="E377" t="str">
        <f>"13-163/12/20"</f>
        <v>13-163/12/20</v>
      </c>
      <c r="F377" t="str">
        <f>"RESTITUTION-M.MANZANARES"</f>
        <v>RESTITUTION-M.MANZANARES</v>
      </c>
      <c r="G377" t="str">
        <f>"RESTITUTION-M.MANZANARES"</f>
        <v>RESTITUTION-M.MANZANARES</v>
      </c>
      <c r="H377" s="4">
        <v>25</v>
      </c>
    </row>
    <row r="378" spans="1:8" x14ac:dyDescent="0.25">
      <c r="A378" t="s">
        <v>101</v>
      </c>
      <c r="B378">
        <v>5632</v>
      </c>
      <c r="C378" s="4">
        <v>2854.83</v>
      </c>
      <c r="D378" s="5">
        <v>44572</v>
      </c>
      <c r="E378" t="str">
        <f>"30183B"</f>
        <v>30183B</v>
      </c>
      <c r="F378" t="str">
        <f>"INV 30183B"</f>
        <v>INV 30183B</v>
      </c>
      <c r="G378" t="str">
        <f>"INV 30183B"</f>
        <v>INV 30183B</v>
      </c>
      <c r="H378" s="4">
        <v>2854.83</v>
      </c>
    </row>
    <row r="379" spans="1:8" x14ac:dyDescent="0.25">
      <c r="A379" t="s">
        <v>102</v>
      </c>
      <c r="B379">
        <v>5662</v>
      </c>
      <c r="C379" s="4">
        <v>5725</v>
      </c>
      <c r="D379" s="5">
        <v>44572</v>
      </c>
      <c r="E379" t="str">
        <f>"202201048032"</f>
        <v>202201048032</v>
      </c>
      <c r="F379" t="str">
        <f>"16063"</f>
        <v>16063</v>
      </c>
      <c r="G379" t="str">
        <f>"16063"</f>
        <v>16063</v>
      </c>
      <c r="H379" s="4">
        <v>1950</v>
      </c>
    </row>
    <row r="380" spans="1:8" x14ac:dyDescent="0.25">
      <c r="E380" t="str">
        <f>"202201048037"</f>
        <v>202201048037</v>
      </c>
      <c r="F380" t="str">
        <f>"20-20403"</f>
        <v>20-20403</v>
      </c>
      <c r="G380" t="str">
        <f>"20-20403"</f>
        <v>20-20403</v>
      </c>
      <c r="H380" s="4">
        <v>337.5</v>
      </c>
    </row>
    <row r="381" spans="1:8" x14ac:dyDescent="0.25">
      <c r="E381" t="str">
        <f>"202201048038"</f>
        <v>202201048038</v>
      </c>
      <c r="F381" t="str">
        <f>"21-20593"</f>
        <v>21-20593</v>
      </c>
      <c r="G381" t="str">
        <f>"21-20593"</f>
        <v>21-20593</v>
      </c>
      <c r="H381" s="4">
        <v>275</v>
      </c>
    </row>
    <row r="382" spans="1:8" x14ac:dyDescent="0.25">
      <c r="E382" t="str">
        <f>"202201048039"</f>
        <v>202201048039</v>
      </c>
      <c r="F382" t="str">
        <f>"17-18278"</f>
        <v>17-18278</v>
      </c>
      <c r="G382" t="str">
        <f>"17-18278"</f>
        <v>17-18278</v>
      </c>
      <c r="H382" s="4">
        <v>425</v>
      </c>
    </row>
    <row r="383" spans="1:8" x14ac:dyDescent="0.25">
      <c r="E383" t="str">
        <f>"202201048040"</f>
        <v>202201048040</v>
      </c>
      <c r="F383" t="str">
        <f>"21-21036"</f>
        <v>21-21036</v>
      </c>
      <c r="G383" t="str">
        <f>"21-21036"</f>
        <v>21-21036</v>
      </c>
      <c r="H383" s="4">
        <v>587.5</v>
      </c>
    </row>
    <row r="384" spans="1:8" x14ac:dyDescent="0.25">
      <c r="E384" t="str">
        <f>"202201048048"</f>
        <v>202201048048</v>
      </c>
      <c r="F384" t="str">
        <f>"JP108082021C"</f>
        <v>JP108082021C</v>
      </c>
      <c r="G384" t="str">
        <f>"JP108082021C"</f>
        <v>JP108082021C</v>
      </c>
      <c r="H384" s="4">
        <v>250</v>
      </c>
    </row>
    <row r="385" spans="1:8" x14ac:dyDescent="0.25">
      <c r="E385" t="str">
        <f>"202201048049"</f>
        <v>202201048049</v>
      </c>
      <c r="F385" t="str">
        <f>"57948"</f>
        <v>57948</v>
      </c>
      <c r="G385" t="str">
        <f>"57948"</f>
        <v>57948</v>
      </c>
      <c r="H385" s="4">
        <v>375</v>
      </c>
    </row>
    <row r="386" spans="1:8" x14ac:dyDescent="0.25">
      <c r="E386" t="str">
        <f>"202201048050"</f>
        <v>202201048050</v>
      </c>
      <c r="F386" t="str">
        <f>"58188"</f>
        <v>58188</v>
      </c>
      <c r="G386" t="str">
        <f>"58188"</f>
        <v>58188</v>
      </c>
      <c r="H386" s="4">
        <v>250</v>
      </c>
    </row>
    <row r="387" spans="1:8" x14ac:dyDescent="0.25">
      <c r="E387" t="str">
        <f>"202201048051"</f>
        <v>202201048051</v>
      </c>
      <c r="F387" t="str">
        <f>"57547"</f>
        <v>57547</v>
      </c>
      <c r="G387" t="str">
        <f>"57547"</f>
        <v>57547</v>
      </c>
      <c r="H387" s="4">
        <v>375</v>
      </c>
    </row>
    <row r="388" spans="1:8" x14ac:dyDescent="0.25">
      <c r="E388" t="str">
        <f>"202201048052"</f>
        <v>202201048052</v>
      </c>
      <c r="F388" t="str">
        <f>"J-3183"</f>
        <v>J-3183</v>
      </c>
      <c r="G388" t="str">
        <f>"J-3183"</f>
        <v>J-3183</v>
      </c>
      <c r="H388" s="4">
        <v>650</v>
      </c>
    </row>
    <row r="389" spans="1:8" x14ac:dyDescent="0.25">
      <c r="E389" t="str">
        <f>"202201048053"</f>
        <v>202201048053</v>
      </c>
      <c r="F389" t="str">
        <f>"4090521-2"</f>
        <v>4090521-2</v>
      </c>
      <c r="G389" t="str">
        <f>"4090521-2"</f>
        <v>4090521-2</v>
      </c>
      <c r="H389" s="4">
        <v>250</v>
      </c>
    </row>
    <row r="390" spans="1:8" x14ac:dyDescent="0.25">
      <c r="A390" t="s">
        <v>102</v>
      </c>
      <c r="B390">
        <v>5735</v>
      </c>
      <c r="C390" s="4">
        <v>1643.79</v>
      </c>
      <c r="D390" s="5">
        <v>44586</v>
      </c>
      <c r="E390" t="str">
        <f>"202201138322"</f>
        <v>202201138322</v>
      </c>
      <c r="F390" t="str">
        <f>"1954-21"</f>
        <v>1954-21</v>
      </c>
      <c r="G390" t="str">
        <f>"1954-21"</f>
        <v>1954-21</v>
      </c>
      <c r="H390" s="4">
        <v>100</v>
      </c>
    </row>
    <row r="391" spans="1:8" x14ac:dyDescent="0.25">
      <c r="E391" t="str">
        <f>"202201138323"</f>
        <v>202201138323</v>
      </c>
      <c r="F391" t="str">
        <f>"AC-2021-0521"</f>
        <v>AC-2021-0521</v>
      </c>
      <c r="G391" t="str">
        <f>"AC-2021-0521"</f>
        <v>AC-2021-0521</v>
      </c>
      <c r="H391" s="4">
        <v>400</v>
      </c>
    </row>
    <row r="392" spans="1:8" x14ac:dyDescent="0.25">
      <c r="E392" t="str">
        <f>"202201188458"</f>
        <v>202201188458</v>
      </c>
      <c r="F392" t="str">
        <f>"19-19994"</f>
        <v>19-19994</v>
      </c>
      <c r="G392" t="str">
        <f>"19-19994"</f>
        <v>19-19994</v>
      </c>
      <c r="H392" s="4">
        <v>1143.79</v>
      </c>
    </row>
    <row r="393" spans="1:8" x14ac:dyDescent="0.25">
      <c r="A393" t="s">
        <v>103</v>
      </c>
      <c r="B393">
        <v>138797</v>
      </c>
      <c r="C393" s="4">
        <v>110</v>
      </c>
      <c r="D393" s="5">
        <v>44585</v>
      </c>
      <c r="E393" t="str">
        <f>"202201138441"</f>
        <v>202201138441</v>
      </c>
      <c r="F393" t="str">
        <f>"911 RELIEF SPRAY/PCT#2"</f>
        <v>911 RELIEF SPRAY/PCT#2</v>
      </c>
      <c r="G393" t="str">
        <f>"911 RELIEF SPRAY/PCT#2"</f>
        <v>911 RELIEF SPRAY/PCT#2</v>
      </c>
      <c r="H393" s="4">
        <v>110</v>
      </c>
    </row>
    <row r="394" spans="1:8" x14ac:dyDescent="0.25">
      <c r="A394" t="s">
        <v>104</v>
      </c>
      <c r="B394">
        <v>5714</v>
      </c>
      <c r="C394" s="4">
        <v>996.32</v>
      </c>
      <c r="D394" s="5">
        <v>44586</v>
      </c>
      <c r="E394" t="str">
        <f>"6265826069"</f>
        <v>6265826069</v>
      </c>
      <c r="F394" t="str">
        <f>"INV 6265826069"</f>
        <v>INV 6265826069</v>
      </c>
      <c r="G394" t="str">
        <f>"INV 6265826069"</f>
        <v>INV 6265826069</v>
      </c>
      <c r="H394" s="4">
        <v>996.32</v>
      </c>
    </row>
    <row r="395" spans="1:8" x14ac:dyDescent="0.25">
      <c r="A395" t="s">
        <v>105</v>
      </c>
      <c r="B395">
        <v>138798</v>
      </c>
      <c r="C395" s="4">
        <v>117.03</v>
      </c>
      <c r="D395" s="5">
        <v>44585</v>
      </c>
      <c r="E395" t="str">
        <f>"CD2014232"</f>
        <v>CD2014232</v>
      </c>
      <c r="F395" t="str">
        <f>"CUST#30344/ELECTIONS"</f>
        <v>CUST#30344/ELECTIONS</v>
      </c>
      <c r="G395" t="str">
        <f>"CUST#30344/ELECTIONS"</f>
        <v>CUST#30344/ELECTIONS</v>
      </c>
      <c r="H395" s="4">
        <v>117.03</v>
      </c>
    </row>
    <row r="396" spans="1:8" x14ac:dyDescent="0.25">
      <c r="A396" t="s">
        <v>106</v>
      </c>
      <c r="B396">
        <v>138605</v>
      </c>
      <c r="C396" s="4">
        <v>1940</v>
      </c>
      <c r="D396" s="5">
        <v>44571</v>
      </c>
      <c r="E396" t="str">
        <f>"202201048136"</f>
        <v>202201048136</v>
      </c>
      <c r="F396" t="str">
        <f>"FEMA Public Notice"</f>
        <v>FEMA Public Notice</v>
      </c>
      <c r="G396" t="str">
        <f>"FEMA Public Notice"</f>
        <v>FEMA Public Notice</v>
      </c>
      <c r="H396" s="4">
        <v>800</v>
      </c>
    </row>
    <row r="397" spans="1:8" x14ac:dyDescent="0.25">
      <c r="E397" t="str">
        <f>""</f>
        <v/>
      </c>
      <c r="F397" t="str">
        <f>""</f>
        <v/>
      </c>
      <c r="G397" t="str">
        <f>"Affidavite Fee"</f>
        <v>Affidavite Fee</v>
      </c>
      <c r="H397" s="4">
        <v>5</v>
      </c>
    </row>
    <row r="398" spans="1:8" x14ac:dyDescent="0.25">
      <c r="E398" t="str">
        <f>"202201048137"</f>
        <v>202201048137</v>
      </c>
      <c r="F398" t="str">
        <f>"Public Notices"</f>
        <v>Public Notices</v>
      </c>
      <c r="G398" t="str">
        <f>"RFP 21BCP12A"</f>
        <v>RFP 21BCP12A</v>
      </c>
      <c r="H398" s="4">
        <v>240</v>
      </c>
    </row>
    <row r="399" spans="1:8" x14ac:dyDescent="0.25">
      <c r="E399" t="str">
        <f>""</f>
        <v/>
      </c>
      <c r="F399" t="str">
        <f>""</f>
        <v/>
      </c>
      <c r="G399" t="str">
        <f>"21BCP12A Affidavit"</f>
        <v>21BCP12A Affidavit</v>
      </c>
      <c r="H399" s="4">
        <v>5</v>
      </c>
    </row>
    <row r="400" spans="1:8" x14ac:dyDescent="0.25">
      <c r="E400" t="str">
        <f>""</f>
        <v/>
      </c>
      <c r="F400" t="str">
        <f>""</f>
        <v/>
      </c>
      <c r="G400" t="str">
        <f>"RFB 21BCP12B"</f>
        <v>RFB 21BCP12B</v>
      </c>
      <c r="H400" s="4">
        <v>240</v>
      </c>
    </row>
    <row r="401" spans="1:8" x14ac:dyDescent="0.25">
      <c r="E401" t="str">
        <f>""</f>
        <v/>
      </c>
      <c r="F401" t="str">
        <f>""</f>
        <v/>
      </c>
      <c r="G401" t="str">
        <f>"21BCP12B Affidavit"</f>
        <v>21BCP12B Affidavit</v>
      </c>
      <c r="H401" s="4">
        <v>5</v>
      </c>
    </row>
    <row r="402" spans="1:8" x14ac:dyDescent="0.25">
      <c r="E402" t="str">
        <f>""</f>
        <v/>
      </c>
      <c r="F402" t="str">
        <f>""</f>
        <v/>
      </c>
      <c r="G402" t="str">
        <f>"RFB 21BCP11D"</f>
        <v>RFB 21BCP11D</v>
      </c>
      <c r="H402" s="4">
        <v>240</v>
      </c>
    </row>
    <row r="403" spans="1:8" x14ac:dyDescent="0.25">
      <c r="E403" t="str">
        <f>""</f>
        <v/>
      </c>
      <c r="F403" t="str">
        <f>""</f>
        <v/>
      </c>
      <c r="G403" t="str">
        <f>"21BCP11D Affidavit"</f>
        <v>21BCP11D Affidavit</v>
      </c>
      <c r="H403" s="4">
        <v>5</v>
      </c>
    </row>
    <row r="404" spans="1:8" x14ac:dyDescent="0.25">
      <c r="E404" t="str">
        <f>""</f>
        <v/>
      </c>
      <c r="F404" t="str">
        <f>""</f>
        <v/>
      </c>
      <c r="G404" t="str">
        <f>"RFB 21BCP12C"</f>
        <v>RFB 21BCP12C</v>
      </c>
      <c r="H404" s="4">
        <v>240</v>
      </c>
    </row>
    <row r="405" spans="1:8" x14ac:dyDescent="0.25">
      <c r="E405" t="str">
        <f>""</f>
        <v/>
      </c>
      <c r="F405" t="str">
        <f>""</f>
        <v/>
      </c>
      <c r="G405" t="str">
        <f>"21BCP12C Affidavit"</f>
        <v>21BCP12C Affidavit</v>
      </c>
      <c r="H405" s="4">
        <v>5</v>
      </c>
    </row>
    <row r="406" spans="1:8" x14ac:dyDescent="0.25">
      <c r="E406" t="str">
        <f>"202201048138"</f>
        <v>202201048138</v>
      </c>
      <c r="F406" t="str">
        <f>"Local Emergency Planning"</f>
        <v>Local Emergency Planning</v>
      </c>
      <c r="G406" t="str">
        <f>"Public Notice - LEPC"</f>
        <v>Public Notice - LEPC</v>
      </c>
      <c r="H406" s="4">
        <v>150</v>
      </c>
    </row>
    <row r="407" spans="1:8" x14ac:dyDescent="0.25">
      <c r="E407" t="str">
        <f>""</f>
        <v/>
      </c>
      <c r="F407" t="str">
        <f>""</f>
        <v/>
      </c>
      <c r="G407" t="str">
        <f>"Affidavit Fee"</f>
        <v>Affidavit Fee</v>
      </c>
      <c r="H407" s="4">
        <v>5</v>
      </c>
    </row>
    <row r="408" spans="1:8" x14ac:dyDescent="0.25">
      <c r="A408" t="s">
        <v>106</v>
      </c>
      <c r="B408">
        <v>138799</v>
      </c>
      <c r="C408" s="4">
        <v>5300</v>
      </c>
      <c r="D408" s="5">
        <v>44585</v>
      </c>
      <c r="E408" t="str">
        <f>"202201138448"</f>
        <v>202201138448</v>
      </c>
      <c r="F408" t="str">
        <f>"BLACKLANDS PUBLICATIONS INC"</f>
        <v>BLACKLANDS PUBLICATIONS INC</v>
      </c>
      <c r="G408" t="str">
        <f>"Re-districting Ad"</f>
        <v>Re-districting Ad</v>
      </c>
      <c r="H408" s="4">
        <v>5295</v>
      </c>
    </row>
    <row r="409" spans="1:8" x14ac:dyDescent="0.25">
      <c r="E409" t="str">
        <f>""</f>
        <v/>
      </c>
      <c r="F409" t="str">
        <f>""</f>
        <v/>
      </c>
      <c r="G409" t="str">
        <f>"Affidavit Fee"</f>
        <v>Affidavit Fee</v>
      </c>
      <c r="H409" s="4">
        <v>5</v>
      </c>
    </row>
    <row r="410" spans="1:8" x14ac:dyDescent="0.25">
      <c r="A410" t="s">
        <v>107</v>
      </c>
      <c r="B410">
        <v>138800</v>
      </c>
      <c r="C410" s="4">
        <v>1097.19</v>
      </c>
      <c r="D410" s="5">
        <v>44585</v>
      </c>
      <c r="E410" t="str">
        <f>"1099549"</f>
        <v>1099549</v>
      </c>
      <c r="F410" t="str">
        <f>"INV 1099549 / 1099723 ..."</f>
        <v>INV 1099549 / 1099723 ...</v>
      </c>
      <c r="G410" t="str">
        <f>"INV 1099549"</f>
        <v>INV 1099549</v>
      </c>
      <c r="H410" s="4">
        <v>518</v>
      </c>
    </row>
    <row r="411" spans="1:8" x14ac:dyDescent="0.25">
      <c r="E411" t="str">
        <f>""</f>
        <v/>
      </c>
      <c r="F411" t="str">
        <f>""</f>
        <v/>
      </c>
      <c r="G411" t="str">
        <f>"INV 1099723"</f>
        <v>INV 1099723</v>
      </c>
      <c r="H411" s="4">
        <v>56.82</v>
      </c>
    </row>
    <row r="412" spans="1:8" x14ac:dyDescent="0.25">
      <c r="E412" t="str">
        <f>""</f>
        <v/>
      </c>
      <c r="F412" t="str">
        <f>""</f>
        <v/>
      </c>
      <c r="G412" t="str">
        <f>"INV 1099547"</f>
        <v>INV 1099547</v>
      </c>
      <c r="H412" s="4">
        <v>123.98</v>
      </c>
    </row>
    <row r="413" spans="1:8" x14ac:dyDescent="0.25">
      <c r="E413" t="str">
        <f>"1100729"</f>
        <v>1100729</v>
      </c>
      <c r="F413" t="str">
        <f>"INV 1100729"</f>
        <v>INV 1100729</v>
      </c>
      <c r="G413" t="str">
        <f>"INV 1100729"</f>
        <v>INV 1100729</v>
      </c>
      <c r="H413" s="4">
        <v>278.39999999999998</v>
      </c>
    </row>
    <row r="414" spans="1:8" x14ac:dyDescent="0.25">
      <c r="E414" t="str">
        <f>"15433"</f>
        <v>15433</v>
      </c>
      <c r="F414" t="str">
        <f>"SUPPLIES/PCT#1"</f>
        <v>SUPPLIES/PCT#1</v>
      </c>
      <c r="G414" t="str">
        <f>"SUPPLIES/PCT#1"</f>
        <v>SUPPLIES/PCT#1</v>
      </c>
      <c r="H414" s="4">
        <v>119.99</v>
      </c>
    </row>
    <row r="415" spans="1:8" x14ac:dyDescent="0.25">
      <c r="A415" t="s">
        <v>108</v>
      </c>
      <c r="B415">
        <v>138756</v>
      </c>
      <c r="C415" s="4">
        <v>1806.76</v>
      </c>
      <c r="D415" s="5">
        <v>44575</v>
      </c>
      <c r="E415" t="str">
        <f>"202201138357"</f>
        <v>202201138357</v>
      </c>
      <c r="F415" t="str">
        <f>"ACCT#007-0008410 / 12312021"</f>
        <v>ACCT#007-0008410 / 12312021</v>
      </c>
      <c r="G415" t="str">
        <f>"CITY OF ELGIN UTILITIES"</f>
        <v>CITY OF ELGIN UTILITIES</v>
      </c>
      <c r="H415" s="4">
        <v>241.11</v>
      </c>
    </row>
    <row r="416" spans="1:8" x14ac:dyDescent="0.25">
      <c r="E416" t="str">
        <f>"202201138358"</f>
        <v>202201138358</v>
      </c>
      <c r="F416" t="str">
        <f>"ACCT#007-0011501-000/12312021"</f>
        <v>ACCT#007-0011501-000/12312021</v>
      </c>
      <c r="G416" t="str">
        <f>"ACCT#007-0011501-000/12312021"</f>
        <v>ACCT#007-0011501-000/12312021</v>
      </c>
      <c r="H416" s="4">
        <v>342.4</v>
      </c>
    </row>
    <row r="417" spans="1:8" x14ac:dyDescent="0.25">
      <c r="E417" t="str">
        <f>"202201138359"</f>
        <v>202201138359</v>
      </c>
      <c r="F417" t="str">
        <f>"ACCT#007-0011510-000/12312021"</f>
        <v>ACCT#007-0011510-000/12312021</v>
      </c>
      <c r="G417" t="str">
        <f>"CITY OF ELGIN UTILITIES"</f>
        <v>CITY OF ELGIN UTILITIES</v>
      </c>
      <c r="H417" s="4">
        <v>259.89999999999998</v>
      </c>
    </row>
    <row r="418" spans="1:8" x14ac:dyDescent="0.25">
      <c r="E418" t="str">
        <f>"202201138360"</f>
        <v>202201138360</v>
      </c>
      <c r="F418" t="str">
        <f>"ACCT#007-00-11530-000/12312021"</f>
        <v>ACCT#007-00-11530-000/12312021</v>
      </c>
      <c r="G418" t="str">
        <f>"CITY OF ELGIN UTILITIES"</f>
        <v>CITY OF ELGIN UTILITIES</v>
      </c>
      <c r="H418" s="4">
        <v>108.67</v>
      </c>
    </row>
    <row r="419" spans="1:8" x14ac:dyDescent="0.25">
      <c r="E419" t="str">
        <f>"202201138361"</f>
        <v>202201138361</v>
      </c>
      <c r="F419" t="str">
        <f>"ACCT#007-0011534-001/12312021"</f>
        <v>ACCT#007-0011534-001/12312021</v>
      </c>
      <c r="G419" t="str">
        <f>"CITY OF ELGIN UTILITIES"</f>
        <v>CITY OF ELGIN UTILITIES</v>
      </c>
      <c r="H419" s="4">
        <v>184.26</v>
      </c>
    </row>
    <row r="420" spans="1:8" x14ac:dyDescent="0.25">
      <c r="E420" t="str">
        <f>"202201138362"</f>
        <v>202201138362</v>
      </c>
      <c r="F420" t="str">
        <f>"ACCT#007-0011535-000/12312021"</f>
        <v>ACCT#007-0011535-000/12312021</v>
      </c>
      <c r="G420" t="str">
        <f>"CITY OF ELGIN UTILITIES"</f>
        <v>CITY OF ELGIN UTILITIES</v>
      </c>
      <c r="H420" s="4">
        <v>265.14999999999998</v>
      </c>
    </row>
    <row r="421" spans="1:8" x14ac:dyDescent="0.25">
      <c r="E421" t="str">
        <f>"202201138363"</f>
        <v>202201138363</v>
      </c>
      <c r="F421" t="str">
        <f>"ACCT#007-0011544-001/12312021"</f>
        <v>ACCT#007-0011544-001/12312021</v>
      </c>
      <c r="G421" t="str">
        <f>"ACCT#007-0011544-001/12312021"</f>
        <v>ACCT#007-0011544-001/12312021</v>
      </c>
      <c r="H421" s="4">
        <v>405.27</v>
      </c>
    </row>
    <row r="422" spans="1:8" x14ac:dyDescent="0.25">
      <c r="A422" t="s">
        <v>109</v>
      </c>
      <c r="B422">
        <v>138606</v>
      </c>
      <c r="C422" s="4">
        <v>279</v>
      </c>
      <c r="D422" s="5">
        <v>44571</v>
      </c>
      <c r="E422" t="str">
        <f>"145-58452-02"</f>
        <v>145-58452-02</v>
      </c>
      <c r="F422" t="str">
        <f>"CUST#0888336/COURTHOUSE"</f>
        <v>CUST#0888336/COURTHOUSE</v>
      </c>
      <c r="G422" t="str">
        <f>"CUST#0888336/COURTHOUSE"</f>
        <v>CUST#0888336/COURTHOUSE</v>
      </c>
      <c r="H422" s="4">
        <v>279</v>
      </c>
    </row>
    <row r="423" spans="1:8" x14ac:dyDescent="0.25">
      <c r="A423" t="s">
        <v>110</v>
      </c>
      <c r="B423">
        <v>138801</v>
      </c>
      <c r="C423" s="4">
        <v>35.1</v>
      </c>
      <c r="D423" s="5">
        <v>44585</v>
      </c>
      <c r="E423" t="str">
        <f>"202201198512"</f>
        <v>202201198512</v>
      </c>
      <c r="F423" t="str">
        <f>"REIMBURSE/ERIN NICKEL"</f>
        <v>REIMBURSE/ERIN NICKEL</v>
      </c>
      <c r="G423" t="str">
        <f>"REIMBURSE/ERIN NICKEL"</f>
        <v>REIMBURSE/ERIN NICKEL</v>
      </c>
      <c r="H423" s="4">
        <v>35.1</v>
      </c>
    </row>
    <row r="424" spans="1:8" x14ac:dyDescent="0.25">
      <c r="A424" t="s">
        <v>111</v>
      </c>
      <c r="B424">
        <v>5639</v>
      </c>
      <c r="C424" s="4">
        <v>9199.5400000000009</v>
      </c>
      <c r="D424" s="5">
        <v>44572</v>
      </c>
      <c r="E424" t="str">
        <f>"202201058163"</f>
        <v>202201058163</v>
      </c>
      <c r="F424" t="str">
        <f>"JULY-DEC/TRANSPORTATION"</f>
        <v>JULY-DEC/TRANSPORTATION</v>
      </c>
      <c r="G424" t="str">
        <f>"JULY-DEC/TRANSPORTATION"</f>
        <v>JULY-DEC/TRANSPORTATION</v>
      </c>
      <c r="H424" s="4">
        <v>9199.5400000000009</v>
      </c>
    </row>
    <row r="425" spans="1:8" x14ac:dyDescent="0.25">
      <c r="A425" t="s">
        <v>112</v>
      </c>
      <c r="B425">
        <v>138607</v>
      </c>
      <c r="C425" s="4">
        <v>235</v>
      </c>
      <c r="D425" s="5">
        <v>44571</v>
      </c>
      <c r="E425" t="str">
        <f>"202201047997"</f>
        <v>202201047997</v>
      </c>
      <c r="F425" t="str">
        <f>"REIMBURSE/E.BARRAGAN/3547-21"</f>
        <v>REIMBURSE/E.BARRAGAN/3547-21</v>
      </c>
      <c r="G425" t="str">
        <f>"REIMBURSE/E.BARRAGAN/3547-21"</f>
        <v>REIMBURSE/E.BARRAGAN/3547-21</v>
      </c>
      <c r="H425" s="4">
        <v>235</v>
      </c>
    </row>
    <row r="426" spans="1:8" x14ac:dyDescent="0.25">
      <c r="A426" t="s">
        <v>113</v>
      </c>
      <c r="B426">
        <v>5646</v>
      </c>
      <c r="C426" s="4">
        <v>8921.8799999999992</v>
      </c>
      <c r="D426" s="5">
        <v>44572</v>
      </c>
      <c r="E426" t="str">
        <f>"202201048002"</f>
        <v>202201048002</v>
      </c>
      <c r="F426" t="str">
        <f>"FAMILY CRISIS CENTER/NOV 21"</f>
        <v>FAMILY CRISIS CENTER/NOV 21</v>
      </c>
      <c r="G426" t="str">
        <f>"FAMILY CRISIS CENTER/NOV 21"</f>
        <v>FAMILY CRISIS CENTER/NOV 21</v>
      </c>
      <c r="H426" s="4">
        <v>8921.8799999999992</v>
      </c>
    </row>
    <row r="427" spans="1:8" x14ac:dyDescent="0.25">
      <c r="A427" t="s">
        <v>114</v>
      </c>
      <c r="B427">
        <v>138608</v>
      </c>
      <c r="C427" s="4">
        <v>57.8</v>
      </c>
      <c r="D427" s="5">
        <v>44571</v>
      </c>
      <c r="E427" t="str">
        <f>"7-607-55930"</f>
        <v>7-607-55930</v>
      </c>
      <c r="F427" t="str">
        <f>"INV 7-607-55930"</f>
        <v>INV 7-607-55930</v>
      </c>
      <c r="G427" t="str">
        <f>"INV 7-607-55930"</f>
        <v>INV 7-607-55930</v>
      </c>
      <c r="H427" s="4">
        <v>45.67</v>
      </c>
    </row>
    <row r="428" spans="1:8" x14ac:dyDescent="0.25">
      <c r="E428" t="str">
        <f>"7-614-83727"</f>
        <v>7-614-83727</v>
      </c>
      <c r="F428" t="str">
        <f>"INV 7-614-83727"</f>
        <v>INV 7-614-83727</v>
      </c>
      <c r="G428" t="str">
        <f>"INV 7-614-83727"</f>
        <v>INV 7-614-83727</v>
      </c>
      <c r="H428" s="4">
        <v>12.13</v>
      </c>
    </row>
    <row r="429" spans="1:8" x14ac:dyDescent="0.25">
      <c r="A429" t="s">
        <v>114</v>
      </c>
      <c r="B429">
        <v>138802</v>
      </c>
      <c r="C429" s="4">
        <v>67.930000000000007</v>
      </c>
      <c r="D429" s="5">
        <v>44585</v>
      </c>
      <c r="E429" t="str">
        <f>"7-621-95046"</f>
        <v>7-621-95046</v>
      </c>
      <c r="F429" t="str">
        <f>"INV 7-621-95046"</f>
        <v>INV 7-621-95046</v>
      </c>
      <c r="G429" t="str">
        <f>"INV 7-621-95046"</f>
        <v>INV 7-621-95046</v>
      </c>
      <c r="H429" s="4">
        <v>27.23</v>
      </c>
    </row>
    <row r="430" spans="1:8" x14ac:dyDescent="0.25">
      <c r="E430" t="str">
        <f>"7-627-87751"</f>
        <v>7-627-87751</v>
      </c>
      <c r="F430" t="str">
        <f>"INV 7-627-87751"</f>
        <v>INV 7-627-87751</v>
      </c>
      <c r="G430" t="str">
        <f>"INV 7-627-87751"</f>
        <v>INV 7-627-87751</v>
      </c>
      <c r="H430" s="4">
        <v>40.700000000000003</v>
      </c>
    </row>
    <row r="431" spans="1:8" x14ac:dyDescent="0.25">
      <c r="A431" t="s">
        <v>115</v>
      </c>
      <c r="B431">
        <v>138609</v>
      </c>
      <c r="C431" s="4">
        <v>16.34</v>
      </c>
      <c r="D431" s="5">
        <v>44571</v>
      </c>
      <c r="E431" t="str">
        <f>"85162228"</f>
        <v>85162228</v>
      </c>
      <c r="F431" t="str">
        <f>"CUST#80975-001/PCT#3"</f>
        <v>CUST#80975-001/PCT#3</v>
      </c>
      <c r="G431" t="str">
        <f>"CUST#80975-001/PCT#2"</f>
        <v>CUST#80975-001/PCT#2</v>
      </c>
      <c r="H431" s="4">
        <v>16.34</v>
      </c>
    </row>
    <row r="432" spans="1:8" x14ac:dyDescent="0.25">
      <c r="A432" t="s">
        <v>116</v>
      </c>
      <c r="B432">
        <v>138610</v>
      </c>
      <c r="C432" s="4">
        <v>1515</v>
      </c>
      <c r="D432" s="5">
        <v>44571</v>
      </c>
      <c r="E432" t="str">
        <f>"FM12291-1-0004"</f>
        <v>FM12291-1-0004</v>
      </c>
      <c r="F432" t="str">
        <f>"ACCT#FM12291/ANIMAL SHELTER"</f>
        <v>ACCT#FM12291/ANIMAL SHELTER</v>
      </c>
      <c r="G432" t="str">
        <f>"ACCT#FM12291/ANIMAL SHELTER"</f>
        <v>ACCT#FM12291/ANIMAL SHELTER</v>
      </c>
      <c r="H432" s="4">
        <v>1515</v>
      </c>
    </row>
    <row r="433" spans="1:8" x14ac:dyDescent="0.25">
      <c r="A433" t="s">
        <v>117</v>
      </c>
      <c r="B433">
        <v>5715</v>
      </c>
      <c r="C433" s="4">
        <v>250</v>
      </c>
      <c r="D433" s="5">
        <v>44586</v>
      </c>
      <c r="E433" t="str">
        <f>"202201138347"</f>
        <v>202201138347</v>
      </c>
      <c r="F433" t="str">
        <f>"02-0429-1"</f>
        <v>02-0429-1</v>
      </c>
      <c r="G433" t="str">
        <f>"02-0429-1"</f>
        <v>02-0429-1</v>
      </c>
      <c r="H433" s="4">
        <v>250</v>
      </c>
    </row>
    <row r="434" spans="1:8" x14ac:dyDescent="0.25">
      <c r="A434" t="s">
        <v>118</v>
      </c>
      <c r="B434">
        <v>5636</v>
      </c>
      <c r="C434" s="4">
        <v>662.67</v>
      </c>
      <c r="D434" s="5">
        <v>44572</v>
      </c>
      <c r="E434" t="str">
        <f>"202201048066"</f>
        <v>202201048066</v>
      </c>
      <c r="F434" t="str">
        <f>"TRAVEL ADVANCE - WINTER EXPO"</f>
        <v>TRAVEL ADVANCE - WINTER EXPO</v>
      </c>
      <c r="G434" t="str">
        <f>"TRAVEL ADVANCE - WINTER EXPO"</f>
        <v>TRAVEL ADVANCE - WINTER EXPO</v>
      </c>
      <c r="H434" s="4">
        <v>90</v>
      </c>
    </row>
    <row r="435" spans="1:8" x14ac:dyDescent="0.25">
      <c r="E435" t="str">
        <f>""</f>
        <v/>
      </c>
      <c r="F435" t="str">
        <f>""</f>
        <v/>
      </c>
      <c r="G435" t="str">
        <f>"TRAVEL ADVANCE - WINTER EXPO"</f>
        <v>TRAVEL ADVANCE - WINTER EXPO</v>
      </c>
      <c r="H435" s="4">
        <v>572.66999999999996</v>
      </c>
    </row>
    <row r="436" spans="1:8" x14ac:dyDescent="0.25">
      <c r="A436" t="s">
        <v>119</v>
      </c>
      <c r="B436">
        <v>5716</v>
      </c>
      <c r="C436" s="4">
        <v>40.96</v>
      </c>
      <c r="D436" s="5">
        <v>44586</v>
      </c>
      <c r="E436" t="str">
        <f>"116139"</f>
        <v>116139</v>
      </c>
      <c r="F436" t="str">
        <f>"INV GC 116139"</f>
        <v>INV GC 116139</v>
      </c>
      <c r="G436" t="str">
        <f>"INV GC 116139"</f>
        <v>INV GC 116139</v>
      </c>
      <c r="H436" s="4">
        <v>40.96</v>
      </c>
    </row>
    <row r="437" spans="1:8" x14ac:dyDescent="0.25">
      <c r="A437" t="s">
        <v>120</v>
      </c>
      <c r="B437">
        <v>138611</v>
      </c>
      <c r="C437" s="4">
        <v>1411.44</v>
      </c>
      <c r="D437" s="5">
        <v>44571</v>
      </c>
      <c r="E437" t="str">
        <f>"019975529"</f>
        <v>019975529</v>
      </c>
      <c r="F437" t="str">
        <f>"INV 019975529"</f>
        <v>INV 019975529</v>
      </c>
      <c r="G437" t="str">
        <f>"INV 019975529"</f>
        <v>INV 019975529</v>
      </c>
      <c r="H437" s="4">
        <v>229.5</v>
      </c>
    </row>
    <row r="438" spans="1:8" x14ac:dyDescent="0.25">
      <c r="E438" t="str">
        <f>""</f>
        <v/>
      </c>
      <c r="F438" t="str">
        <f>""</f>
        <v/>
      </c>
      <c r="G438" t="str">
        <f>"INV 020048255"</f>
        <v>INV 020048255</v>
      </c>
      <c r="H438" s="4">
        <v>11.48</v>
      </c>
    </row>
    <row r="439" spans="1:8" x14ac:dyDescent="0.25">
      <c r="E439" t="str">
        <f>"020048257"</f>
        <v>020048257</v>
      </c>
      <c r="F439" t="str">
        <f>"INV 020048257"</f>
        <v>INV 020048257</v>
      </c>
      <c r="G439" t="str">
        <f>"INV 020048257"</f>
        <v>INV 020048257</v>
      </c>
      <c r="H439" s="4">
        <v>22.96</v>
      </c>
    </row>
    <row r="440" spans="1:8" x14ac:dyDescent="0.25">
      <c r="E440" t="str">
        <f>"020049012"</f>
        <v>020049012</v>
      </c>
      <c r="F440" t="str">
        <f>"INV 020049012"</f>
        <v>INV 020049012</v>
      </c>
      <c r="G440" t="str">
        <f>"INV 020049012"</f>
        <v>INV 020049012</v>
      </c>
      <c r="H440" s="4">
        <v>459</v>
      </c>
    </row>
    <row r="441" spans="1:8" x14ac:dyDescent="0.25">
      <c r="E441" t="str">
        <f>"020083883"</f>
        <v>020083883</v>
      </c>
      <c r="F441" t="str">
        <f>"INV 020083883"</f>
        <v>INV 020083883</v>
      </c>
      <c r="G441" t="str">
        <f>"INV 020083883"</f>
        <v>INV 020083883</v>
      </c>
      <c r="H441" s="4">
        <v>688.5</v>
      </c>
    </row>
    <row r="442" spans="1:8" x14ac:dyDescent="0.25">
      <c r="A442" t="s">
        <v>120</v>
      </c>
      <c r="B442">
        <v>138803</v>
      </c>
      <c r="C442" s="4">
        <v>1316.94</v>
      </c>
      <c r="D442" s="5">
        <v>44585</v>
      </c>
      <c r="E442" t="str">
        <f>"019664003"</f>
        <v>019664003</v>
      </c>
      <c r="F442" t="str">
        <f>"INV 019664003 / 019826005"</f>
        <v>INV 019664003 / 019826005</v>
      </c>
      <c r="G442" t="str">
        <f>"INV 019664003"</f>
        <v>INV 019664003</v>
      </c>
      <c r="H442" s="4">
        <v>152.57</v>
      </c>
    </row>
    <row r="443" spans="1:8" x14ac:dyDescent="0.25">
      <c r="E443" t="str">
        <f>""</f>
        <v/>
      </c>
      <c r="F443" t="str">
        <f>""</f>
        <v/>
      </c>
      <c r="G443" t="str">
        <f>"INV 019826005"</f>
        <v>INV 019826005</v>
      </c>
      <c r="H443" s="4">
        <v>138.38</v>
      </c>
    </row>
    <row r="444" spans="1:8" x14ac:dyDescent="0.25">
      <c r="E444" t="str">
        <f>"10151973"</f>
        <v>10151973</v>
      </c>
      <c r="F444" t="str">
        <f>"ACCT#1002239783/ANIMAL SHELTER"</f>
        <v>ACCT#1002239783/ANIMAL SHELTER</v>
      </c>
      <c r="G444" t="str">
        <f>"ACCT#1002239783/ANIMAL SHELTER"</f>
        <v>ACCT#1002239783/ANIMAL SHELTER</v>
      </c>
      <c r="H444" s="4">
        <v>1025.99</v>
      </c>
    </row>
    <row r="445" spans="1:8" x14ac:dyDescent="0.25">
      <c r="A445" t="s">
        <v>121</v>
      </c>
      <c r="B445">
        <v>138612</v>
      </c>
      <c r="C445" s="4">
        <v>100</v>
      </c>
      <c r="D445" s="5">
        <v>44571</v>
      </c>
      <c r="E445" t="str">
        <f>"2022-002"</f>
        <v>2022-002</v>
      </c>
      <c r="F445" t="str">
        <f>"MEMBERSHIP#510/J.SALAZAR"</f>
        <v>MEMBERSHIP#510/J.SALAZAR</v>
      </c>
      <c r="G445" t="str">
        <f>"MEMBERSHIP#510/J.SALAZAR"</f>
        <v>MEMBERSHIP#510/J.SALAZAR</v>
      </c>
      <c r="H445" s="4">
        <v>50</v>
      </c>
    </row>
    <row r="446" spans="1:8" x14ac:dyDescent="0.25">
      <c r="E446" t="str">
        <f>"2022-003"</f>
        <v>2022-003</v>
      </c>
      <c r="F446" t="str">
        <f>"MEMBERSHIP#533/M.BORREGO"</f>
        <v>MEMBERSHIP#533/M.BORREGO</v>
      </c>
      <c r="G446" t="str">
        <f>"MEMBERSHIP#533/M.BORREGO"</f>
        <v>MEMBERSHIP#533/M.BORREGO</v>
      </c>
      <c r="H446" s="4">
        <v>50</v>
      </c>
    </row>
    <row r="447" spans="1:8" x14ac:dyDescent="0.25">
      <c r="A447" t="s">
        <v>122</v>
      </c>
      <c r="B447">
        <v>5700</v>
      </c>
      <c r="C447" s="4">
        <v>162.72</v>
      </c>
      <c r="D447" s="5">
        <v>44586</v>
      </c>
      <c r="E447" t="str">
        <f>"0331530"</f>
        <v>0331530</v>
      </c>
      <c r="F447" t="str">
        <f>"JOB#032714/COUNTY CLERK"</f>
        <v>JOB#032714/COUNTY CLERK</v>
      </c>
      <c r="G447" t="str">
        <f>"JOB#032714/COUNTY CLERK"</f>
        <v>JOB#032714/COUNTY CLERK</v>
      </c>
      <c r="H447" s="4">
        <v>162.72</v>
      </c>
    </row>
    <row r="448" spans="1:8" x14ac:dyDescent="0.25">
      <c r="A448" t="s">
        <v>123</v>
      </c>
      <c r="B448">
        <v>138804</v>
      </c>
      <c r="C448" s="4">
        <v>43767</v>
      </c>
      <c r="D448" s="5">
        <v>44585</v>
      </c>
      <c r="E448" t="str">
        <f>"202201138447"</f>
        <v>202201138447</v>
      </c>
      <c r="F448" t="str">
        <f>"GRAPEVINE DODGE CHRYSLER JEEP"</f>
        <v>GRAPEVINE DODGE CHRYSLER JEEP</v>
      </c>
      <c r="G448" t="str">
        <f>"2022 Dodge 1500"</f>
        <v>2022 Dodge 1500</v>
      </c>
      <c r="H448" s="4">
        <v>43367</v>
      </c>
    </row>
    <row r="449" spans="1:8" x14ac:dyDescent="0.25">
      <c r="E449" t="str">
        <f>""</f>
        <v/>
      </c>
      <c r="F449" t="str">
        <f>""</f>
        <v/>
      </c>
      <c r="G449" t="str">
        <f>"Buyboard Fee"</f>
        <v>Buyboard Fee</v>
      </c>
      <c r="H449" s="4">
        <v>400</v>
      </c>
    </row>
    <row r="450" spans="1:8" x14ac:dyDescent="0.25">
      <c r="A450" t="s">
        <v>124</v>
      </c>
      <c r="B450">
        <v>5647</v>
      </c>
      <c r="C450" s="4">
        <v>812.24</v>
      </c>
      <c r="D450" s="5">
        <v>44572</v>
      </c>
      <c r="E450" t="str">
        <f>"0879282"</f>
        <v>0879282</v>
      </c>
      <c r="F450" t="str">
        <f>"INV 0879282"</f>
        <v>INV 0879282</v>
      </c>
      <c r="G450" t="str">
        <f>"INV 0879282"</f>
        <v>INV 0879282</v>
      </c>
      <c r="H450" s="4">
        <v>400</v>
      </c>
    </row>
    <row r="451" spans="1:8" x14ac:dyDescent="0.25">
      <c r="E451" t="str">
        <f>"0881297"</f>
        <v>0881297</v>
      </c>
      <c r="F451" t="str">
        <f>"INV0881297"</f>
        <v>INV0881297</v>
      </c>
      <c r="G451" t="str">
        <f>"INV0881297"</f>
        <v>INV0881297</v>
      </c>
      <c r="H451" s="4">
        <v>115.47</v>
      </c>
    </row>
    <row r="452" spans="1:8" x14ac:dyDescent="0.25">
      <c r="E452" t="str">
        <f>"0882631"</f>
        <v>0882631</v>
      </c>
      <c r="F452" t="str">
        <f>"INV 0882631"</f>
        <v>INV 0882631</v>
      </c>
      <c r="G452" t="str">
        <f>"INV 0882631"</f>
        <v>INV 0882631</v>
      </c>
      <c r="H452" s="4">
        <v>296.77</v>
      </c>
    </row>
    <row r="453" spans="1:8" x14ac:dyDescent="0.25">
      <c r="A453" t="s">
        <v>124</v>
      </c>
      <c r="B453">
        <v>5717</v>
      </c>
      <c r="C453" s="4">
        <v>308</v>
      </c>
      <c r="D453" s="5">
        <v>44586</v>
      </c>
      <c r="E453" t="str">
        <f>"0883502"</f>
        <v>0883502</v>
      </c>
      <c r="F453" t="str">
        <f>"INV 0883502"</f>
        <v>INV 0883502</v>
      </c>
      <c r="G453" t="str">
        <f>"INV 0883502"</f>
        <v>INV 0883502</v>
      </c>
      <c r="H453" s="4">
        <v>308</v>
      </c>
    </row>
    <row r="454" spans="1:8" x14ac:dyDescent="0.25">
      <c r="A454" t="s">
        <v>125</v>
      </c>
      <c r="B454">
        <v>138805</v>
      </c>
      <c r="C454" s="4">
        <v>19</v>
      </c>
      <c r="D454" s="5">
        <v>44585</v>
      </c>
      <c r="E454" t="str">
        <f>"13390 11/22/21"</f>
        <v>13390 11/22/21</v>
      </c>
      <c r="F454" t="str">
        <f>"SERVICE"</f>
        <v>SERVICE</v>
      </c>
      <c r="G454" t="str">
        <f>"SERVICE"</f>
        <v>SERVICE</v>
      </c>
      <c r="H454" s="4">
        <v>19</v>
      </c>
    </row>
    <row r="455" spans="1:8" x14ac:dyDescent="0.25">
      <c r="A455" t="s">
        <v>126</v>
      </c>
      <c r="B455">
        <v>5657</v>
      </c>
      <c r="C455" s="4">
        <v>2063.4699999999998</v>
      </c>
      <c r="D455" s="5">
        <v>44572</v>
      </c>
      <c r="E455" t="str">
        <f>"2145981"</f>
        <v>2145981</v>
      </c>
      <c r="F455" t="str">
        <f>"INV 2145981"</f>
        <v>INV 2145981</v>
      </c>
      <c r="G455" t="str">
        <f>"INV 2145981"</f>
        <v>INV 2145981</v>
      </c>
      <c r="H455" s="4">
        <v>1274.0999999999999</v>
      </c>
    </row>
    <row r="456" spans="1:8" x14ac:dyDescent="0.25">
      <c r="E456" t="str">
        <f>"2162035"</f>
        <v>2162035</v>
      </c>
      <c r="F456" t="str">
        <f>"Invoice"</f>
        <v>Invoice</v>
      </c>
      <c r="G456" t="str">
        <f>"GP19375"</f>
        <v>GP19375</v>
      </c>
      <c r="H456" s="4">
        <v>691.65</v>
      </c>
    </row>
    <row r="457" spans="1:8" x14ac:dyDescent="0.25">
      <c r="E457" t="str">
        <f>""</f>
        <v/>
      </c>
      <c r="F457" t="str">
        <f>""</f>
        <v/>
      </c>
      <c r="G457" t="str">
        <f>"NABC"</f>
        <v>NABC</v>
      </c>
      <c r="H457" s="4">
        <v>41.72</v>
      </c>
    </row>
    <row r="458" spans="1:8" x14ac:dyDescent="0.25">
      <c r="E458" t="str">
        <f>""</f>
        <v/>
      </c>
      <c r="F458" t="str">
        <f>""</f>
        <v/>
      </c>
      <c r="G458" t="str">
        <f>"CREWBOWLCLN"</f>
        <v>CREWBOWLCLN</v>
      </c>
      <c r="H458" s="4">
        <v>56</v>
      </c>
    </row>
    <row r="459" spans="1:8" x14ac:dyDescent="0.25">
      <c r="A459" t="s">
        <v>126</v>
      </c>
      <c r="B459">
        <v>5729</v>
      </c>
      <c r="C459" s="4">
        <v>2106.25</v>
      </c>
      <c r="D459" s="5">
        <v>44586</v>
      </c>
      <c r="E459" t="str">
        <f>"2163134"</f>
        <v>2163134</v>
      </c>
      <c r="F459" t="str">
        <f>"GULF COAST PAPER CO. INC."</f>
        <v>GULF COAST PAPER CO. INC.</v>
      </c>
      <c r="G459" t="str">
        <f>"GP19371"</f>
        <v>GP19371</v>
      </c>
      <c r="H459" s="4">
        <v>737.1</v>
      </c>
    </row>
    <row r="460" spans="1:8" x14ac:dyDescent="0.25">
      <c r="E460" t="str">
        <f>"2168794"</f>
        <v>2168794</v>
      </c>
      <c r="F460" t="str">
        <f>"INV 2168794"</f>
        <v>INV 2168794</v>
      </c>
      <c r="G460" t="str">
        <f>"INV 2168794"</f>
        <v>INV 2168794</v>
      </c>
      <c r="H460" s="4">
        <v>867.75</v>
      </c>
    </row>
    <row r="461" spans="1:8" x14ac:dyDescent="0.25">
      <c r="E461" t="str">
        <f>"2168795"</f>
        <v>2168795</v>
      </c>
      <c r="F461" t="str">
        <f>"INV 2168795"</f>
        <v>INV 2168795</v>
      </c>
      <c r="G461" t="str">
        <f>"INV 2168795"</f>
        <v>INV 2168795</v>
      </c>
      <c r="H461" s="4">
        <v>501.4</v>
      </c>
    </row>
    <row r="462" spans="1:8" x14ac:dyDescent="0.25">
      <c r="A462" t="s">
        <v>127</v>
      </c>
      <c r="B462">
        <v>5727</v>
      </c>
      <c r="C462" s="4">
        <v>13961</v>
      </c>
      <c r="D462" s="5">
        <v>44586</v>
      </c>
      <c r="E462" t="str">
        <f>"AVO42445"</f>
        <v>AVO42445</v>
      </c>
      <c r="F462" t="str">
        <f>"2021 FLOOD INFRASTRUCTURE"</f>
        <v>2021 FLOOD INFRASTRUCTURE</v>
      </c>
      <c r="G462" t="str">
        <f>"2021 FLOOD INFRASTRUCTURE"</f>
        <v>2021 FLOOD INFRASTRUCTURE</v>
      </c>
      <c r="H462" s="4">
        <v>13961</v>
      </c>
    </row>
    <row r="463" spans="1:8" x14ac:dyDescent="0.25">
      <c r="A463" t="s">
        <v>128</v>
      </c>
      <c r="B463">
        <v>5648</v>
      </c>
      <c r="C463" s="4">
        <v>476.07</v>
      </c>
      <c r="D463" s="5">
        <v>44572</v>
      </c>
      <c r="E463" t="str">
        <f>"583827"</f>
        <v>583827</v>
      </c>
      <c r="F463" t="str">
        <f>"INV 583827"</f>
        <v>INV 583827</v>
      </c>
      <c r="G463" t="str">
        <f>"INV 583827"</f>
        <v>INV 583827</v>
      </c>
      <c r="H463" s="4">
        <v>476.07</v>
      </c>
    </row>
    <row r="464" spans="1:8" x14ac:dyDescent="0.25">
      <c r="A464" t="s">
        <v>129</v>
      </c>
      <c r="B464">
        <v>138806</v>
      </c>
      <c r="C464" s="4">
        <v>198</v>
      </c>
      <c r="D464" s="5">
        <v>44585</v>
      </c>
      <c r="E464" t="str">
        <f>"SR104278"</f>
        <v>SR104278</v>
      </c>
      <c r="F464" t="str">
        <f>"INV SR104278"</f>
        <v>INV SR104278</v>
      </c>
      <c r="G464" t="str">
        <f>"INV SR104278"</f>
        <v>INV SR104278</v>
      </c>
      <c r="H464" s="4">
        <v>198</v>
      </c>
    </row>
    <row r="465" spans="1:8" x14ac:dyDescent="0.25">
      <c r="A465" t="s">
        <v>130</v>
      </c>
      <c r="B465">
        <v>138613</v>
      </c>
      <c r="C465" s="4">
        <v>1125.3</v>
      </c>
      <c r="D465" s="5">
        <v>44571</v>
      </c>
      <c r="E465" t="str">
        <f>"32017"</f>
        <v>32017</v>
      </c>
      <c r="F465" t="str">
        <f>"RIP RAP/PCT#3"</f>
        <v>RIP RAP/PCT#3</v>
      </c>
      <c r="G465" t="str">
        <f>"RIP RAP/PCT#3"</f>
        <v>RIP RAP/PCT#3</v>
      </c>
      <c r="H465" s="4">
        <v>1125.3</v>
      </c>
    </row>
    <row r="466" spans="1:8" x14ac:dyDescent="0.25">
      <c r="A466" t="s">
        <v>131</v>
      </c>
      <c r="B466">
        <v>138614</v>
      </c>
      <c r="C466" s="4">
        <v>251.97</v>
      </c>
      <c r="D466" s="5">
        <v>44571</v>
      </c>
      <c r="E466" t="str">
        <f>"10912777"</f>
        <v>10912777</v>
      </c>
      <c r="F466" t="str">
        <f>"CUST#3224/PCT#4"</f>
        <v>CUST#3224/PCT#4</v>
      </c>
      <c r="G466" t="str">
        <f>"CUST#3224/PCT#4"</f>
        <v>CUST#3224/PCT#4</v>
      </c>
      <c r="H466" s="4">
        <v>251.97</v>
      </c>
    </row>
    <row r="467" spans="1:8" x14ac:dyDescent="0.25">
      <c r="A467" t="s">
        <v>132</v>
      </c>
      <c r="B467">
        <v>5718</v>
      </c>
      <c r="C467" s="4">
        <v>650</v>
      </c>
      <c r="D467" s="5">
        <v>44586</v>
      </c>
      <c r="E467" t="str">
        <f>"202201198476"</f>
        <v>202201198476</v>
      </c>
      <c r="F467" t="str">
        <f>"BASCOM L HODGES JR"</f>
        <v>BASCOM L HODGES JR</v>
      </c>
      <c r="G467" t="str">
        <f>""</f>
        <v/>
      </c>
      <c r="H467" s="4">
        <v>650</v>
      </c>
    </row>
    <row r="468" spans="1:8" x14ac:dyDescent="0.25">
      <c r="A468" t="s">
        <v>133</v>
      </c>
      <c r="B468">
        <v>5649</v>
      </c>
      <c r="C468" s="4">
        <v>204.36</v>
      </c>
      <c r="D468" s="5">
        <v>44572</v>
      </c>
      <c r="E468" t="str">
        <f>"PIKP0103712"</f>
        <v>PIKP0103712</v>
      </c>
      <c r="F468" t="str">
        <f>"CUST#0129150/PCT#3"</f>
        <v>CUST#0129150/PCT#3</v>
      </c>
      <c r="G468" t="str">
        <f>"CUST#0129150/PCT#3"</f>
        <v>CUST#0129150/PCT#3</v>
      </c>
      <c r="H468" s="4">
        <v>204.36</v>
      </c>
    </row>
    <row r="469" spans="1:8" x14ac:dyDescent="0.25">
      <c r="A469" t="s">
        <v>134</v>
      </c>
      <c r="B469">
        <v>138615</v>
      </c>
      <c r="C469" s="4">
        <v>2595.1999999999998</v>
      </c>
      <c r="D469" s="5">
        <v>44571</v>
      </c>
      <c r="E469" t="str">
        <f>"202201048134"</f>
        <v>202201048134</v>
      </c>
      <c r="F469" t="str">
        <f>"Home Depot"</f>
        <v>Home Depot</v>
      </c>
      <c r="G469" t="str">
        <f>"2102339"</f>
        <v>2102339</v>
      </c>
      <c r="H469" s="4">
        <v>377.2</v>
      </c>
    </row>
    <row r="470" spans="1:8" x14ac:dyDescent="0.25">
      <c r="E470" t="str">
        <f>""</f>
        <v/>
      </c>
      <c r="F470" t="str">
        <f>""</f>
        <v/>
      </c>
      <c r="G470" t="str">
        <f>"8022821"</f>
        <v>8022821</v>
      </c>
      <c r="H470" s="4">
        <v>149.96</v>
      </c>
    </row>
    <row r="471" spans="1:8" x14ac:dyDescent="0.25">
      <c r="E471" t="str">
        <f>""</f>
        <v/>
      </c>
      <c r="F471" t="str">
        <f>""</f>
        <v/>
      </c>
      <c r="G471" t="str">
        <f>"1011198"</f>
        <v>1011198</v>
      </c>
      <c r="H471" s="4">
        <v>152.4</v>
      </c>
    </row>
    <row r="472" spans="1:8" x14ac:dyDescent="0.25">
      <c r="E472" t="str">
        <f>""</f>
        <v/>
      </c>
      <c r="F472" t="str">
        <f>""</f>
        <v/>
      </c>
      <c r="G472" t="str">
        <f>"1023450"</f>
        <v>1023450</v>
      </c>
      <c r="H472" s="4">
        <v>29.89</v>
      </c>
    </row>
    <row r="473" spans="1:8" x14ac:dyDescent="0.25">
      <c r="E473" t="str">
        <f>""</f>
        <v/>
      </c>
      <c r="F473" t="str">
        <f>""</f>
        <v/>
      </c>
      <c r="G473" t="str">
        <f>"23532"</f>
        <v>23532</v>
      </c>
      <c r="H473" s="4">
        <v>91.91</v>
      </c>
    </row>
    <row r="474" spans="1:8" x14ac:dyDescent="0.25">
      <c r="E474" t="str">
        <f>""</f>
        <v/>
      </c>
      <c r="F474" t="str">
        <f>""</f>
        <v/>
      </c>
      <c r="G474" t="str">
        <f>"8101639"</f>
        <v>8101639</v>
      </c>
      <c r="H474" s="4">
        <v>-13.22</v>
      </c>
    </row>
    <row r="475" spans="1:8" x14ac:dyDescent="0.25">
      <c r="E475" t="str">
        <f>""</f>
        <v/>
      </c>
      <c r="F475" t="str">
        <f>""</f>
        <v/>
      </c>
      <c r="G475" t="str">
        <f>"5023096"</f>
        <v>5023096</v>
      </c>
      <c r="H475" s="4">
        <v>67.89</v>
      </c>
    </row>
    <row r="476" spans="1:8" x14ac:dyDescent="0.25">
      <c r="E476" t="str">
        <f>""</f>
        <v/>
      </c>
      <c r="F476" t="str">
        <f>""</f>
        <v/>
      </c>
      <c r="G476" t="str">
        <f>"2011071"</f>
        <v>2011071</v>
      </c>
      <c r="H476" s="4">
        <v>318</v>
      </c>
    </row>
    <row r="477" spans="1:8" x14ac:dyDescent="0.25">
      <c r="E477" t="str">
        <f>""</f>
        <v/>
      </c>
      <c r="F477" t="str">
        <f>""</f>
        <v/>
      </c>
      <c r="G477" t="str">
        <f>"4543834"</f>
        <v>4543834</v>
      </c>
      <c r="H477" s="4">
        <v>179.98</v>
      </c>
    </row>
    <row r="478" spans="1:8" x14ac:dyDescent="0.25">
      <c r="E478" t="str">
        <f>""</f>
        <v/>
      </c>
      <c r="F478" t="str">
        <f>""</f>
        <v/>
      </c>
      <c r="G478" t="str">
        <f>"3530167"</f>
        <v>3530167</v>
      </c>
      <c r="H478" s="4">
        <v>779.97</v>
      </c>
    </row>
    <row r="479" spans="1:8" x14ac:dyDescent="0.25">
      <c r="E479" t="str">
        <f>""</f>
        <v/>
      </c>
      <c r="F479" t="str">
        <f>""</f>
        <v/>
      </c>
      <c r="G479" t="str">
        <f>"8530482"</f>
        <v>8530482</v>
      </c>
      <c r="H479" s="4">
        <v>461.22</v>
      </c>
    </row>
    <row r="480" spans="1:8" x14ac:dyDescent="0.25">
      <c r="A480" t="s">
        <v>135</v>
      </c>
      <c r="B480">
        <v>5707</v>
      </c>
      <c r="C480" s="4">
        <v>505</v>
      </c>
      <c r="D480" s="5">
        <v>44586</v>
      </c>
      <c r="E480" t="str">
        <f>"0552527355"</f>
        <v>0552527355</v>
      </c>
      <c r="F480" t="str">
        <f>"CUST#212645/COOL WATER"</f>
        <v>CUST#212645/COOL WATER</v>
      </c>
      <c r="G480" t="str">
        <f>"CUST#212645/COOL WATER"</f>
        <v>CUST#212645/COOL WATER</v>
      </c>
      <c r="H480" s="4">
        <v>290</v>
      </c>
    </row>
    <row r="481" spans="1:8" x14ac:dyDescent="0.25">
      <c r="E481" t="str">
        <f>"0552529677"</f>
        <v>0552529677</v>
      </c>
      <c r="F481" t="str">
        <f>"CUST#212645/BOAT LAUNCH"</f>
        <v>CUST#212645/BOAT LAUNCH</v>
      </c>
      <c r="G481" t="str">
        <f>"CUST#212645/BOAT LAUNCH"</f>
        <v>CUST#212645/BOAT LAUNCH</v>
      </c>
      <c r="H481" s="4">
        <v>215</v>
      </c>
    </row>
    <row r="482" spans="1:8" x14ac:dyDescent="0.25">
      <c r="A482" t="s">
        <v>136</v>
      </c>
      <c r="B482">
        <v>138807</v>
      </c>
      <c r="C482" s="4">
        <v>2935</v>
      </c>
      <c r="D482" s="5">
        <v>44585</v>
      </c>
      <c r="E482" t="str">
        <f>"2793"</f>
        <v>2793</v>
      </c>
      <c r="F482" t="str">
        <f>"MICROCHIPS/ANIMAL SHELTER"</f>
        <v>MICROCHIPS/ANIMAL SHELTER</v>
      </c>
      <c r="G482" t="str">
        <f>"MICROCHIPS/ANIMAL SHELTER"</f>
        <v>MICROCHIPS/ANIMAL SHELTER</v>
      </c>
      <c r="H482" s="4">
        <v>2935</v>
      </c>
    </row>
    <row r="483" spans="1:8" x14ac:dyDescent="0.25">
      <c r="A483" t="s">
        <v>137</v>
      </c>
      <c r="B483">
        <v>138616</v>
      </c>
      <c r="C483" s="4">
        <v>2374</v>
      </c>
      <c r="D483" s="5">
        <v>44571</v>
      </c>
      <c r="E483" t="str">
        <f>"WI-35018-K7X4"</f>
        <v>WI-35018-K7X4</v>
      </c>
      <c r="F483" t="str">
        <f>"AGREEMENT#001725"</f>
        <v>AGREEMENT#001725</v>
      </c>
      <c r="G483" t="str">
        <f>"AGREEMENT#001725"</f>
        <v>AGREEMENT#001725</v>
      </c>
      <c r="H483" s="4">
        <v>2374</v>
      </c>
    </row>
    <row r="484" spans="1:8" x14ac:dyDescent="0.25">
      <c r="A484" t="s">
        <v>138</v>
      </c>
      <c r="B484">
        <v>5620</v>
      </c>
      <c r="C484" s="4">
        <v>124.7</v>
      </c>
      <c r="D484" s="5">
        <v>44572</v>
      </c>
      <c r="E484" t="str">
        <f>"208940"</f>
        <v>208940</v>
      </c>
      <c r="F484" t="str">
        <f>"HIGH PRESSURE HOSE/PCT#3"</f>
        <v>HIGH PRESSURE HOSE/PCT#3</v>
      </c>
      <c r="G484" t="str">
        <f>"HIGH PRESSURE HOSE/PCT#3"</f>
        <v>HIGH PRESSURE HOSE/PCT#3</v>
      </c>
      <c r="H484" s="4">
        <v>107.7</v>
      </c>
    </row>
    <row r="485" spans="1:8" x14ac:dyDescent="0.25">
      <c r="E485" t="str">
        <f>"208951"</f>
        <v>208951</v>
      </c>
      <c r="F485" t="str">
        <f>"BOSS ORING/PCT#3"</f>
        <v>BOSS ORING/PCT#3</v>
      </c>
      <c r="G485" t="str">
        <f>"BOSS ORING/PCT#3"</f>
        <v>BOSS ORING/PCT#3</v>
      </c>
      <c r="H485" s="4">
        <v>17</v>
      </c>
    </row>
    <row r="486" spans="1:8" x14ac:dyDescent="0.25">
      <c r="A486" t="s">
        <v>138</v>
      </c>
      <c r="B486">
        <v>5687</v>
      </c>
      <c r="C486" s="4">
        <v>553.57000000000005</v>
      </c>
      <c r="D486" s="5">
        <v>44586</v>
      </c>
      <c r="E486" t="str">
        <f>"209075"</f>
        <v>209075</v>
      </c>
      <c r="F486" t="str">
        <f>"SUPPLIES/PCT#3"</f>
        <v>SUPPLIES/PCT#3</v>
      </c>
      <c r="G486" t="str">
        <f>"SUPPLIES/PCT#3"</f>
        <v>SUPPLIES/PCT#3</v>
      </c>
      <c r="H486" s="4">
        <v>538.44000000000005</v>
      </c>
    </row>
    <row r="487" spans="1:8" x14ac:dyDescent="0.25">
      <c r="E487" t="str">
        <f>"209101"</f>
        <v>209101</v>
      </c>
      <c r="F487" t="str">
        <f>"HOSE PIPE/PCT#3"</f>
        <v>HOSE PIPE/PCT#3</v>
      </c>
      <c r="G487" t="str">
        <f>"HOSE PIPE/PCT#3"</f>
        <v>HOSE PIPE/PCT#3</v>
      </c>
      <c r="H487" s="4">
        <v>15.13</v>
      </c>
    </row>
    <row r="488" spans="1:8" x14ac:dyDescent="0.25">
      <c r="A488" t="s">
        <v>139</v>
      </c>
      <c r="B488">
        <v>5670</v>
      </c>
      <c r="C488" s="4">
        <v>133.05000000000001</v>
      </c>
      <c r="D488" s="5">
        <v>44586</v>
      </c>
      <c r="E488" t="str">
        <f>"W4998800"</f>
        <v>W4998800</v>
      </c>
      <c r="F488" t="str">
        <f>"INV W4998800"</f>
        <v>INV W4998800</v>
      </c>
      <c r="G488" t="str">
        <f>"INV W4998800"</f>
        <v>INV W4998800</v>
      </c>
      <c r="H488" s="4">
        <v>133.05000000000001</v>
      </c>
    </row>
    <row r="489" spans="1:8" x14ac:dyDescent="0.25">
      <c r="A489" t="s">
        <v>140</v>
      </c>
      <c r="B489">
        <v>138617</v>
      </c>
      <c r="C489" s="4">
        <v>272</v>
      </c>
      <c r="D489" s="5">
        <v>44571</v>
      </c>
      <c r="E489" t="str">
        <f>"3097436317"</f>
        <v>3097436317</v>
      </c>
      <c r="F489" t="str">
        <f>"ACCT#187947/ANIMAL SHELTER"</f>
        <v>ACCT#187947/ANIMAL SHELTER</v>
      </c>
      <c r="G489" t="str">
        <f>"ACCT#187947/ANIMAL SHELTER"</f>
        <v>ACCT#187947/ANIMAL SHELTER</v>
      </c>
      <c r="H489" s="4">
        <v>272</v>
      </c>
    </row>
    <row r="490" spans="1:8" x14ac:dyDescent="0.25">
      <c r="A490" t="s">
        <v>140</v>
      </c>
      <c r="B490">
        <v>138808</v>
      </c>
      <c r="C490" s="4">
        <v>272</v>
      </c>
      <c r="D490" s="5">
        <v>44585</v>
      </c>
      <c r="E490" t="str">
        <f>"3098177495"</f>
        <v>3098177495</v>
      </c>
      <c r="F490" t="str">
        <f>"ACCT#187947/ANIMAL SHELTER"</f>
        <v>ACCT#187947/ANIMAL SHELTER</v>
      </c>
      <c r="G490" t="str">
        <f>"ACCT#187947/ANIMAL SHELTER"</f>
        <v>ACCT#187947/ANIMAL SHELTER</v>
      </c>
      <c r="H490" s="4">
        <v>272</v>
      </c>
    </row>
    <row r="491" spans="1:8" x14ac:dyDescent="0.25">
      <c r="A491" t="s">
        <v>141</v>
      </c>
      <c r="B491">
        <v>138618</v>
      </c>
      <c r="C491" s="4">
        <v>180.12</v>
      </c>
      <c r="D491" s="5">
        <v>44571</v>
      </c>
      <c r="E491" t="str">
        <f>"GDKT309"</f>
        <v>GDKT309</v>
      </c>
      <c r="F491" t="str">
        <f>"CUST#AX773/COUNTY CLERK"</f>
        <v>CUST#AX773/COUNTY CLERK</v>
      </c>
      <c r="G491" t="str">
        <f>"CUST#AX773/COUNTY CLERK"</f>
        <v>CUST#AX773/COUNTY CLERK</v>
      </c>
      <c r="H491" s="4">
        <v>180.12</v>
      </c>
    </row>
    <row r="492" spans="1:8" x14ac:dyDescent="0.25">
      <c r="A492" t="s">
        <v>142</v>
      </c>
      <c r="B492">
        <v>138619</v>
      </c>
      <c r="C492" s="4">
        <v>245.43</v>
      </c>
      <c r="D492" s="5">
        <v>44571</v>
      </c>
      <c r="E492" t="str">
        <f>"202201058190"</f>
        <v>202201058190</v>
      </c>
      <c r="F492" t="str">
        <f>"REIMBURSE/JAMES MONTGOMERY"</f>
        <v>REIMBURSE/JAMES MONTGOMERY</v>
      </c>
      <c r="G492" t="str">
        <f>"REIMBURSE/JAMES MONTGOMERY"</f>
        <v>REIMBURSE/JAMES MONTGOMERY</v>
      </c>
      <c r="H492" s="4">
        <v>245.43</v>
      </c>
    </row>
    <row r="493" spans="1:8" x14ac:dyDescent="0.25">
      <c r="A493" t="s">
        <v>143</v>
      </c>
      <c r="B493">
        <v>5705</v>
      </c>
      <c r="C493" s="4">
        <v>208.35</v>
      </c>
      <c r="D493" s="5">
        <v>44586</v>
      </c>
      <c r="E493" t="str">
        <f>"202201198506"</f>
        <v>202201198506</v>
      </c>
      <c r="F493" t="str">
        <f>"REIMBURSE/JAN LANGER  DVM"</f>
        <v>REIMBURSE/JAN LANGER  DVM</v>
      </c>
      <c r="G493" t="str">
        <f>"REIMBURSE/JAN LANGER  DVM"</f>
        <v>REIMBURSE/JAN LANGER  DVM</v>
      </c>
      <c r="H493" s="4">
        <v>208.35</v>
      </c>
    </row>
    <row r="494" spans="1:8" x14ac:dyDescent="0.25">
      <c r="A494" t="s">
        <v>144</v>
      </c>
      <c r="B494">
        <v>138620</v>
      </c>
      <c r="C494" s="4">
        <v>320</v>
      </c>
      <c r="D494" s="5">
        <v>44571</v>
      </c>
      <c r="E494" t="str">
        <f>"1428"</f>
        <v>1428</v>
      </c>
      <c r="F494" t="str">
        <f>"INV 1428"</f>
        <v>INV 1428</v>
      </c>
      <c r="G494" t="str">
        <f>"INV 1428"</f>
        <v>INV 1428</v>
      </c>
      <c r="H494" s="4">
        <v>320</v>
      </c>
    </row>
    <row r="495" spans="1:8" x14ac:dyDescent="0.25">
      <c r="A495" t="s">
        <v>144</v>
      </c>
      <c r="B495">
        <v>138809</v>
      </c>
      <c r="C495" s="4">
        <v>934</v>
      </c>
      <c r="D495" s="5">
        <v>44585</v>
      </c>
      <c r="E495" t="str">
        <f>"1427"</f>
        <v>1427</v>
      </c>
      <c r="F495" t="str">
        <f>"INV 1427"</f>
        <v>INV 1427</v>
      </c>
      <c r="G495" t="str">
        <f>"INV 1427"</f>
        <v>INV 1427</v>
      </c>
      <c r="H495" s="4">
        <v>435</v>
      </c>
    </row>
    <row r="496" spans="1:8" x14ac:dyDescent="0.25">
      <c r="E496" t="str">
        <f>"1431"</f>
        <v>1431</v>
      </c>
      <c r="F496" t="str">
        <f>"INV 1431"</f>
        <v>INV 1431</v>
      </c>
      <c r="G496" t="str">
        <f>"INV 1431"</f>
        <v>INV 1431</v>
      </c>
      <c r="H496" s="4">
        <v>194</v>
      </c>
    </row>
    <row r="497" spans="1:8" x14ac:dyDescent="0.25">
      <c r="E497" t="str">
        <f>"1434"</f>
        <v>1434</v>
      </c>
      <c r="F497" t="str">
        <f>"INV 1434"</f>
        <v>INV 1434</v>
      </c>
      <c r="G497" t="str">
        <f>"INV 1434"</f>
        <v>INV 1434</v>
      </c>
      <c r="H497" s="4">
        <v>305</v>
      </c>
    </row>
    <row r="498" spans="1:8" x14ac:dyDescent="0.25">
      <c r="A498" t="s">
        <v>145</v>
      </c>
      <c r="B498">
        <v>138810</v>
      </c>
      <c r="C498" s="4">
        <v>25</v>
      </c>
      <c r="D498" s="5">
        <v>44585</v>
      </c>
      <c r="E498" t="str">
        <f>"13-163/12-20-21"</f>
        <v>13-163/12-20-21</v>
      </c>
      <c r="F498" t="str">
        <f>"RESTITUTION-M.MANZANARES"</f>
        <v>RESTITUTION-M.MANZANARES</v>
      </c>
      <c r="G498" t="str">
        <f>"RESTITUTION-M.MANZANARES"</f>
        <v>RESTITUTION-M.MANZANARES</v>
      </c>
      <c r="H498" s="4">
        <v>25</v>
      </c>
    </row>
    <row r="499" spans="1:8" x14ac:dyDescent="0.25">
      <c r="A499" t="s">
        <v>146</v>
      </c>
      <c r="B499">
        <v>5656</v>
      </c>
      <c r="C499" s="4">
        <v>375</v>
      </c>
      <c r="D499" s="5">
        <v>44572</v>
      </c>
      <c r="E499" t="str">
        <f>"202201058172"</f>
        <v>202201058172</v>
      </c>
      <c r="F499" t="str">
        <f>"58196"</f>
        <v>58196</v>
      </c>
      <c r="G499" t="str">
        <f>"58196"</f>
        <v>58196</v>
      </c>
      <c r="H499" s="4">
        <v>375</v>
      </c>
    </row>
    <row r="500" spans="1:8" x14ac:dyDescent="0.25">
      <c r="A500" t="s">
        <v>146</v>
      </c>
      <c r="B500">
        <v>5728</v>
      </c>
      <c r="C500" s="4">
        <v>2600</v>
      </c>
      <c r="D500" s="5">
        <v>44586</v>
      </c>
      <c r="E500" t="str">
        <f>"202201198494"</f>
        <v>202201198494</v>
      </c>
      <c r="F500" t="str">
        <f>"02-0429-1/CREDIT MEMO"</f>
        <v>02-0429-1/CREDIT MEMO</v>
      </c>
      <c r="G500" t="str">
        <f>"02-0429-1/CREDIT MEMO"</f>
        <v>02-0429-1/CREDIT MEMO</v>
      </c>
      <c r="H500" s="4">
        <v>-250</v>
      </c>
    </row>
    <row r="501" spans="1:8" x14ac:dyDescent="0.25">
      <c r="E501" t="str">
        <f>"202201058171"</f>
        <v>202201058171</v>
      </c>
      <c r="F501" t="str">
        <f>"02-0429-1"</f>
        <v>02-0429-1</v>
      </c>
      <c r="G501" t="str">
        <f>"02-0429-1"</f>
        <v>02-0429-1</v>
      </c>
      <c r="H501" s="4">
        <v>250</v>
      </c>
    </row>
    <row r="502" spans="1:8" x14ac:dyDescent="0.25">
      <c r="E502" t="str">
        <f>"202201138321"</f>
        <v>202201138321</v>
      </c>
      <c r="F502" t="str">
        <f>"1958-21"</f>
        <v>1958-21</v>
      </c>
      <c r="G502" t="str">
        <f>"1958-21"</f>
        <v>1958-21</v>
      </c>
      <c r="H502" s="4">
        <v>100</v>
      </c>
    </row>
    <row r="503" spans="1:8" x14ac:dyDescent="0.25">
      <c r="E503" t="str">
        <f>"202201138329"</f>
        <v>202201138329</v>
      </c>
      <c r="F503" t="str">
        <f>"17334"</f>
        <v>17334</v>
      </c>
      <c r="G503" t="str">
        <f>"17334"</f>
        <v>17334</v>
      </c>
      <c r="H503" s="4">
        <v>600</v>
      </c>
    </row>
    <row r="504" spans="1:8" x14ac:dyDescent="0.25">
      <c r="E504" t="str">
        <f>"202201138330"</f>
        <v>202201138330</v>
      </c>
      <c r="F504" t="str">
        <f>"JP109172020I"</f>
        <v>JP109172020I</v>
      </c>
      <c r="G504" t="str">
        <f>"JP109172020I"</f>
        <v>JP109172020I</v>
      </c>
      <c r="H504" s="4">
        <v>400</v>
      </c>
    </row>
    <row r="505" spans="1:8" x14ac:dyDescent="0.25">
      <c r="E505" t="str">
        <f>"202201138331"</f>
        <v>202201138331</v>
      </c>
      <c r="F505" t="str">
        <f>"16799"</f>
        <v>16799</v>
      </c>
      <c r="G505" t="str">
        <f>"16799"</f>
        <v>16799</v>
      </c>
      <c r="H505" s="4">
        <v>700</v>
      </c>
    </row>
    <row r="506" spans="1:8" x14ac:dyDescent="0.25">
      <c r="E506" t="str">
        <f>"202201138332"</f>
        <v>202201138332</v>
      </c>
      <c r="F506" t="str">
        <f>"BC20210811C"</f>
        <v>BC20210811C</v>
      </c>
      <c r="G506" t="str">
        <f>"BC20210811C"</f>
        <v>BC20210811C</v>
      </c>
      <c r="H506" s="4">
        <v>400</v>
      </c>
    </row>
    <row r="507" spans="1:8" x14ac:dyDescent="0.25">
      <c r="E507" t="str">
        <f>"202201138333"</f>
        <v>202201138333</v>
      </c>
      <c r="F507" t="str">
        <f>"JP110072021C"</f>
        <v>JP110072021C</v>
      </c>
      <c r="G507" t="str">
        <f>"JP110072021C"</f>
        <v>JP110072021C</v>
      </c>
      <c r="H507" s="4">
        <v>400</v>
      </c>
    </row>
    <row r="508" spans="1:8" x14ac:dyDescent="0.25">
      <c r="A508" t="s">
        <v>147</v>
      </c>
      <c r="B508">
        <v>138811</v>
      </c>
      <c r="C508" s="4">
        <v>25</v>
      </c>
      <c r="D508" s="5">
        <v>44585</v>
      </c>
      <c r="E508" t="str">
        <f>"8-898/12-20-21"</f>
        <v>8-898/12-20-21</v>
      </c>
      <c r="F508" t="str">
        <f>"RESTITUTION-JOHNY HOFFMAN"</f>
        <v>RESTITUTION-JOHNY HOFFMAN</v>
      </c>
      <c r="G508" t="str">
        <f>"RESTITUTION-JOHNY HOFFMAN"</f>
        <v>RESTITUTION-JOHNY HOFFMAN</v>
      </c>
      <c r="H508" s="4">
        <v>25</v>
      </c>
    </row>
    <row r="509" spans="1:8" x14ac:dyDescent="0.25">
      <c r="A509" t="s">
        <v>148</v>
      </c>
      <c r="B509">
        <v>138812</v>
      </c>
      <c r="C509" s="4">
        <v>550</v>
      </c>
      <c r="D509" s="5">
        <v>44585</v>
      </c>
      <c r="E509" t="str">
        <f>"202201138310"</f>
        <v>202201138310</v>
      </c>
      <c r="F509" t="str">
        <f>"MOSSBERG SHOTGUN/CONSTABLE #1"</f>
        <v>MOSSBERG SHOTGUN/CONSTABLE #1</v>
      </c>
      <c r="G509" t="str">
        <f>"MOSSBERG SHOTGUN/CONSTABLE #1"</f>
        <v>MOSSBERG SHOTGUN/CONSTABLE #1</v>
      </c>
      <c r="H509" s="4">
        <v>550</v>
      </c>
    </row>
    <row r="510" spans="1:8" x14ac:dyDescent="0.25">
      <c r="A510" t="s">
        <v>149</v>
      </c>
      <c r="B510">
        <v>138621</v>
      </c>
      <c r="C510" s="4">
        <v>385</v>
      </c>
      <c r="D510" s="5">
        <v>44571</v>
      </c>
      <c r="E510" t="str">
        <f>"757701"</f>
        <v>757701</v>
      </c>
      <c r="F510" t="str">
        <f>"TRASH REMOVAL/PCT#1"</f>
        <v>TRASH REMOVAL/PCT#1</v>
      </c>
      <c r="G510" t="str">
        <f>"TRASH REMOVAL/PCT#1"</f>
        <v>TRASH REMOVAL/PCT#1</v>
      </c>
      <c r="H510" s="4">
        <v>385</v>
      </c>
    </row>
    <row r="511" spans="1:8" x14ac:dyDescent="0.25">
      <c r="A511" t="s">
        <v>150</v>
      </c>
      <c r="B511">
        <v>5719</v>
      </c>
      <c r="C511" s="4">
        <v>2717</v>
      </c>
      <c r="D511" s="5">
        <v>44586</v>
      </c>
      <c r="E511" t="str">
        <f>"500"</f>
        <v>500</v>
      </c>
      <c r="F511" t="str">
        <f>"TOWER RENTAL"</f>
        <v>TOWER RENTAL</v>
      </c>
      <c r="G511" t="str">
        <f>"TOWER RENTAL"</f>
        <v>TOWER RENTAL</v>
      </c>
      <c r="H511" s="4">
        <v>2717</v>
      </c>
    </row>
    <row r="512" spans="1:8" x14ac:dyDescent="0.25">
      <c r="A512" t="s">
        <v>151</v>
      </c>
      <c r="B512">
        <v>5614</v>
      </c>
      <c r="C512" s="4">
        <v>4072.46</v>
      </c>
      <c r="D512" s="5">
        <v>44572</v>
      </c>
      <c r="E512" t="str">
        <f>"830536"</f>
        <v>830536</v>
      </c>
      <c r="F512" t="str">
        <f>"CUST#10222"</f>
        <v>CUST#10222</v>
      </c>
      <c r="G512" t="str">
        <f>"CUST#10222"</f>
        <v>CUST#10222</v>
      </c>
      <c r="H512" s="4">
        <v>1594.17</v>
      </c>
    </row>
    <row r="513" spans="1:8" x14ac:dyDescent="0.25">
      <c r="E513" t="str">
        <f>"830648"</f>
        <v>830648</v>
      </c>
      <c r="F513" t="str">
        <f>"ACCT#10222"</f>
        <v>ACCT#10222</v>
      </c>
      <c r="G513" t="str">
        <f>"ACCT#10222"</f>
        <v>ACCT#10222</v>
      </c>
      <c r="H513" s="4">
        <v>2478.29</v>
      </c>
    </row>
    <row r="514" spans="1:8" x14ac:dyDescent="0.25">
      <c r="A514" t="s">
        <v>152</v>
      </c>
      <c r="B514">
        <v>5622</v>
      </c>
      <c r="C514" s="4">
        <v>99</v>
      </c>
      <c r="D514" s="5">
        <v>44572</v>
      </c>
      <c r="E514" t="str">
        <f>"284632"</f>
        <v>284632</v>
      </c>
      <c r="F514" t="str">
        <f>"ORDER#1269-9884"</f>
        <v>ORDER#1269-9884</v>
      </c>
      <c r="G514" t="str">
        <f>"ORDER#1269-9884"</f>
        <v>ORDER#1269-9884</v>
      </c>
      <c r="H514" s="4">
        <v>99</v>
      </c>
    </row>
    <row r="515" spans="1:8" x14ac:dyDescent="0.25">
      <c r="A515" t="s">
        <v>153</v>
      </c>
      <c r="B515">
        <v>138886</v>
      </c>
      <c r="C515" s="4">
        <v>50</v>
      </c>
      <c r="D515" s="5">
        <v>44586</v>
      </c>
      <c r="E515" t="str">
        <f>"202201258560"</f>
        <v>202201258560</v>
      </c>
      <c r="F515" t="str">
        <f>"NEW EMPLOYEE DRAWER"</f>
        <v>NEW EMPLOYEE DRAWER</v>
      </c>
      <c r="G515" t="str">
        <f>"NEW EMPLOYEE DRAWER"</f>
        <v>NEW EMPLOYEE DRAWER</v>
      </c>
      <c r="H515" s="4">
        <v>50</v>
      </c>
    </row>
    <row r="516" spans="1:8" x14ac:dyDescent="0.25">
      <c r="A516" t="s">
        <v>154</v>
      </c>
      <c r="B516">
        <v>138622</v>
      </c>
      <c r="C516" s="4">
        <v>712.18</v>
      </c>
      <c r="D516" s="5">
        <v>44571</v>
      </c>
      <c r="E516" t="str">
        <f>"202201058173"</f>
        <v>202201058173</v>
      </c>
      <c r="F516" t="str">
        <f>"ACCT#1650/PCT#1"</f>
        <v>ACCT#1650/PCT#1</v>
      </c>
      <c r="G516" t="str">
        <f>"ACCT#1650/PCT#1"</f>
        <v>ACCT#1650/PCT#1</v>
      </c>
      <c r="H516" s="4">
        <v>258.60000000000002</v>
      </c>
    </row>
    <row r="517" spans="1:8" x14ac:dyDescent="0.25">
      <c r="E517" t="str">
        <f>"202201058174"</f>
        <v>202201058174</v>
      </c>
      <c r="F517" t="str">
        <f>"ACCT#1650"</f>
        <v>ACCT#1650</v>
      </c>
      <c r="G517" t="str">
        <f>"ACCT#1650"</f>
        <v>ACCT#1650</v>
      </c>
      <c r="H517" s="4">
        <v>2.54</v>
      </c>
    </row>
    <row r="518" spans="1:8" x14ac:dyDescent="0.25">
      <c r="E518" t="str">
        <f>"223962523"</f>
        <v>223962523</v>
      </c>
      <c r="F518" t="str">
        <f>"ACCT#1645/WILDFIRE MIT"</f>
        <v>ACCT#1645/WILDFIRE MIT</v>
      </c>
      <c r="G518" t="str">
        <f>"ACCT#1645/WILDFIRE MIT"</f>
        <v>ACCT#1645/WILDFIRE MIT</v>
      </c>
      <c r="H518" s="4">
        <v>451.04</v>
      </c>
    </row>
    <row r="519" spans="1:8" x14ac:dyDescent="0.25">
      <c r="A519" t="s">
        <v>155</v>
      </c>
      <c r="B519">
        <v>5612</v>
      </c>
      <c r="C519" s="4">
        <v>3665.38</v>
      </c>
      <c r="D519" s="5">
        <v>44572</v>
      </c>
      <c r="E519" t="str">
        <f>"454852956"</f>
        <v>454852956</v>
      </c>
      <c r="F519" t="str">
        <f>"INV 454852956  12226450"</f>
        <v>INV 454852956  12226450</v>
      </c>
      <c r="G519" t="str">
        <f>"INV 454852956"</f>
        <v>INV 454852956</v>
      </c>
      <c r="H519" s="4">
        <v>359.77</v>
      </c>
    </row>
    <row r="520" spans="1:8" x14ac:dyDescent="0.25">
      <c r="E520" t="str">
        <f>""</f>
        <v/>
      </c>
      <c r="F520" t="str">
        <f>""</f>
        <v/>
      </c>
      <c r="G520" t="str">
        <f>"INV 12226450"</f>
        <v>INV 12226450</v>
      </c>
      <c r="H520" s="4">
        <v>1244.06</v>
      </c>
    </row>
    <row r="521" spans="1:8" x14ac:dyDescent="0.25">
      <c r="E521" t="str">
        <f>""</f>
        <v/>
      </c>
      <c r="F521" t="str">
        <f>""</f>
        <v/>
      </c>
      <c r="G521" t="str">
        <f>"INV 12296083"</f>
        <v>INV 12296083</v>
      </c>
      <c r="H521" s="4">
        <v>2061.5500000000002</v>
      </c>
    </row>
    <row r="522" spans="1:8" x14ac:dyDescent="0.25">
      <c r="A522" t="s">
        <v>155</v>
      </c>
      <c r="B522">
        <v>5677</v>
      </c>
      <c r="C522" s="4">
        <v>2048.6999999999998</v>
      </c>
      <c r="D522" s="5">
        <v>44586</v>
      </c>
      <c r="E522" t="str">
        <f>"01051920"</f>
        <v>01051920</v>
      </c>
      <c r="F522" t="str">
        <f>"INV 01051920"</f>
        <v>INV 01051920</v>
      </c>
      <c r="G522" t="str">
        <f>"INV 01051920"</f>
        <v>INV 01051920</v>
      </c>
      <c r="H522" s="4">
        <v>969.35</v>
      </c>
    </row>
    <row r="523" spans="1:8" x14ac:dyDescent="0.25">
      <c r="E523" t="str">
        <f>""</f>
        <v/>
      </c>
      <c r="F523" t="str">
        <f>""</f>
        <v/>
      </c>
      <c r="G523" t="str">
        <f>"INV 01122223"</f>
        <v>INV 01122223</v>
      </c>
      <c r="H523" s="4">
        <v>1079.3499999999999</v>
      </c>
    </row>
    <row r="524" spans="1:8" x14ac:dyDescent="0.25">
      <c r="A524" t="s">
        <v>156</v>
      </c>
      <c r="B524">
        <v>138813</v>
      </c>
      <c r="C524" s="4">
        <v>184.51</v>
      </c>
      <c r="D524" s="5">
        <v>44585</v>
      </c>
      <c r="E524" t="str">
        <f>"202201198509"</f>
        <v>202201198509</v>
      </c>
      <c r="F524" t="str">
        <f>"REIMBURSE/LARA WILSON"</f>
        <v>REIMBURSE/LARA WILSON</v>
      </c>
      <c r="G524" t="str">
        <f>"REIMBURSE/LARA WILSON"</f>
        <v>REIMBURSE/LARA WILSON</v>
      </c>
      <c r="H524" s="4">
        <v>184.51</v>
      </c>
    </row>
    <row r="525" spans="1:8" x14ac:dyDescent="0.25">
      <c r="A525" t="s">
        <v>157</v>
      </c>
      <c r="B525">
        <v>138814</v>
      </c>
      <c r="C525" s="4">
        <v>10517.5</v>
      </c>
      <c r="D525" s="5">
        <v>44585</v>
      </c>
      <c r="E525" t="str">
        <f>"202201188461"</f>
        <v>202201188461</v>
      </c>
      <c r="F525" t="str">
        <f>"16-366"</f>
        <v>16-366</v>
      </c>
      <c r="G525" t="str">
        <f>"16-366"</f>
        <v>16-366</v>
      </c>
      <c r="H525" s="4">
        <v>10517.5</v>
      </c>
    </row>
    <row r="526" spans="1:8" x14ac:dyDescent="0.25">
      <c r="A526" t="s">
        <v>158</v>
      </c>
      <c r="B526">
        <v>138815</v>
      </c>
      <c r="C526" s="4">
        <v>661.4</v>
      </c>
      <c r="D526" s="5">
        <v>44585</v>
      </c>
      <c r="E526" t="str">
        <f>"1211621-20211231"</f>
        <v>1211621-20211231</v>
      </c>
      <c r="F526" t="str">
        <f>"BILL ID#1211621"</f>
        <v>BILL ID#1211621</v>
      </c>
      <c r="G526" t="str">
        <f>"BILL ID#1211621"</f>
        <v>BILL ID#1211621</v>
      </c>
      <c r="H526" s="4">
        <v>108.5</v>
      </c>
    </row>
    <row r="527" spans="1:8" x14ac:dyDescent="0.25">
      <c r="E527" t="str">
        <f>"1361725-20211231"</f>
        <v>1361725-20211231</v>
      </c>
      <c r="F527" t="str">
        <f>"BILL ID#1361725/INDIGENT HEALT"</f>
        <v>BILL ID#1361725/INDIGENT HEALT</v>
      </c>
      <c r="G527" t="str">
        <f>"BILL ID#1361725/INDIGENT HEALT"</f>
        <v>BILL ID#1361725/INDIGENT HEALT</v>
      </c>
      <c r="H527" s="4">
        <v>150</v>
      </c>
    </row>
    <row r="528" spans="1:8" x14ac:dyDescent="0.25">
      <c r="E528" t="str">
        <f>"1394645-20211231"</f>
        <v>1394645-20211231</v>
      </c>
      <c r="F528" t="str">
        <f>"BILL ID#1394645/COUNTY CLERK"</f>
        <v>BILL ID#1394645/COUNTY CLERK</v>
      </c>
      <c r="G528" t="str">
        <f>"BILL ID#1394645/COUNTY CLERK"</f>
        <v>BILL ID#1394645/COUNTY CLERK</v>
      </c>
      <c r="H528" s="4">
        <v>50</v>
      </c>
    </row>
    <row r="529" spans="1:8" x14ac:dyDescent="0.25">
      <c r="E529" t="str">
        <f>"1420944-20211231"</f>
        <v>1420944-20211231</v>
      </c>
      <c r="F529" t="str">
        <f>"BILL ID#1420944/SO"</f>
        <v>BILL ID#1420944/SO</v>
      </c>
      <c r="G529" t="str">
        <f>"BILL ID#1420944/SO"</f>
        <v>BILL ID#1420944/SO</v>
      </c>
      <c r="H529" s="4">
        <v>302.89999999999998</v>
      </c>
    </row>
    <row r="530" spans="1:8" x14ac:dyDescent="0.25">
      <c r="E530" t="str">
        <f>"1489870-20211231"</f>
        <v>1489870-20211231</v>
      </c>
      <c r="F530" t="str">
        <f>"BILL ID# 1489870/DISTRICT CLER"</f>
        <v>BILL ID# 1489870/DISTRICT CLER</v>
      </c>
      <c r="G530" t="str">
        <f>"BILL ID# 1489870/DISTRICT CLER"</f>
        <v>BILL ID# 1489870/DISTRICT CLER</v>
      </c>
      <c r="H530" s="4">
        <v>50</v>
      </c>
    </row>
    <row r="531" spans="1:8" x14ac:dyDescent="0.25">
      <c r="A531" t="s">
        <v>159</v>
      </c>
      <c r="B531">
        <v>138623</v>
      </c>
      <c r="C531" s="4">
        <v>2043.15</v>
      </c>
      <c r="D531" s="5">
        <v>44571</v>
      </c>
      <c r="E531" t="str">
        <f>"2182224"</f>
        <v>2182224</v>
      </c>
      <c r="F531" t="str">
        <f>"ACCT#15717"</f>
        <v>ACCT#15717</v>
      </c>
      <c r="G531" t="str">
        <f>"ACCT#15717"</f>
        <v>ACCT#15717</v>
      </c>
      <c r="H531" s="4">
        <v>2043.15</v>
      </c>
    </row>
    <row r="532" spans="1:8" x14ac:dyDescent="0.25">
      <c r="A532" t="s">
        <v>160</v>
      </c>
      <c r="B532">
        <v>138816</v>
      </c>
      <c r="C532" s="4">
        <v>15.81</v>
      </c>
      <c r="D532" s="5">
        <v>44585</v>
      </c>
      <c r="E532" t="str">
        <f>"202201198477"</f>
        <v>202201198477</v>
      </c>
      <c r="F532" t="str">
        <f>"LINDSAY SILVEIRA"</f>
        <v>LINDSAY SILVEIRA</v>
      </c>
      <c r="G532" t="str">
        <f>""</f>
        <v/>
      </c>
      <c r="H532" s="4">
        <v>15.81</v>
      </c>
    </row>
    <row r="533" spans="1:8" x14ac:dyDescent="0.25">
      <c r="A533" t="s">
        <v>161</v>
      </c>
      <c r="B533">
        <v>5626</v>
      </c>
      <c r="C533" s="4">
        <v>19.87</v>
      </c>
      <c r="D533" s="5">
        <v>44572</v>
      </c>
      <c r="E533" t="str">
        <f>"202201048006"</f>
        <v>202201048006</v>
      </c>
      <c r="F533" t="str">
        <f>"REIMBURSE/LINDSEY SIMMONS"</f>
        <v>REIMBURSE/LINDSEY SIMMONS</v>
      </c>
      <c r="G533" t="str">
        <f>"REIMBURSE/LINDSEY SIMMONS"</f>
        <v>REIMBURSE/LINDSEY SIMMONS</v>
      </c>
      <c r="H533" s="4">
        <v>19.87</v>
      </c>
    </row>
    <row r="534" spans="1:8" x14ac:dyDescent="0.25">
      <c r="A534" t="s">
        <v>161</v>
      </c>
      <c r="B534">
        <v>5694</v>
      </c>
      <c r="C534" s="4">
        <v>171.92</v>
      </c>
      <c r="D534" s="5">
        <v>44586</v>
      </c>
      <c r="E534" t="str">
        <f>"202201138313"</f>
        <v>202201138313</v>
      </c>
      <c r="F534" t="str">
        <f>"REIMBURSE/LINDSEY SIMMONS"</f>
        <v>REIMBURSE/LINDSEY SIMMONS</v>
      </c>
      <c r="G534" t="str">
        <f>"REIMBURSE/LINDSEY SIMMONS"</f>
        <v>REIMBURSE/LINDSEY SIMMONS</v>
      </c>
      <c r="H534" s="4">
        <v>171.92</v>
      </c>
    </row>
    <row r="535" spans="1:8" x14ac:dyDescent="0.25">
      <c r="A535" t="s">
        <v>162</v>
      </c>
      <c r="B535">
        <v>138817</v>
      </c>
      <c r="C535" s="4">
        <v>59.97</v>
      </c>
      <c r="D535" s="5">
        <v>44585</v>
      </c>
      <c r="E535" t="str">
        <f>"202201198478"</f>
        <v>202201198478</v>
      </c>
      <c r="F535" t="str">
        <f>"REIMBURSEMENT"</f>
        <v>REIMBURSEMENT</v>
      </c>
      <c r="G535" t="str">
        <f>"REIMBURSEMENT"</f>
        <v>REIMBURSEMENT</v>
      </c>
      <c r="H535" s="4">
        <v>59.97</v>
      </c>
    </row>
    <row r="536" spans="1:8" x14ac:dyDescent="0.25">
      <c r="A536" t="s">
        <v>163</v>
      </c>
      <c r="B536">
        <v>5629</v>
      </c>
      <c r="C536" s="4">
        <v>11847.81</v>
      </c>
      <c r="D536" s="5">
        <v>44572</v>
      </c>
      <c r="E536" t="str">
        <f>"202201048001"</f>
        <v>202201048001</v>
      </c>
      <c r="F536" t="str">
        <f>"HOME VISIT GRANT/OCTOBER"</f>
        <v>HOME VISIT GRANT/OCTOBER</v>
      </c>
      <c r="G536" t="str">
        <f>"HOME VISIT GRANT/OCTOBER"</f>
        <v>HOME VISIT GRANT/OCTOBER</v>
      </c>
      <c r="H536" s="4">
        <v>11847.81</v>
      </c>
    </row>
    <row r="537" spans="1:8" x14ac:dyDescent="0.25">
      <c r="A537" t="s">
        <v>163</v>
      </c>
      <c r="B537">
        <v>5696</v>
      </c>
      <c r="C537" s="4">
        <v>17068.34</v>
      </c>
      <c r="D537" s="5">
        <v>44586</v>
      </c>
      <c r="E537" t="str">
        <f>"202201188469"</f>
        <v>202201188469</v>
      </c>
      <c r="F537" t="str">
        <f>"HOME VISIT GRANT/NOVEMBER"</f>
        <v>HOME VISIT GRANT/NOVEMBER</v>
      </c>
      <c r="G537" t="str">
        <f>"HOME VISIT GRANT/NOVEMBER"</f>
        <v>HOME VISIT GRANT/NOVEMBER</v>
      </c>
      <c r="H537" s="4">
        <v>16141.6</v>
      </c>
    </row>
    <row r="538" spans="1:8" x14ac:dyDescent="0.25">
      <c r="E538" t="str">
        <f>"202201198486"</f>
        <v>202201198486</v>
      </c>
      <c r="F538" t="str">
        <f>"INDIGENT HEALTH"</f>
        <v>INDIGENT HEALTH</v>
      </c>
      <c r="G538" t="str">
        <f>"INDIGENT HEALTH"</f>
        <v>INDIGENT HEALTH</v>
      </c>
      <c r="H538" s="4">
        <v>439.97</v>
      </c>
    </row>
    <row r="539" spans="1:8" x14ac:dyDescent="0.25">
      <c r="E539" t="str">
        <f>""</f>
        <v/>
      </c>
      <c r="F539" t="str">
        <f>""</f>
        <v/>
      </c>
      <c r="G539" t="str">
        <f>"INDIGENT HEALTH"</f>
        <v>INDIGENT HEALTH</v>
      </c>
      <c r="H539" s="4">
        <v>38.200000000000003</v>
      </c>
    </row>
    <row r="540" spans="1:8" x14ac:dyDescent="0.25">
      <c r="E540" t="str">
        <f>""</f>
        <v/>
      </c>
      <c r="F540" t="str">
        <f>""</f>
        <v/>
      </c>
      <c r="G540" t="str">
        <f>"INDIGENT HEALTH"</f>
        <v>INDIGENT HEALTH</v>
      </c>
      <c r="H540" s="4">
        <v>448.57</v>
      </c>
    </row>
    <row r="541" spans="1:8" x14ac:dyDescent="0.25">
      <c r="A541" t="s">
        <v>164</v>
      </c>
      <c r="B541">
        <v>138624</v>
      </c>
      <c r="C541" s="4">
        <v>1093</v>
      </c>
      <c r="D541" s="5">
        <v>44571</v>
      </c>
      <c r="E541" t="str">
        <f>"000012"</f>
        <v>000012</v>
      </c>
      <c r="F541" t="str">
        <f>"INV 000012"</f>
        <v>INV 000012</v>
      </c>
      <c r="G541" t="str">
        <f>"INV 000012"</f>
        <v>INV 000012</v>
      </c>
      <c r="H541" s="4">
        <v>469</v>
      </c>
    </row>
    <row r="542" spans="1:8" x14ac:dyDescent="0.25">
      <c r="E542" t="str">
        <f>"000051"</f>
        <v>000051</v>
      </c>
      <c r="F542" t="str">
        <f>"INV 000051"</f>
        <v>INV 000051</v>
      </c>
      <c r="G542" t="str">
        <f>"INV 000051"</f>
        <v>INV 000051</v>
      </c>
      <c r="H542" s="4">
        <v>624</v>
      </c>
    </row>
    <row r="543" spans="1:8" x14ac:dyDescent="0.25">
      <c r="A543" t="s">
        <v>165</v>
      </c>
      <c r="B543">
        <v>138625</v>
      </c>
      <c r="C543" s="4">
        <v>182.24</v>
      </c>
      <c r="D543" s="5">
        <v>44571</v>
      </c>
      <c r="E543" t="str">
        <f>"202201058158"</f>
        <v>202201058158</v>
      </c>
      <c r="F543" t="str">
        <f>"JAIL MEDICAL"</f>
        <v>JAIL MEDICAL</v>
      </c>
      <c r="G543" t="str">
        <f>"JAIL MEDICAL"</f>
        <v>JAIL MEDICAL</v>
      </c>
      <c r="H543" s="4">
        <v>182.24</v>
      </c>
    </row>
    <row r="544" spans="1:8" x14ac:dyDescent="0.25">
      <c r="A544" t="s">
        <v>166</v>
      </c>
      <c r="B544">
        <v>5669</v>
      </c>
      <c r="C544" s="4">
        <v>1352</v>
      </c>
      <c r="D544" s="5">
        <v>44575</v>
      </c>
      <c r="E544" t="str">
        <f>"202201138439"</f>
        <v>202201138439</v>
      </c>
      <c r="F544" t="str">
        <f>"TRASH REMOVAL/01/01-01/10"</f>
        <v>TRASH REMOVAL/01/01-01/10</v>
      </c>
      <c r="G544" t="str">
        <f>"TRASH REMOVAL/01/01-01/10"</f>
        <v>TRASH REMOVAL/01/01-01/10</v>
      </c>
      <c r="H544" s="4">
        <v>624</v>
      </c>
    </row>
    <row r="545" spans="1:8" x14ac:dyDescent="0.25">
      <c r="E545" t="str">
        <f>"202201138440"</f>
        <v>202201138440</v>
      </c>
      <c r="F545" t="str">
        <f>"TRASH REMOVAL 12/20-12-31"</f>
        <v>TRASH REMOVAL 12/20-12-31</v>
      </c>
      <c r="G545" t="str">
        <f>"TRASH REMOVAL 12/20-12-31"</f>
        <v>TRASH REMOVAL 12/20-12-31</v>
      </c>
      <c r="H545" s="4">
        <v>728</v>
      </c>
    </row>
    <row r="546" spans="1:8" x14ac:dyDescent="0.25">
      <c r="A546" t="s">
        <v>166</v>
      </c>
      <c r="B546">
        <v>5701</v>
      </c>
      <c r="C546" s="4">
        <v>624</v>
      </c>
      <c r="D546" s="5">
        <v>44586</v>
      </c>
      <c r="E546" t="str">
        <f>"202201198500"</f>
        <v>202201198500</v>
      </c>
      <c r="F546" t="str">
        <f>"TRASH/LONNIE LAWRENCE DAVIS JR"</f>
        <v>TRASH/LONNIE LAWRENCE DAVIS JR</v>
      </c>
      <c r="G546" t="str">
        <f>"TRASH/LONNIE LAWRENCE DAVIS JR"</f>
        <v>TRASH/LONNIE LAWRENCE DAVIS JR</v>
      </c>
      <c r="H546" s="4">
        <v>624</v>
      </c>
    </row>
    <row r="547" spans="1:8" x14ac:dyDescent="0.25">
      <c r="A547" t="s">
        <v>167</v>
      </c>
      <c r="B547">
        <v>5653</v>
      </c>
      <c r="C547" s="4">
        <v>101</v>
      </c>
      <c r="D547" s="5">
        <v>44572</v>
      </c>
      <c r="E547" t="str">
        <f>"10-0136315"</f>
        <v>10-0136315</v>
      </c>
      <c r="F547" t="str">
        <f>"STATEMENT 10-000660"</f>
        <v>STATEMENT 10-000660</v>
      </c>
      <c r="G547" t="str">
        <f>"INV 10-0136315"</f>
        <v>INV 10-0136315</v>
      </c>
      <c r="H547" s="4">
        <v>11</v>
      </c>
    </row>
    <row r="548" spans="1:8" x14ac:dyDescent="0.25">
      <c r="E548" t="str">
        <f>""</f>
        <v/>
      </c>
      <c r="F548" t="str">
        <f>""</f>
        <v/>
      </c>
      <c r="G548" t="str">
        <f>"INV 10-0137314"</f>
        <v>INV 10-0137314</v>
      </c>
      <c r="H548" s="4">
        <v>40</v>
      </c>
    </row>
    <row r="549" spans="1:8" x14ac:dyDescent="0.25">
      <c r="E549" t="str">
        <f>""</f>
        <v/>
      </c>
      <c r="F549" t="str">
        <f>""</f>
        <v/>
      </c>
      <c r="G549" t="str">
        <f>"INV 10-0137283"</f>
        <v>INV 10-0137283</v>
      </c>
      <c r="H549" s="4">
        <v>50</v>
      </c>
    </row>
    <row r="550" spans="1:8" x14ac:dyDescent="0.25">
      <c r="A550" t="s">
        <v>168</v>
      </c>
      <c r="B550">
        <v>5630</v>
      </c>
      <c r="C550" s="4">
        <v>240.35</v>
      </c>
      <c r="D550" s="5">
        <v>44572</v>
      </c>
      <c r="E550" t="str">
        <f>"62"</f>
        <v>62</v>
      </c>
      <c r="F550" t="str">
        <f>"SERVICE#1087/PCT#3"</f>
        <v>SERVICE#1087/PCT#3</v>
      </c>
      <c r="G550" t="str">
        <f>"SERVICE#1087/PCT#3"</f>
        <v>SERVICE#1087/PCT#3</v>
      </c>
      <c r="H550" s="4">
        <v>240.35</v>
      </c>
    </row>
    <row r="551" spans="1:8" x14ac:dyDescent="0.25">
      <c r="A551" t="s">
        <v>168</v>
      </c>
      <c r="B551">
        <v>5668</v>
      </c>
      <c r="C551" s="4">
        <v>3252.73</v>
      </c>
      <c r="D551" s="5">
        <v>44574</v>
      </c>
      <c r="E551" t="str">
        <f>"202201128206"</f>
        <v>202201128206</v>
      </c>
      <c r="F551" t="str">
        <f>"SVC ORD#1087/PCT#3"</f>
        <v>SVC ORD#1087/PCT#3</v>
      </c>
      <c r="G551" t="str">
        <f>"TRUBAR  LLC"</f>
        <v>TRUBAR  LLC</v>
      </c>
      <c r="H551" s="4">
        <v>3252.73</v>
      </c>
    </row>
    <row r="552" spans="1:8" x14ac:dyDescent="0.25">
      <c r="A552" t="s">
        <v>169</v>
      </c>
      <c r="B552">
        <v>138818</v>
      </c>
      <c r="C552" s="4">
        <v>656.6</v>
      </c>
      <c r="D552" s="5">
        <v>44585</v>
      </c>
      <c r="E552" t="str">
        <f>"8692"</f>
        <v>8692</v>
      </c>
      <c r="F552" t="str">
        <f>"Statement"</f>
        <v>Statement</v>
      </c>
      <c r="G552" t="str">
        <f>"920827"</f>
        <v>920827</v>
      </c>
      <c r="H552" s="4">
        <v>48.07</v>
      </c>
    </row>
    <row r="553" spans="1:8" x14ac:dyDescent="0.25">
      <c r="E553" t="str">
        <f>""</f>
        <v/>
      </c>
      <c r="F553" t="str">
        <f>""</f>
        <v/>
      </c>
      <c r="G553" t="str">
        <f>"920718"</f>
        <v>920718</v>
      </c>
      <c r="H553" s="4">
        <v>37.92</v>
      </c>
    </row>
    <row r="554" spans="1:8" x14ac:dyDescent="0.25">
      <c r="E554" t="str">
        <f>""</f>
        <v/>
      </c>
      <c r="F554" t="str">
        <f>""</f>
        <v/>
      </c>
      <c r="G554" t="str">
        <f>"910719"</f>
        <v>910719</v>
      </c>
      <c r="H554" s="4">
        <v>283.10000000000002</v>
      </c>
    </row>
    <row r="555" spans="1:8" x14ac:dyDescent="0.25">
      <c r="E555" t="str">
        <f>""</f>
        <v/>
      </c>
      <c r="F555" t="str">
        <f>""</f>
        <v/>
      </c>
      <c r="G555" t="str">
        <f>"910651"</f>
        <v>910651</v>
      </c>
      <c r="H555" s="4">
        <v>287.51</v>
      </c>
    </row>
    <row r="556" spans="1:8" x14ac:dyDescent="0.25">
      <c r="A556" t="s">
        <v>170</v>
      </c>
      <c r="B556">
        <v>138819</v>
      </c>
      <c r="C556" s="4">
        <v>300</v>
      </c>
      <c r="D556" s="5">
        <v>44585</v>
      </c>
      <c r="E556" t="str">
        <f>"202201198492"</f>
        <v>202201198492</v>
      </c>
      <c r="F556" t="str">
        <f>"LW SPANISH LANGUAGE SERVICES"</f>
        <v>LW SPANISH LANGUAGE SERVICES</v>
      </c>
      <c r="G556" t="str">
        <f>"LW SPANISH LANGUAGE SERVICES"</f>
        <v>LW SPANISH LANGUAGE SERVICES</v>
      </c>
      <c r="H556" s="4">
        <v>300</v>
      </c>
    </row>
    <row r="557" spans="1:8" x14ac:dyDescent="0.25">
      <c r="A557" t="s">
        <v>171</v>
      </c>
      <c r="B557">
        <v>5691</v>
      </c>
      <c r="C557" s="4">
        <v>245.92</v>
      </c>
      <c r="D557" s="5">
        <v>44586</v>
      </c>
      <c r="E557" t="str">
        <f>"202201138348"</f>
        <v>202201138348</v>
      </c>
      <c r="F557" t="str">
        <f>"INTERPRETER"</f>
        <v>INTERPRETER</v>
      </c>
      <c r="G557" t="str">
        <f>"MARIA ANFOSSO"</f>
        <v>MARIA ANFOSSO</v>
      </c>
      <c r="H557" s="4">
        <v>245.92</v>
      </c>
    </row>
    <row r="558" spans="1:8" x14ac:dyDescent="0.25">
      <c r="A558" t="s">
        <v>172</v>
      </c>
      <c r="B558">
        <v>138820</v>
      </c>
      <c r="C558" s="4">
        <v>1662.75</v>
      </c>
      <c r="D558" s="5">
        <v>44585</v>
      </c>
      <c r="E558" t="str">
        <f>"001992556"</f>
        <v>001992556</v>
      </c>
      <c r="F558" t="str">
        <f>"INV001992556"</f>
        <v>INV001992556</v>
      </c>
      <c r="G558" t="str">
        <f>"INV001992556"</f>
        <v>INV001992556</v>
      </c>
      <c r="H558" s="4">
        <v>1662.75</v>
      </c>
    </row>
    <row r="559" spans="1:8" x14ac:dyDescent="0.25">
      <c r="A559" t="s">
        <v>173</v>
      </c>
      <c r="B559">
        <v>5624</v>
      </c>
      <c r="C559" s="4">
        <v>12068</v>
      </c>
      <c r="D559" s="5">
        <v>44572</v>
      </c>
      <c r="E559" t="str">
        <f>"202201048020"</f>
        <v>202201048020</v>
      </c>
      <c r="F559" t="str">
        <f>"J-3252"</f>
        <v>J-3252</v>
      </c>
      <c r="G559" t="str">
        <f>"J-3252"</f>
        <v>J-3252</v>
      </c>
      <c r="H559" s="4">
        <v>250</v>
      </c>
    </row>
    <row r="560" spans="1:8" x14ac:dyDescent="0.25">
      <c r="E560" t="str">
        <f>"202201048021"</f>
        <v>202201048021</v>
      </c>
      <c r="F560" t="str">
        <f>"J-3232"</f>
        <v>J-3232</v>
      </c>
      <c r="G560" t="str">
        <f>"J-3232"</f>
        <v>J-3232</v>
      </c>
      <c r="H560" s="4">
        <v>250</v>
      </c>
    </row>
    <row r="561" spans="1:8" x14ac:dyDescent="0.25">
      <c r="E561" t="str">
        <f>"202201048022"</f>
        <v>202201048022</v>
      </c>
      <c r="F561" t="str">
        <f>"57-817"</f>
        <v>57-817</v>
      </c>
      <c r="G561" t="str">
        <f>"57-817"</f>
        <v>57-817</v>
      </c>
      <c r="H561" s="4">
        <v>250</v>
      </c>
    </row>
    <row r="562" spans="1:8" x14ac:dyDescent="0.25">
      <c r="E562" t="str">
        <f>"202201048023"</f>
        <v>202201048023</v>
      </c>
      <c r="F562" t="str">
        <f>"SPD-0314-1"</f>
        <v>SPD-0314-1</v>
      </c>
      <c r="G562" t="str">
        <f>"SPD-0314-1"</f>
        <v>SPD-0314-1</v>
      </c>
      <c r="H562" s="4">
        <v>125</v>
      </c>
    </row>
    <row r="563" spans="1:8" x14ac:dyDescent="0.25">
      <c r="E563" t="str">
        <f>"202201048024"</f>
        <v>202201048024</v>
      </c>
      <c r="F563" t="str">
        <f>"20-20454"</f>
        <v>20-20454</v>
      </c>
      <c r="G563" t="str">
        <f>"20-20454"</f>
        <v>20-20454</v>
      </c>
      <c r="H563" s="4">
        <v>912.5</v>
      </c>
    </row>
    <row r="564" spans="1:8" x14ac:dyDescent="0.25">
      <c r="E564" t="str">
        <f>"202201048025"</f>
        <v>202201048025</v>
      </c>
      <c r="F564" t="str">
        <f>"20-20372"</f>
        <v>20-20372</v>
      </c>
      <c r="G564" t="str">
        <f>"20-20372"</f>
        <v>20-20372</v>
      </c>
      <c r="H564" s="4">
        <v>1837.5</v>
      </c>
    </row>
    <row r="565" spans="1:8" x14ac:dyDescent="0.25">
      <c r="E565" t="str">
        <f>"202201048155"</f>
        <v>202201048155</v>
      </c>
      <c r="F565" t="str">
        <f>"20-20056"</f>
        <v>20-20056</v>
      </c>
      <c r="G565" t="str">
        <f>"20-20056"</f>
        <v>20-20056</v>
      </c>
      <c r="H565" s="4">
        <v>8443</v>
      </c>
    </row>
    <row r="566" spans="1:8" x14ac:dyDescent="0.25">
      <c r="A566" t="s">
        <v>174</v>
      </c>
      <c r="B566">
        <v>138821</v>
      </c>
      <c r="C566" s="4">
        <v>524.11</v>
      </c>
      <c r="D566" s="5">
        <v>44585</v>
      </c>
      <c r="E566" t="str">
        <f>"0024795334"</f>
        <v>0024795334</v>
      </c>
      <c r="F566" t="str">
        <f>"ACCT#S9549/PCT#1"</f>
        <v>ACCT#S9549/PCT#1</v>
      </c>
      <c r="G566" t="str">
        <f>"ACCT#S9549/PCT#1"</f>
        <v>ACCT#S9549/PCT#1</v>
      </c>
      <c r="H566" s="4">
        <v>149.83000000000001</v>
      </c>
    </row>
    <row r="567" spans="1:8" x14ac:dyDescent="0.25">
      <c r="E567" t="str">
        <f>"0024839463"</f>
        <v>0024839463</v>
      </c>
      <c r="F567" t="str">
        <f>"ACCT#41472/PCT#1"</f>
        <v>ACCT#41472/PCT#1</v>
      </c>
      <c r="G567" t="str">
        <f>"ACCT#41472/PCT#1"</f>
        <v>ACCT#41472/PCT#1</v>
      </c>
      <c r="H567" s="4">
        <v>32.729999999999997</v>
      </c>
    </row>
    <row r="568" spans="1:8" x14ac:dyDescent="0.25">
      <c r="E568" t="str">
        <f>"0024839524"</f>
        <v>0024839524</v>
      </c>
      <c r="F568" t="str">
        <f>"CUST#45057/PCT#4"</f>
        <v>CUST#45057/PCT#4</v>
      </c>
      <c r="G568" t="str">
        <f>"CUST#45057/PCT#4"</f>
        <v>CUST#45057/PCT#4</v>
      </c>
      <c r="H568" s="4">
        <v>60.73</v>
      </c>
    </row>
    <row r="569" spans="1:8" x14ac:dyDescent="0.25">
      <c r="E569" t="str">
        <f>"0024839567"</f>
        <v>0024839567</v>
      </c>
      <c r="F569" t="str">
        <f>"INV 0024839567"</f>
        <v>INV 0024839567</v>
      </c>
      <c r="G569" t="str">
        <f>"INV 0024839567"</f>
        <v>INV 0024839567</v>
      </c>
      <c r="H569" s="4">
        <v>70.819999999999993</v>
      </c>
    </row>
    <row r="570" spans="1:8" x14ac:dyDescent="0.25">
      <c r="E570" t="str">
        <f>"0024839843"</f>
        <v>0024839843</v>
      </c>
      <c r="F570" t="str">
        <f>"ACCT#S9549/PCT#1"</f>
        <v>ACCT#S9549/PCT#1</v>
      </c>
      <c r="G570" t="str">
        <f>"ACCT#S9549/PCT#1"</f>
        <v>ACCT#S9549/PCT#1</v>
      </c>
      <c r="H570" s="4">
        <v>210</v>
      </c>
    </row>
    <row r="571" spans="1:8" x14ac:dyDescent="0.25">
      <c r="A571" t="s">
        <v>175</v>
      </c>
      <c r="B571">
        <v>138822</v>
      </c>
      <c r="C571" s="4">
        <v>562.78</v>
      </c>
      <c r="D571" s="5">
        <v>44585</v>
      </c>
      <c r="E571" t="str">
        <f>"B430230B"</f>
        <v>B430230B</v>
      </c>
      <c r="F571" t="str">
        <f>"CONCRETE SAW RENTAL/PCT#2"</f>
        <v>CONCRETE SAW RENTAL/PCT#2</v>
      </c>
      <c r="G571" t="str">
        <f>"CONCRETE SAW RENTAL/PCT#2"</f>
        <v>CONCRETE SAW RENTAL/PCT#2</v>
      </c>
      <c r="H571" s="4">
        <v>375.97</v>
      </c>
    </row>
    <row r="572" spans="1:8" x14ac:dyDescent="0.25">
      <c r="E572" t="str">
        <f>"B430295B"</f>
        <v>B430295B</v>
      </c>
      <c r="F572" t="str">
        <f>"DITCH WITCH RENTAL/PCT#1"</f>
        <v>DITCH WITCH RENTAL/PCT#1</v>
      </c>
      <c r="G572" t="str">
        <f>"DITCH WITCH RENTAL/PCT#1"</f>
        <v>DITCH WITCH RENTAL/PCT#1</v>
      </c>
      <c r="H572" s="4">
        <v>186.81</v>
      </c>
    </row>
    <row r="573" spans="1:8" x14ac:dyDescent="0.25">
      <c r="A573" t="s">
        <v>176</v>
      </c>
      <c r="B573">
        <v>138626</v>
      </c>
      <c r="C573" s="4">
        <v>9120</v>
      </c>
      <c r="D573" s="5">
        <v>44571</v>
      </c>
      <c r="E573" t="str">
        <f>"202201048041"</f>
        <v>202201048041</v>
      </c>
      <c r="F573" t="str">
        <f>"CAUSE#2014-10609"</f>
        <v>CAUSE#2014-10609</v>
      </c>
      <c r="G573" t="str">
        <f>"CAUSE#2014-10609"</f>
        <v>CAUSE#2014-10609</v>
      </c>
      <c r="H573" s="4">
        <v>2640</v>
      </c>
    </row>
    <row r="574" spans="1:8" x14ac:dyDescent="0.25">
      <c r="E574" t="str">
        <f>"202201048042"</f>
        <v>202201048042</v>
      </c>
      <c r="F574" t="str">
        <f>"CAUSE#20200086"</f>
        <v>CAUSE#20200086</v>
      </c>
      <c r="G574" t="str">
        <f>"CAUSE#20200086"</f>
        <v>CAUSE#20200086</v>
      </c>
      <c r="H574" s="4">
        <v>2400</v>
      </c>
    </row>
    <row r="575" spans="1:8" x14ac:dyDescent="0.25">
      <c r="E575" t="str">
        <f>"202201048043"</f>
        <v>202201048043</v>
      </c>
      <c r="F575" t="str">
        <f>"CAUSE#20-S-03810"</f>
        <v>CAUSE#20-S-03810</v>
      </c>
      <c r="G575" t="str">
        <f>"CAUSE#20-S-03810"</f>
        <v>CAUSE#20-S-03810</v>
      </c>
      <c r="H575" s="4">
        <v>2400</v>
      </c>
    </row>
    <row r="576" spans="1:8" x14ac:dyDescent="0.25">
      <c r="E576" t="str">
        <f>"202201048044"</f>
        <v>202201048044</v>
      </c>
      <c r="F576" t="str">
        <f>"CAUSE#17-451"</f>
        <v>CAUSE#17-451</v>
      </c>
      <c r="G576" t="str">
        <f>"CAUSE#17-451"</f>
        <v>CAUSE#17-451</v>
      </c>
      <c r="H576" s="4">
        <v>1680</v>
      </c>
    </row>
    <row r="577" spans="1:8" x14ac:dyDescent="0.25">
      <c r="A577" t="s">
        <v>177</v>
      </c>
      <c r="B577">
        <v>5720</v>
      </c>
      <c r="C577" s="4">
        <v>128.94</v>
      </c>
      <c r="D577" s="5">
        <v>44586</v>
      </c>
      <c r="E577" t="str">
        <f>"6-00617628"</f>
        <v>6-00617628</v>
      </c>
      <c r="F577" t="str">
        <f>"ACCT#900-98011130-001/PCT#3"</f>
        <v>ACCT#900-98011130-001/PCT#3</v>
      </c>
      <c r="G577" t="str">
        <f>"ACCT#900-98011130-001/PCT#3"</f>
        <v>ACCT#900-98011130-001/PCT#3</v>
      </c>
      <c r="H577" s="4">
        <v>86.16</v>
      </c>
    </row>
    <row r="578" spans="1:8" x14ac:dyDescent="0.25">
      <c r="E578" t="str">
        <f>"617994"</f>
        <v>617994</v>
      </c>
      <c r="F578" t="str">
        <f>"ACCT#0900-98011130-001"</f>
        <v>ACCT#0900-98011130-001</v>
      </c>
      <c r="G578" t="str">
        <f>"ACCT#0900-98011130-001"</f>
        <v>ACCT#0900-98011130-001</v>
      </c>
      <c r="H578" s="4">
        <v>42.78</v>
      </c>
    </row>
    <row r="579" spans="1:8" x14ac:dyDescent="0.25">
      <c r="A579" t="s">
        <v>178</v>
      </c>
      <c r="B579">
        <v>138823</v>
      </c>
      <c r="C579" s="4">
        <v>2512</v>
      </c>
      <c r="D579" s="5">
        <v>44585</v>
      </c>
      <c r="E579" t="str">
        <f>"11328 11/16/21"</f>
        <v>11328 11/16/21</v>
      </c>
      <c r="F579" t="str">
        <f t="shared" ref="F579:G593" si="15">"ABST FEE"</f>
        <v>ABST FEE</v>
      </c>
      <c r="G579" t="str">
        <f t="shared" si="15"/>
        <v>ABST FEE</v>
      </c>
      <c r="H579" s="4">
        <v>75</v>
      </c>
    </row>
    <row r="580" spans="1:8" x14ac:dyDescent="0.25">
      <c r="E580" t="str">
        <f>"13226"</f>
        <v>13226</v>
      </c>
      <c r="F580" t="str">
        <f t="shared" si="15"/>
        <v>ABST FEE</v>
      </c>
      <c r="G580" t="str">
        <f t="shared" si="15"/>
        <v>ABST FEE</v>
      </c>
      <c r="H580" s="4">
        <v>56</v>
      </c>
    </row>
    <row r="581" spans="1:8" x14ac:dyDescent="0.25">
      <c r="E581" t="str">
        <f>"13226 11/30/21"</f>
        <v>13226 11/30/21</v>
      </c>
      <c r="F581" t="str">
        <f t="shared" si="15"/>
        <v>ABST FEE</v>
      </c>
      <c r="G581" t="str">
        <f t="shared" si="15"/>
        <v>ABST FEE</v>
      </c>
      <c r="H581" s="4">
        <v>169</v>
      </c>
    </row>
    <row r="582" spans="1:8" x14ac:dyDescent="0.25">
      <c r="E582" t="str">
        <f>"13289"</f>
        <v>13289</v>
      </c>
      <c r="F582" t="str">
        <f t="shared" si="15"/>
        <v>ABST FEE</v>
      </c>
      <c r="G582" t="str">
        <f t="shared" si="15"/>
        <v>ABST FEE</v>
      </c>
      <c r="H582" s="4">
        <v>225</v>
      </c>
    </row>
    <row r="583" spans="1:8" x14ac:dyDescent="0.25">
      <c r="E583" t="str">
        <f>"13313"</f>
        <v>13313</v>
      </c>
      <c r="F583" t="str">
        <f t="shared" si="15"/>
        <v>ABST FEE</v>
      </c>
      <c r="G583" t="str">
        <f t="shared" si="15"/>
        <v>ABST FEE</v>
      </c>
      <c r="H583" s="4">
        <v>225</v>
      </c>
    </row>
    <row r="584" spans="1:8" x14ac:dyDescent="0.25">
      <c r="E584" t="str">
        <f>"13325 11/30/21"</f>
        <v>13325 11/30/21</v>
      </c>
      <c r="F584" t="str">
        <f t="shared" si="15"/>
        <v>ABST FEE</v>
      </c>
      <c r="G584" t="str">
        <f t="shared" si="15"/>
        <v>ABST FEE</v>
      </c>
      <c r="H584" s="4">
        <v>108</v>
      </c>
    </row>
    <row r="585" spans="1:8" x14ac:dyDescent="0.25">
      <c r="E585" t="str">
        <f>"13610"</f>
        <v>13610</v>
      </c>
      <c r="F585" t="str">
        <f t="shared" si="15"/>
        <v>ABST FEE</v>
      </c>
      <c r="G585" t="str">
        <f t="shared" si="15"/>
        <v>ABST FEE</v>
      </c>
      <c r="H585" s="4">
        <v>225</v>
      </c>
    </row>
    <row r="586" spans="1:8" x14ac:dyDescent="0.25">
      <c r="E586" t="str">
        <f>"13666"</f>
        <v>13666</v>
      </c>
      <c r="F586" t="str">
        <f t="shared" si="15"/>
        <v>ABST FEE</v>
      </c>
      <c r="G586" t="str">
        <f t="shared" si="15"/>
        <v>ABST FEE</v>
      </c>
      <c r="H586" s="4">
        <v>12</v>
      </c>
    </row>
    <row r="587" spans="1:8" x14ac:dyDescent="0.25">
      <c r="E587" t="str">
        <f>"13707"</f>
        <v>13707</v>
      </c>
      <c r="F587" t="str">
        <f t="shared" si="15"/>
        <v>ABST FEE</v>
      </c>
      <c r="G587" t="str">
        <f t="shared" si="15"/>
        <v>ABST FEE</v>
      </c>
      <c r="H587" s="4">
        <v>225</v>
      </c>
    </row>
    <row r="588" spans="1:8" x14ac:dyDescent="0.25">
      <c r="E588" t="str">
        <f>"13747"</f>
        <v>13747</v>
      </c>
      <c r="F588" t="str">
        <f t="shared" si="15"/>
        <v>ABST FEE</v>
      </c>
      <c r="G588" t="str">
        <f t="shared" si="15"/>
        <v>ABST FEE</v>
      </c>
      <c r="H588" s="4">
        <v>67</v>
      </c>
    </row>
    <row r="589" spans="1:8" x14ac:dyDescent="0.25">
      <c r="E589" t="str">
        <f>"13782"</f>
        <v>13782</v>
      </c>
      <c r="F589" t="str">
        <f t="shared" si="15"/>
        <v>ABST FEE</v>
      </c>
      <c r="G589" t="str">
        <f t="shared" si="15"/>
        <v>ABST FEE</v>
      </c>
      <c r="H589" s="4">
        <v>225</v>
      </c>
    </row>
    <row r="590" spans="1:8" x14ac:dyDescent="0.25">
      <c r="E590" t="str">
        <f>"13794"</f>
        <v>13794</v>
      </c>
      <c r="F590" t="str">
        <f t="shared" si="15"/>
        <v>ABST FEE</v>
      </c>
      <c r="G590" t="str">
        <f t="shared" si="15"/>
        <v>ABST FEE</v>
      </c>
      <c r="H590" s="4">
        <v>225</v>
      </c>
    </row>
    <row r="591" spans="1:8" x14ac:dyDescent="0.25">
      <c r="E591" t="str">
        <f>"13808"</f>
        <v>13808</v>
      </c>
      <c r="F591" t="str">
        <f t="shared" si="15"/>
        <v>ABST FEE</v>
      </c>
      <c r="G591" t="str">
        <f t="shared" si="15"/>
        <v>ABST FEE</v>
      </c>
      <c r="H591" s="4">
        <v>225</v>
      </c>
    </row>
    <row r="592" spans="1:8" x14ac:dyDescent="0.25">
      <c r="E592" t="str">
        <f>"13819"</f>
        <v>13819</v>
      </c>
      <c r="F592" t="str">
        <f t="shared" si="15"/>
        <v>ABST FEE</v>
      </c>
      <c r="G592" t="str">
        <f t="shared" si="15"/>
        <v>ABST FEE</v>
      </c>
      <c r="H592" s="4">
        <v>225</v>
      </c>
    </row>
    <row r="593" spans="1:8" x14ac:dyDescent="0.25">
      <c r="E593" t="str">
        <f>"13826"</f>
        <v>13826</v>
      </c>
      <c r="F593" t="str">
        <f t="shared" si="15"/>
        <v>ABST FEE</v>
      </c>
      <c r="G593" t="str">
        <f t="shared" si="15"/>
        <v>ABST FEE</v>
      </c>
      <c r="H593" s="4">
        <v>225</v>
      </c>
    </row>
    <row r="594" spans="1:8" x14ac:dyDescent="0.25">
      <c r="A594" t="s">
        <v>179</v>
      </c>
      <c r="B594">
        <v>138627</v>
      </c>
      <c r="C594" s="4">
        <v>951.41</v>
      </c>
      <c r="D594" s="5">
        <v>44571</v>
      </c>
      <c r="E594" t="str">
        <f>"18841331"</f>
        <v>18841331</v>
      </c>
      <c r="F594" t="str">
        <f>"INV 18841331"</f>
        <v>INV 18841331</v>
      </c>
      <c r="G594" t="str">
        <f>"INV 18841331"</f>
        <v>INV 18841331</v>
      </c>
      <c r="H594" s="4">
        <v>440.99</v>
      </c>
    </row>
    <row r="595" spans="1:8" x14ac:dyDescent="0.25">
      <c r="E595" t="str">
        <f>""</f>
        <v/>
      </c>
      <c r="F595" t="str">
        <f>""</f>
        <v/>
      </c>
      <c r="G595" t="str">
        <f>"INV 18850103"</f>
        <v>INV 18850103</v>
      </c>
      <c r="H595" s="4">
        <v>67.150000000000006</v>
      </c>
    </row>
    <row r="596" spans="1:8" x14ac:dyDescent="0.25">
      <c r="E596" t="str">
        <f>"18875629"</f>
        <v>18875629</v>
      </c>
      <c r="F596" t="str">
        <f>"INV 18875629"</f>
        <v>INV 18875629</v>
      </c>
      <c r="G596" t="str">
        <f>"INV 18875629"</f>
        <v>INV 18875629</v>
      </c>
      <c r="H596" s="4">
        <v>443.27</v>
      </c>
    </row>
    <row r="597" spans="1:8" x14ac:dyDescent="0.25">
      <c r="A597" t="s">
        <v>179</v>
      </c>
      <c r="B597">
        <v>138824</v>
      </c>
      <c r="C597" s="4">
        <v>315.94</v>
      </c>
      <c r="D597" s="5">
        <v>44585</v>
      </c>
      <c r="E597" t="str">
        <f>"18939803"</f>
        <v>18939803</v>
      </c>
      <c r="F597" t="str">
        <f>"INV 18939803"</f>
        <v>INV 18939803</v>
      </c>
      <c r="G597" t="str">
        <f>"INV 18939803"</f>
        <v>INV 18939803</v>
      </c>
      <c r="H597" s="4">
        <v>315.94</v>
      </c>
    </row>
    <row r="598" spans="1:8" x14ac:dyDescent="0.25">
      <c r="A598" t="s">
        <v>180</v>
      </c>
      <c r="B598">
        <v>138825</v>
      </c>
      <c r="C598" s="4">
        <v>225</v>
      </c>
      <c r="D598" s="5">
        <v>44585</v>
      </c>
      <c r="E598" t="str">
        <f>"202201138450"</f>
        <v>202201138450</v>
      </c>
      <c r="F598" t="str">
        <f>"PER DIEM"</f>
        <v>PER DIEM</v>
      </c>
      <c r="G598" t="str">
        <f>"PER DIEM"</f>
        <v>PER DIEM</v>
      </c>
      <c r="H598" s="4">
        <v>225</v>
      </c>
    </row>
    <row r="599" spans="1:8" x14ac:dyDescent="0.25">
      <c r="A599" t="s">
        <v>181</v>
      </c>
      <c r="B599">
        <v>138826</v>
      </c>
      <c r="C599" s="4">
        <v>1032.5899999999999</v>
      </c>
      <c r="D599" s="5">
        <v>44585</v>
      </c>
      <c r="E599" t="str">
        <f>"202201198487"</f>
        <v>202201198487</v>
      </c>
      <c r="F599" t="str">
        <f>"INDIGENT HEALTH"</f>
        <v>INDIGENT HEALTH</v>
      </c>
      <c r="G599" t="str">
        <f>"INDIGENT HEALTH"</f>
        <v>INDIGENT HEALTH</v>
      </c>
      <c r="H599" s="4">
        <v>1032.5899999999999</v>
      </c>
    </row>
    <row r="600" spans="1:8" x14ac:dyDescent="0.25">
      <c r="A600" t="s">
        <v>182</v>
      </c>
      <c r="B600">
        <v>138628</v>
      </c>
      <c r="C600" s="4">
        <v>51.8</v>
      </c>
      <c r="D600" s="5">
        <v>44571</v>
      </c>
      <c r="E600" t="str">
        <f>"22-29075"</f>
        <v>22-29075</v>
      </c>
      <c r="F600" t="str">
        <f>"REIMBURSEMENT"</f>
        <v>REIMBURSEMENT</v>
      </c>
      <c r="G600" t="str">
        <f>"REIMBURSEMENT FOR FUEL"</f>
        <v>REIMBURSEMENT FOR FUEL</v>
      </c>
      <c r="H600" s="4">
        <v>51.8</v>
      </c>
    </row>
    <row r="601" spans="1:8" x14ac:dyDescent="0.25">
      <c r="A601" t="s">
        <v>183</v>
      </c>
      <c r="B601">
        <v>5616</v>
      </c>
      <c r="C601" s="4">
        <v>43284.19</v>
      </c>
      <c r="D601" s="5">
        <v>44572</v>
      </c>
      <c r="E601" t="str">
        <f>"26055"</f>
        <v>26055</v>
      </c>
      <c r="F601" t="str">
        <f>"FREIGHT SALES/GOTIER TRACE RD"</f>
        <v>FREIGHT SALES/GOTIER TRACE RD</v>
      </c>
      <c r="G601" t="str">
        <f>"FREIGHT SALES/GOTIER TRACE RD"</f>
        <v>FREIGHT SALES/GOTIER TRACE RD</v>
      </c>
      <c r="H601" s="4">
        <v>21578.59</v>
      </c>
    </row>
    <row r="602" spans="1:8" x14ac:dyDescent="0.25">
      <c r="E602" t="str">
        <f>"26180"</f>
        <v>26180</v>
      </c>
      <c r="F602" t="str">
        <f t="shared" ref="F602:G608" si="16">"FRIGHT SALES/PCT#2"</f>
        <v>FRIGHT SALES/PCT#2</v>
      </c>
      <c r="G602" t="str">
        <f t="shared" si="16"/>
        <v>FRIGHT SALES/PCT#2</v>
      </c>
      <c r="H602" s="4">
        <v>1537.1</v>
      </c>
    </row>
    <row r="603" spans="1:8" x14ac:dyDescent="0.25">
      <c r="E603" t="str">
        <f>"26205"</f>
        <v>26205</v>
      </c>
      <c r="F603" t="str">
        <f t="shared" si="16"/>
        <v>FRIGHT SALES/PCT#2</v>
      </c>
      <c r="G603" t="str">
        <f t="shared" si="16"/>
        <v>FRIGHT SALES/PCT#2</v>
      </c>
      <c r="H603" s="4">
        <v>772.2</v>
      </c>
    </row>
    <row r="604" spans="1:8" x14ac:dyDescent="0.25">
      <c r="E604" t="str">
        <f>"26225"</f>
        <v>26225</v>
      </c>
      <c r="F604" t="str">
        <f t="shared" si="16"/>
        <v>FRIGHT SALES/PCT#2</v>
      </c>
      <c r="G604" t="str">
        <f t="shared" si="16"/>
        <v>FRIGHT SALES/PCT#2</v>
      </c>
      <c r="H604" s="4">
        <v>1409.3</v>
      </c>
    </row>
    <row r="605" spans="1:8" x14ac:dyDescent="0.25">
      <c r="E605" t="str">
        <f>"26269"</f>
        <v>26269</v>
      </c>
      <c r="F605" t="str">
        <f t="shared" si="16"/>
        <v>FRIGHT SALES/PCT#2</v>
      </c>
      <c r="G605" t="str">
        <f t="shared" si="16"/>
        <v>FRIGHT SALES/PCT#2</v>
      </c>
      <c r="H605" s="4">
        <v>16118.85</v>
      </c>
    </row>
    <row r="606" spans="1:8" x14ac:dyDescent="0.25">
      <c r="E606" t="str">
        <f>"26283"</f>
        <v>26283</v>
      </c>
      <c r="F606" t="str">
        <f t="shared" si="16"/>
        <v>FRIGHT SALES/PCT#2</v>
      </c>
      <c r="G606" t="str">
        <f t="shared" si="16"/>
        <v>FRIGHT SALES/PCT#2</v>
      </c>
      <c r="H606" s="4">
        <v>1401.8</v>
      </c>
    </row>
    <row r="607" spans="1:8" x14ac:dyDescent="0.25">
      <c r="E607" t="str">
        <f>"26324"</f>
        <v>26324</v>
      </c>
      <c r="F607" t="str">
        <f t="shared" si="16"/>
        <v>FRIGHT SALES/PCT#2</v>
      </c>
      <c r="G607" t="str">
        <f t="shared" si="16"/>
        <v>FRIGHT SALES/PCT#2</v>
      </c>
      <c r="H607" s="4">
        <v>466.35</v>
      </c>
    </row>
    <row r="608" spans="1:8" x14ac:dyDescent="0.25">
      <c r="A608" t="s">
        <v>183</v>
      </c>
      <c r="B608">
        <v>5682</v>
      </c>
      <c r="C608" s="4">
        <v>611.65</v>
      </c>
      <c r="D608" s="5">
        <v>44586</v>
      </c>
      <c r="E608" t="str">
        <f>"26381"</f>
        <v>26381</v>
      </c>
      <c r="F608" t="str">
        <f t="shared" si="16"/>
        <v>FRIGHT SALES/PCT#2</v>
      </c>
      <c r="G608" t="str">
        <f t="shared" si="16"/>
        <v>FRIGHT SALES/PCT#2</v>
      </c>
      <c r="H608" s="4">
        <v>611.65</v>
      </c>
    </row>
    <row r="609" spans="1:8" x14ac:dyDescent="0.25">
      <c r="A609" t="s">
        <v>184</v>
      </c>
      <c r="B609">
        <v>138511</v>
      </c>
      <c r="C609" s="4">
        <v>20</v>
      </c>
      <c r="D609" s="5">
        <v>44565</v>
      </c>
      <c r="E609" t="str">
        <f>"202201048076"</f>
        <v>202201048076</v>
      </c>
      <c r="F609" t="str">
        <f>"Miscellan"</f>
        <v>Miscellan</v>
      </c>
      <c r="G609" t="str">
        <f>"CARA JILL GRINNELL"</f>
        <v>CARA JILL GRINNELL</v>
      </c>
      <c r="H609" s="4">
        <v>20</v>
      </c>
    </row>
    <row r="610" spans="1:8" x14ac:dyDescent="0.25">
      <c r="A610" t="s">
        <v>185</v>
      </c>
      <c r="B610">
        <v>138512</v>
      </c>
      <c r="C610" s="4">
        <v>20</v>
      </c>
      <c r="D610" s="5">
        <v>44565</v>
      </c>
      <c r="E610" t="str">
        <f>"202201048077"</f>
        <v>202201048077</v>
      </c>
      <c r="F610" t="str">
        <f>"Miscel"</f>
        <v>Miscel</v>
      </c>
      <c r="G610" t="str">
        <f>"SHANE ALLEN ALEXANDER"</f>
        <v>SHANE ALLEN ALEXANDER</v>
      </c>
      <c r="H610" s="4">
        <v>20</v>
      </c>
    </row>
    <row r="611" spans="1:8" x14ac:dyDescent="0.25">
      <c r="A611" t="s">
        <v>186</v>
      </c>
      <c r="B611">
        <v>138513</v>
      </c>
      <c r="C611" s="4">
        <v>20</v>
      </c>
      <c r="D611" s="5">
        <v>44565</v>
      </c>
      <c r="E611" t="str">
        <f>"202201048078"</f>
        <v>202201048078</v>
      </c>
      <c r="F611" t="str">
        <f>"Miscella"</f>
        <v>Miscella</v>
      </c>
      <c r="G611" t="str">
        <f>"NATASHA MARIE MOORE"</f>
        <v>NATASHA MARIE MOORE</v>
      </c>
      <c r="H611" s="4">
        <v>20</v>
      </c>
    </row>
    <row r="612" spans="1:8" x14ac:dyDescent="0.25">
      <c r="A612" t="s">
        <v>187</v>
      </c>
      <c r="B612">
        <v>138514</v>
      </c>
      <c r="C612" s="4">
        <v>20</v>
      </c>
      <c r="D612" s="5">
        <v>44565</v>
      </c>
      <c r="E612" t="str">
        <f>"202201048079"</f>
        <v>202201048079</v>
      </c>
      <c r="F612" t="str">
        <f>"Miscel"</f>
        <v>Miscel</v>
      </c>
      <c r="G612" t="str">
        <f>"BARBARA BAILEY BOGART"</f>
        <v>BARBARA BAILEY BOGART</v>
      </c>
      <c r="H612" s="4">
        <v>20</v>
      </c>
    </row>
    <row r="613" spans="1:8" x14ac:dyDescent="0.25">
      <c r="A613" t="s">
        <v>188</v>
      </c>
      <c r="B613">
        <v>138515</v>
      </c>
      <c r="C613" s="4">
        <v>20</v>
      </c>
      <c r="D613" s="5">
        <v>44565</v>
      </c>
      <c r="E613" t="str">
        <f>"202201048080"</f>
        <v>202201048080</v>
      </c>
      <c r="F613" t="str">
        <f>"Miscel"</f>
        <v>Miscel</v>
      </c>
      <c r="G613" t="str">
        <f>"DAMIR ANTONIO SPANJOL"</f>
        <v>DAMIR ANTONIO SPANJOL</v>
      </c>
      <c r="H613" s="4">
        <v>20</v>
      </c>
    </row>
    <row r="614" spans="1:8" x14ac:dyDescent="0.25">
      <c r="A614" t="s">
        <v>189</v>
      </c>
      <c r="B614">
        <v>138516</v>
      </c>
      <c r="C614" s="4">
        <v>20</v>
      </c>
      <c r="D614" s="5">
        <v>44565</v>
      </c>
      <c r="E614" t="str">
        <f>"202201048081"</f>
        <v>202201048081</v>
      </c>
      <c r="F614" t="str">
        <f>"Miscellaneo"</f>
        <v>Miscellaneo</v>
      </c>
      <c r="G614" t="str">
        <f>"KIM COERS KRAMER"</f>
        <v>KIM COERS KRAMER</v>
      </c>
      <c r="H614" s="4">
        <v>20</v>
      </c>
    </row>
    <row r="615" spans="1:8" x14ac:dyDescent="0.25">
      <c r="A615" t="s">
        <v>190</v>
      </c>
      <c r="B615">
        <v>138517</v>
      </c>
      <c r="C615" s="4">
        <v>20</v>
      </c>
      <c r="D615" s="5">
        <v>44565</v>
      </c>
      <c r="E615" t="str">
        <f>"202201048082"</f>
        <v>202201048082</v>
      </c>
      <c r="F615" t="str">
        <f>""</f>
        <v/>
      </c>
      <c r="G615" t="str">
        <f>"HEATHER MARIE MEISETSCHLAEGER"</f>
        <v>HEATHER MARIE MEISETSCHLAEGER</v>
      </c>
      <c r="H615" s="4">
        <v>20</v>
      </c>
    </row>
    <row r="616" spans="1:8" x14ac:dyDescent="0.25">
      <c r="A616" t="s">
        <v>191</v>
      </c>
      <c r="B616">
        <v>138518</v>
      </c>
      <c r="C616" s="4">
        <v>20</v>
      </c>
      <c r="D616" s="5">
        <v>44565</v>
      </c>
      <c r="E616" t="str">
        <f>"202201048083"</f>
        <v>202201048083</v>
      </c>
      <c r="F616" t="str">
        <f>"Miscel"</f>
        <v>Miscel</v>
      </c>
      <c r="G616" t="str">
        <f>"FRANCISCUS C CAMPBELL"</f>
        <v>FRANCISCUS C CAMPBELL</v>
      </c>
      <c r="H616" s="4">
        <v>20</v>
      </c>
    </row>
    <row r="617" spans="1:8" x14ac:dyDescent="0.25">
      <c r="A617" t="s">
        <v>192</v>
      </c>
      <c r="B617">
        <v>138519</v>
      </c>
      <c r="C617" s="4">
        <v>20</v>
      </c>
      <c r="D617" s="5">
        <v>44565</v>
      </c>
      <c r="E617" t="str">
        <f>"202201048084"</f>
        <v>202201048084</v>
      </c>
      <c r="F617" t="str">
        <f>"Misc"</f>
        <v>Misc</v>
      </c>
      <c r="G617" t="str">
        <f>"GREGORY LEWIS MODESETTE"</f>
        <v>GREGORY LEWIS MODESETTE</v>
      </c>
      <c r="H617" s="4">
        <v>20</v>
      </c>
    </row>
    <row r="618" spans="1:8" x14ac:dyDescent="0.25">
      <c r="A618" t="s">
        <v>193</v>
      </c>
      <c r="B618">
        <v>138520</v>
      </c>
      <c r="C618" s="4">
        <v>20</v>
      </c>
      <c r="D618" s="5">
        <v>44565</v>
      </c>
      <c r="E618" t="str">
        <f>"202201048085"</f>
        <v>202201048085</v>
      </c>
      <c r="F618" t="str">
        <f>"Misce"</f>
        <v>Misce</v>
      </c>
      <c r="G618" t="str">
        <f>"CHARLES WILLIAM KRAMER"</f>
        <v>CHARLES WILLIAM KRAMER</v>
      </c>
      <c r="H618" s="4">
        <v>20</v>
      </c>
    </row>
    <row r="619" spans="1:8" x14ac:dyDescent="0.25">
      <c r="A619" t="s">
        <v>194</v>
      </c>
      <c r="B619">
        <v>138521</v>
      </c>
      <c r="C619" s="4">
        <v>20</v>
      </c>
      <c r="D619" s="5">
        <v>44565</v>
      </c>
      <c r="E619" t="str">
        <f>"202201048086"</f>
        <v>202201048086</v>
      </c>
      <c r="F619" t="str">
        <f>"Miscellaneous"</f>
        <v>Miscellaneous</v>
      </c>
      <c r="G619" t="str">
        <f>"TERRY LEE WADE"</f>
        <v>TERRY LEE WADE</v>
      </c>
      <c r="H619" s="4">
        <v>20</v>
      </c>
    </row>
    <row r="620" spans="1:8" x14ac:dyDescent="0.25">
      <c r="A620" t="s">
        <v>195</v>
      </c>
      <c r="B620">
        <v>138522</v>
      </c>
      <c r="C620" s="4">
        <v>20</v>
      </c>
      <c r="D620" s="5">
        <v>44565</v>
      </c>
      <c r="E620" t="str">
        <f>"202201048087"</f>
        <v>202201048087</v>
      </c>
      <c r="F620" t="str">
        <f>"Miscell"</f>
        <v>Miscell</v>
      </c>
      <c r="G620" t="str">
        <f>"PAUL THOMAS FINFROCK"</f>
        <v>PAUL THOMAS FINFROCK</v>
      </c>
      <c r="H620" s="4">
        <v>20</v>
      </c>
    </row>
    <row r="621" spans="1:8" x14ac:dyDescent="0.25">
      <c r="A621" t="s">
        <v>196</v>
      </c>
      <c r="B621">
        <v>138523</v>
      </c>
      <c r="C621" s="4">
        <v>20</v>
      </c>
      <c r="D621" s="5">
        <v>44565</v>
      </c>
      <c r="E621" t="str">
        <f>"202201048088"</f>
        <v>202201048088</v>
      </c>
      <c r="F621" t="str">
        <f>"Miscella"</f>
        <v>Miscella</v>
      </c>
      <c r="G621" t="str">
        <f>"DANIEL RAY CARRASCO"</f>
        <v>DANIEL RAY CARRASCO</v>
      </c>
      <c r="H621" s="4">
        <v>20</v>
      </c>
    </row>
    <row r="622" spans="1:8" x14ac:dyDescent="0.25">
      <c r="A622" t="s">
        <v>197</v>
      </c>
      <c r="B622">
        <v>138524</v>
      </c>
      <c r="C622" s="4">
        <v>20</v>
      </c>
      <c r="D622" s="5">
        <v>44565</v>
      </c>
      <c r="E622" t="str">
        <f>"202201048089"</f>
        <v>202201048089</v>
      </c>
      <c r="F622" t="str">
        <f>"Misc"</f>
        <v>Misc</v>
      </c>
      <c r="G622" t="str">
        <f>"GLORIA SANTAMARIA ALEJO"</f>
        <v>GLORIA SANTAMARIA ALEJO</v>
      </c>
      <c r="H622" s="4">
        <v>20</v>
      </c>
    </row>
    <row r="623" spans="1:8" x14ac:dyDescent="0.25">
      <c r="A623" t="s">
        <v>198</v>
      </c>
      <c r="B623">
        <v>138525</v>
      </c>
      <c r="C623" s="4">
        <v>20</v>
      </c>
      <c r="D623" s="5">
        <v>44565</v>
      </c>
      <c r="E623" t="str">
        <f>"202201048090"</f>
        <v>202201048090</v>
      </c>
      <c r="F623" t="str">
        <f>"Misc"</f>
        <v>Misc</v>
      </c>
      <c r="G623" t="str">
        <f>"JAMIE DALE HIGGINBOTHAM"</f>
        <v>JAMIE DALE HIGGINBOTHAM</v>
      </c>
      <c r="H623" s="4">
        <v>20</v>
      </c>
    </row>
    <row r="624" spans="1:8" x14ac:dyDescent="0.25">
      <c r="A624" t="s">
        <v>199</v>
      </c>
      <c r="B624">
        <v>138526</v>
      </c>
      <c r="C624" s="4">
        <v>20</v>
      </c>
      <c r="D624" s="5">
        <v>44565</v>
      </c>
      <c r="E624" t="str">
        <f>"202201048091"</f>
        <v>202201048091</v>
      </c>
      <c r="F624" t="str">
        <f>"Miscellane"</f>
        <v>Miscellane</v>
      </c>
      <c r="G624" t="str">
        <f>"JERNAE LEE WRIGHT"</f>
        <v>JERNAE LEE WRIGHT</v>
      </c>
      <c r="H624" s="4">
        <v>20</v>
      </c>
    </row>
    <row r="625" spans="1:8" x14ac:dyDescent="0.25">
      <c r="A625" t="s">
        <v>200</v>
      </c>
      <c r="B625">
        <v>138527</v>
      </c>
      <c r="C625" s="4">
        <v>20</v>
      </c>
      <c r="D625" s="5">
        <v>44565</v>
      </c>
      <c r="E625" t="str">
        <f>"202201048092"</f>
        <v>202201048092</v>
      </c>
      <c r="F625" t="str">
        <f>"Miscellane"</f>
        <v>Miscellane</v>
      </c>
      <c r="G625" t="str">
        <f>"CARY EARL JACKSON"</f>
        <v>CARY EARL JACKSON</v>
      </c>
      <c r="H625" s="4">
        <v>20</v>
      </c>
    </row>
    <row r="626" spans="1:8" x14ac:dyDescent="0.25">
      <c r="A626" t="s">
        <v>201</v>
      </c>
      <c r="B626">
        <v>138528</v>
      </c>
      <c r="C626" s="4">
        <v>20</v>
      </c>
      <c r="D626" s="5">
        <v>44565</v>
      </c>
      <c r="E626" t="str">
        <f>"202201048093"</f>
        <v>202201048093</v>
      </c>
      <c r="F626" t="str">
        <f>"Miscell"</f>
        <v>Miscell</v>
      </c>
      <c r="G626" t="str">
        <f>"BRYAN ALLEN KLAERNER"</f>
        <v>BRYAN ALLEN KLAERNER</v>
      </c>
      <c r="H626" s="4">
        <v>20</v>
      </c>
    </row>
    <row r="627" spans="1:8" x14ac:dyDescent="0.25">
      <c r="A627" t="s">
        <v>202</v>
      </c>
      <c r="B627">
        <v>138529</v>
      </c>
      <c r="C627" s="4">
        <v>20</v>
      </c>
      <c r="D627" s="5">
        <v>44565</v>
      </c>
      <c r="E627" t="str">
        <f>"202201048094"</f>
        <v>202201048094</v>
      </c>
      <c r="F627" t="str">
        <f>"Miscell"</f>
        <v>Miscell</v>
      </c>
      <c r="G627" t="str">
        <f>"TOBIAH AARON HENNEKE"</f>
        <v>TOBIAH AARON HENNEKE</v>
      </c>
      <c r="H627" s="4">
        <v>20</v>
      </c>
    </row>
    <row r="628" spans="1:8" x14ac:dyDescent="0.25">
      <c r="A628" t="s">
        <v>203</v>
      </c>
      <c r="B628">
        <v>138530</v>
      </c>
      <c r="C628" s="4">
        <v>20</v>
      </c>
      <c r="D628" s="5">
        <v>44565</v>
      </c>
      <c r="E628" t="str">
        <f>"202201048095"</f>
        <v>202201048095</v>
      </c>
      <c r="F628" t="str">
        <f>"Miscellan"</f>
        <v>Miscellan</v>
      </c>
      <c r="G628" t="str">
        <f>"CHERYL ANN RUSSELL"</f>
        <v>CHERYL ANN RUSSELL</v>
      </c>
      <c r="H628" s="4">
        <v>20</v>
      </c>
    </row>
    <row r="629" spans="1:8" x14ac:dyDescent="0.25">
      <c r="A629" t="s">
        <v>204</v>
      </c>
      <c r="B629">
        <v>138531</v>
      </c>
      <c r="C629" s="4">
        <v>20</v>
      </c>
      <c r="D629" s="5">
        <v>44565</v>
      </c>
      <c r="E629" t="str">
        <f>"202201048096"</f>
        <v>202201048096</v>
      </c>
      <c r="F629" t="str">
        <f>"Misce"</f>
        <v>Misce</v>
      </c>
      <c r="G629" t="str">
        <f>"BRENDA MARIE HERNANDEZ"</f>
        <v>BRENDA MARIE HERNANDEZ</v>
      </c>
      <c r="H629" s="4">
        <v>20</v>
      </c>
    </row>
    <row r="630" spans="1:8" x14ac:dyDescent="0.25">
      <c r="A630" t="s">
        <v>205</v>
      </c>
      <c r="B630">
        <v>138532</v>
      </c>
      <c r="C630" s="4">
        <v>20</v>
      </c>
      <c r="D630" s="5">
        <v>44565</v>
      </c>
      <c r="E630" t="str">
        <f>"202201048097"</f>
        <v>202201048097</v>
      </c>
      <c r="F630" t="str">
        <f>"Miscellan"</f>
        <v>Miscellan</v>
      </c>
      <c r="G630" t="str">
        <f>"ANGELA DENTON RYAN"</f>
        <v>ANGELA DENTON RYAN</v>
      </c>
      <c r="H630" s="4">
        <v>20</v>
      </c>
    </row>
    <row r="631" spans="1:8" x14ac:dyDescent="0.25">
      <c r="A631" t="s">
        <v>206</v>
      </c>
      <c r="B631">
        <v>138533</v>
      </c>
      <c r="C631" s="4">
        <v>20</v>
      </c>
      <c r="D631" s="5">
        <v>44565</v>
      </c>
      <c r="E631" t="str">
        <f>"202201048098"</f>
        <v>202201048098</v>
      </c>
      <c r="F631" t="str">
        <f>"Miscellaneou"</f>
        <v>Miscellaneou</v>
      </c>
      <c r="G631" t="str">
        <f>"CALISSA HEUDIER"</f>
        <v>CALISSA HEUDIER</v>
      </c>
      <c r="H631" s="4">
        <v>20</v>
      </c>
    </row>
    <row r="632" spans="1:8" x14ac:dyDescent="0.25">
      <c r="A632" t="s">
        <v>207</v>
      </c>
      <c r="B632">
        <v>138534</v>
      </c>
      <c r="C632" s="4">
        <v>20</v>
      </c>
      <c r="D632" s="5">
        <v>44565</v>
      </c>
      <c r="E632" t="str">
        <f>"202201048099"</f>
        <v>202201048099</v>
      </c>
      <c r="F632" t="str">
        <f>"Mi"</f>
        <v>Mi</v>
      </c>
      <c r="G632" t="str">
        <f>"KIRSTEN MICHELE LASKOWSKI"</f>
        <v>KIRSTEN MICHELE LASKOWSKI</v>
      </c>
      <c r="H632" s="4">
        <v>20</v>
      </c>
    </row>
    <row r="633" spans="1:8" x14ac:dyDescent="0.25">
      <c r="A633" t="s">
        <v>208</v>
      </c>
      <c r="B633">
        <v>138535</v>
      </c>
      <c r="C633" s="4">
        <v>20</v>
      </c>
      <c r="D633" s="5">
        <v>44565</v>
      </c>
      <c r="E633" t="str">
        <f>"202201048100"</f>
        <v>202201048100</v>
      </c>
      <c r="F633" t="str">
        <f>"Miscellan"</f>
        <v>Miscellan</v>
      </c>
      <c r="G633" t="str">
        <f>"LISA EILEEN WILCOX"</f>
        <v>LISA EILEEN WILCOX</v>
      </c>
      <c r="H633" s="4">
        <v>20</v>
      </c>
    </row>
    <row r="634" spans="1:8" x14ac:dyDescent="0.25">
      <c r="A634" t="s">
        <v>209</v>
      </c>
      <c r="B634">
        <v>138536</v>
      </c>
      <c r="C634" s="4">
        <v>20</v>
      </c>
      <c r="D634" s="5">
        <v>44565</v>
      </c>
      <c r="E634" t="str">
        <f>"202201048101"</f>
        <v>202201048101</v>
      </c>
      <c r="F634" t="str">
        <f>"Miscel"</f>
        <v>Miscel</v>
      </c>
      <c r="G634" t="str">
        <f>"RONNIE MAURICE LOWDEN"</f>
        <v>RONNIE MAURICE LOWDEN</v>
      </c>
      <c r="H634" s="4">
        <v>20</v>
      </c>
    </row>
    <row r="635" spans="1:8" x14ac:dyDescent="0.25">
      <c r="A635" t="s">
        <v>210</v>
      </c>
      <c r="B635">
        <v>138537</v>
      </c>
      <c r="C635" s="4">
        <v>20</v>
      </c>
      <c r="D635" s="5">
        <v>44565</v>
      </c>
      <c r="E635" t="str">
        <f>"202201048102"</f>
        <v>202201048102</v>
      </c>
      <c r="F635" t="str">
        <f>"Miscellaneo"</f>
        <v>Miscellaneo</v>
      </c>
      <c r="G635" t="str">
        <f>"MICHAEL H SEJMAN"</f>
        <v>MICHAEL H SEJMAN</v>
      </c>
      <c r="H635" s="4">
        <v>20</v>
      </c>
    </row>
    <row r="636" spans="1:8" x14ac:dyDescent="0.25">
      <c r="A636" t="s">
        <v>211</v>
      </c>
      <c r="B636">
        <v>138538</v>
      </c>
      <c r="C636" s="4">
        <v>20</v>
      </c>
      <c r="D636" s="5">
        <v>44565</v>
      </c>
      <c r="E636" t="str">
        <f>"202201048103"</f>
        <v>202201048103</v>
      </c>
      <c r="F636" t="str">
        <f>"Mis"</f>
        <v>Mis</v>
      </c>
      <c r="G636" t="str">
        <f>"RAUL CASTILLO AGUILAR JR"</f>
        <v>RAUL CASTILLO AGUILAR JR</v>
      </c>
      <c r="H636" s="4">
        <v>20</v>
      </c>
    </row>
    <row r="637" spans="1:8" x14ac:dyDescent="0.25">
      <c r="A637" t="s">
        <v>212</v>
      </c>
      <c r="B637">
        <v>138539</v>
      </c>
      <c r="C637" s="4">
        <v>20</v>
      </c>
      <c r="D637" s="5">
        <v>44565</v>
      </c>
      <c r="E637" t="str">
        <f>"202201048104"</f>
        <v>202201048104</v>
      </c>
      <c r="F637" t="str">
        <f>"Miscel"</f>
        <v>Miscel</v>
      </c>
      <c r="G637" t="str">
        <f>"CATHERINE MARIE SMITH"</f>
        <v>CATHERINE MARIE SMITH</v>
      </c>
      <c r="H637" s="4">
        <v>20</v>
      </c>
    </row>
    <row r="638" spans="1:8" x14ac:dyDescent="0.25">
      <c r="A638" t="s">
        <v>213</v>
      </c>
      <c r="B638">
        <v>138540</v>
      </c>
      <c r="C638" s="4">
        <v>20</v>
      </c>
      <c r="D638" s="5">
        <v>44565</v>
      </c>
      <c r="E638" t="str">
        <f>"202201048105"</f>
        <v>202201048105</v>
      </c>
      <c r="F638" t="str">
        <f>"Miscellan"</f>
        <v>Miscellan</v>
      </c>
      <c r="G638" t="str">
        <f>"DORIS BEUTEL BORTH"</f>
        <v>DORIS BEUTEL BORTH</v>
      </c>
      <c r="H638" s="4">
        <v>20</v>
      </c>
    </row>
    <row r="639" spans="1:8" x14ac:dyDescent="0.25">
      <c r="A639" t="s">
        <v>214</v>
      </c>
      <c r="B639">
        <v>138541</v>
      </c>
      <c r="C639" s="4">
        <v>20</v>
      </c>
      <c r="D639" s="5">
        <v>44565</v>
      </c>
      <c r="E639" t="str">
        <f>"202201048106"</f>
        <v>202201048106</v>
      </c>
      <c r="F639" t="str">
        <f>"Miscel"</f>
        <v>Miscel</v>
      </c>
      <c r="G639" t="str">
        <f>"DIAN ALEXANDER TURNER"</f>
        <v>DIAN ALEXANDER TURNER</v>
      </c>
      <c r="H639" s="4">
        <v>20</v>
      </c>
    </row>
    <row r="640" spans="1:8" x14ac:dyDescent="0.25">
      <c r="A640" t="s">
        <v>215</v>
      </c>
      <c r="B640">
        <v>138542</v>
      </c>
      <c r="C640" s="4">
        <v>20</v>
      </c>
      <c r="D640" s="5">
        <v>44565</v>
      </c>
      <c r="E640" t="str">
        <f>"202201048107"</f>
        <v>202201048107</v>
      </c>
      <c r="F640" t="str">
        <f>"Miscellaneo"</f>
        <v>Miscellaneo</v>
      </c>
      <c r="G640" t="str">
        <f>"ROBERTO A CEPEDA"</f>
        <v>ROBERTO A CEPEDA</v>
      </c>
      <c r="H640" s="4">
        <v>20</v>
      </c>
    </row>
    <row r="641" spans="1:8" x14ac:dyDescent="0.25">
      <c r="A641" t="s">
        <v>216</v>
      </c>
      <c r="B641">
        <v>138543</v>
      </c>
      <c r="C641" s="4">
        <v>20</v>
      </c>
      <c r="D641" s="5">
        <v>44565</v>
      </c>
      <c r="E641" t="str">
        <f>"202201048108"</f>
        <v>202201048108</v>
      </c>
      <c r="F641" t="str">
        <f>"Miscell"</f>
        <v>Miscell</v>
      </c>
      <c r="G641" t="str">
        <f>"JACOB DANIEL BELLAMY"</f>
        <v>JACOB DANIEL BELLAMY</v>
      </c>
      <c r="H641" s="4">
        <v>20</v>
      </c>
    </row>
    <row r="642" spans="1:8" x14ac:dyDescent="0.25">
      <c r="A642" t="s">
        <v>217</v>
      </c>
      <c r="B642">
        <v>138544</v>
      </c>
      <c r="C642" s="4">
        <v>20</v>
      </c>
      <c r="D642" s="5">
        <v>44565</v>
      </c>
      <c r="E642" t="str">
        <f>"202201048109"</f>
        <v>202201048109</v>
      </c>
      <c r="F642" t="str">
        <f>"Miscell"</f>
        <v>Miscell</v>
      </c>
      <c r="G642" t="str">
        <f>"LIAM PATRICK MCGUIRE"</f>
        <v>LIAM PATRICK MCGUIRE</v>
      </c>
      <c r="H642" s="4">
        <v>20</v>
      </c>
    </row>
    <row r="643" spans="1:8" x14ac:dyDescent="0.25">
      <c r="A643" t="s">
        <v>218</v>
      </c>
      <c r="B643">
        <v>138545</v>
      </c>
      <c r="C643" s="4">
        <v>20</v>
      </c>
      <c r="D643" s="5">
        <v>44565</v>
      </c>
      <c r="E643" t="str">
        <f>"202201048110"</f>
        <v>202201048110</v>
      </c>
      <c r="F643" t="str">
        <f>"Miscell"</f>
        <v>Miscell</v>
      </c>
      <c r="G643" t="str">
        <f>"KATHRYN MARY HANCOCK"</f>
        <v>KATHRYN MARY HANCOCK</v>
      </c>
      <c r="H643" s="4">
        <v>20</v>
      </c>
    </row>
    <row r="644" spans="1:8" x14ac:dyDescent="0.25">
      <c r="A644" t="s">
        <v>219</v>
      </c>
      <c r="B644">
        <v>138546</v>
      </c>
      <c r="C644" s="4">
        <v>20</v>
      </c>
      <c r="D644" s="5">
        <v>44565</v>
      </c>
      <c r="E644" t="str">
        <f>"202201048111"</f>
        <v>202201048111</v>
      </c>
      <c r="F644" t="str">
        <f>"Miscel"</f>
        <v>Miscel</v>
      </c>
      <c r="G644" t="str">
        <f>"BRADLEY JAMES KILGORE"</f>
        <v>BRADLEY JAMES KILGORE</v>
      </c>
      <c r="H644" s="4">
        <v>20</v>
      </c>
    </row>
    <row r="645" spans="1:8" x14ac:dyDescent="0.25">
      <c r="A645" t="s">
        <v>220</v>
      </c>
      <c r="B645">
        <v>138547</v>
      </c>
      <c r="C645" s="4">
        <v>20</v>
      </c>
      <c r="D645" s="5">
        <v>44565</v>
      </c>
      <c r="E645" t="str">
        <f>"202201048112"</f>
        <v>202201048112</v>
      </c>
      <c r="F645" t="str">
        <f>"Miscellan"</f>
        <v>Miscellan</v>
      </c>
      <c r="G645" t="str">
        <f>"SUSAN DARLENE MERZ"</f>
        <v>SUSAN DARLENE MERZ</v>
      </c>
      <c r="H645" s="4">
        <v>20</v>
      </c>
    </row>
    <row r="646" spans="1:8" x14ac:dyDescent="0.25">
      <c r="A646" t="s">
        <v>221</v>
      </c>
      <c r="B646">
        <v>138548</v>
      </c>
      <c r="C646" s="4">
        <v>20</v>
      </c>
      <c r="D646" s="5">
        <v>44565</v>
      </c>
      <c r="E646" t="str">
        <f>"202201048113"</f>
        <v>202201048113</v>
      </c>
      <c r="F646" t="str">
        <f>"Miscellane"</f>
        <v>Miscellane</v>
      </c>
      <c r="G646" t="str">
        <f>"DONALD RAY BARRON"</f>
        <v>DONALD RAY BARRON</v>
      </c>
      <c r="H646" s="4">
        <v>20</v>
      </c>
    </row>
    <row r="647" spans="1:8" x14ac:dyDescent="0.25">
      <c r="A647" t="s">
        <v>222</v>
      </c>
      <c r="B647">
        <v>138549</v>
      </c>
      <c r="C647" s="4">
        <v>20</v>
      </c>
      <c r="D647" s="5">
        <v>44565</v>
      </c>
      <c r="E647" t="str">
        <f>"202201048114"</f>
        <v>202201048114</v>
      </c>
      <c r="F647" t="str">
        <f>"Miscellaneous"</f>
        <v>Miscellaneous</v>
      </c>
      <c r="G647" t="str">
        <f>"DAVID RAY LONG"</f>
        <v>DAVID RAY LONG</v>
      </c>
      <c r="H647" s="4">
        <v>20</v>
      </c>
    </row>
    <row r="648" spans="1:8" x14ac:dyDescent="0.25">
      <c r="A648" t="s">
        <v>223</v>
      </c>
      <c r="B648">
        <v>138550</v>
      </c>
      <c r="C648" s="4">
        <v>20</v>
      </c>
      <c r="D648" s="5">
        <v>44565</v>
      </c>
      <c r="E648" t="str">
        <f>"202201048115"</f>
        <v>202201048115</v>
      </c>
      <c r="F648" t="str">
        <f>"Miscellan"</f>
        <v>Miscellan</v>
      </c>
      <c r="G648" t="str">
        <f>"CARA LINDSAY MOORE"</f>
        <v>CARA LINDSAY MOORE</v>
      </c>
      <c r="H648" s="4">
        <v>20</v>
      </c>
    </row>
    <row r="649" spans="1:8" x14ac:dyDescent="0.25">
      <c r="A649" t="s">
        <v>224</v>
      </c>
      <c r="B649">
        <v>138551</v>
      </c>
      <c r="C649" s="4">
        <v>20</v>
      </c>
      <c r="D649" s="5">
        <v>44565</v>
      </c>
      <c r="E649" t="str">
        <f>"202201048116"</f>
        <v>202201048116</v>
      </c>
      <c r="F649" t="str">
        <f>"Misc"</f>
        <v>Misc</v>
      </c>
      <c r="G649" t="str">
        <f>"CHRISTOPHER RON CHAPMAN"</f>
        <v>CHRISTOPHER RON CHAPMAN</v>
      </c>
      <c r="H649" s="4">
        <v>20</v>
      </c>
    </row>
    <row r="650" spans="1:8" x14ac:dyDescent="0.25">
      <c r="A650" t="s">
        <v>225</v>
      </c>
      <c r="B650">
        <v>138552</v>
      </c>
      <c r="C650" s="4">
        <v>20</v>
      </c>
      <c r="D650" s="5">
        <v>44565</v>
      </c>
      <c r="E650" t="str">
        <f>"202201048117"</f>
        <v>202201048117</v>
      </c>
      <c r="F650" t="str">
        <f>"Miscell"</f>
        <v>Miscell</v>
      </c>
      <c r="G650" t="str">
        <f>"SANDRA EDITH BRIONES"</f>
        <v>SANDRA EDITH BRIONES</v>
      </c>
      <c r="H650" s="4">
        <v>20</v>
      </c>
    </row>
    <row r="651" spans="1:8" x14ac:dyDescent="0.25">
      <c r="A651" t="s">
        <v>226</v>
      </c>
      <c r="B651">
        <v>138553</v>
      </c>
      <c r="C651" s="4">
        <v>20</v>
      </c>
      <c r="D651" s="5">
        <v>44565</v>
      </c>
      <c r="E651" t="str">
        <f>"202201048118"</f>
        <v>202201048118</v>
      </c>
      <c r="F651" t="str">
        <f>"Mis"</f>
        <v>Mis</v>
      </c>
      <c r="G651" t="str">
        <f>"CRYSTAL MARICELA DUMBECK"</f>
        <v>CRYSTAL MARICELA DUMBECK</v>
      </c>
      <c r="H651" s="4">
        <v>20</v>
      </c>
    </row>
    <row r="652" spans="1:8" x14ac:dyDescent="0.25">
      <c r="A652" t="s">
        <v>227</v>
      </c>
      <c r="B652">
        <v>138554</v>
      </c>
      <c r="C652" s="4">
        <v>20</v>
      </c>
      <c r="D652" s="5">
        <v>44565</v>
      </c>
      <c r="E652" t="str">
        <f>"202201048119"</f>
        <v>202201048119</v>
      </c>
      <c r="F652" t="str">
        <f>"Misce"</f>
        <v>Misce</v>
      </c>
      <c r="G652" t="str">
        <f>"MYKENZIE MARIE BAGWELL"</f>
        <v>MYKENZIE MARIE BAGWELL</v>
      </c>
      <c r="H652" s="4">
        <v>20</v>
      </c>
    </row>
    <row r="653" spans="1:8" x14ac:dyDescent="0.25">
      <c r="A653" t="s">
        <v>228</v>
      </c>
      <c r="B653">
        <v>138555</v>
      </c>
      <c r="C653" s="4">
        <v>20</v>
      </c>
      <c r="D653" s="5">
        <v>44565</v>
      </c>
      <c r="E653" t="str">
        <f>"202201048120"</f>
        <v>202201048120</v>
      </c>
      <c r="F653" t="str">
        <f>"Mis"</f>
        <v>Mis</v>
      </c>
      <c r="G653" t="str">
        <f>"MARSHA VANHOUTEN HOFFMAN"</f>
        <v>MARSHA VANHOUTEN HOFFMAN</v>
      </c>
      <c r="H653" s="4">
        <v>20</v>
      </c>
    </row>
    <row r="654" spans="1:8" x14ac:dyDescent="0.25">
      <c r="A654" t="s">
        <v>229</v>
      </c>
      <c r="B654">
        <v>138556</v>
      </c>
      <c r="C654" s="4">
        <v>20</v>
      </c>
      <c r="D654" s="5">
        <v>44565</v>
      </c>
      <c r="E654" t="str">
        <f>"202201048121"</f>
        <v>202201048121</v>
      </c>
      <c r="F654" t="str">
        <f>"Miscella"</f>
        <v>Miscella</v>
      </c>
      <c r="G654" t="str">
        <f>"ANGELICA MARIA RUIZ"</f>
        <v>ANGELICA MARIA RUIZ</v>
      </c>
      <c r="H654" s="4">
        <v>20</v>
      </c>
    </row>
    <row r="655" spans="1:8" x14ac:dyDescent="0.25">
      <c r="A655" t="s">
        <v>230</v>
      </c>
      <c r="B655">
        <v>138557</v>
      </c>
      <c r="C655" s="4">
        <v>20</v>
      </c>
      <c r="D655" s="5">
        <v>44565</v>
      </c>
      <c r="E655" t="str">
        <f>"202201048122"</f>
        <v>202201048122</v>
      </c>
      <c r="F655" t="str">
        <f>"Miscellaneo"</f>
        <v>Miscellaneo</v>
      </c>
      <c r="G655" t="str">
        <f>"KAREN L HALLADAY"</f>
        <v>KAREN L HALLADAY</v>
      </c>
      <c r="H655" s="4">
        <v>20</v>
      </c>
    </row>
    <row r="656" spans="1:8" x14ac:dyDescent="0.25">
      <c r="A656" t="s">
        <v>231</v>
      </c>
      <c r="B656">
        <v>138558</v>
      </c>
      <c r="C656" s="4">
        <v>20</v>
      </c>
      <c r="D656" s="5">
        <v>44565</v>
      </c>
      <c r="E656" t="str">
        <f>"202201048123"</f>
        <v>202201048123</v>
      </c>
      <c r="F656" t="str">
        <f>"Miscel"</f>
        <v>Miscel</v>
      </c>
      <c r="G656" t="str">
        <f>"DIANA DEBORAH SCHMIDT"</f>
        <v>DIANA DEBORAH SCHMIDT</v>
      </c>
      <c r="H656" s="4">
        <v>20</v>
      </c>
    </row>
    <row r="657" spans="1:8" x14ac:dyDescent="0.25">
      <c r="A657" t="s">
        <v>232</v>
      </c>
      <c r="B657">
        <v>138559</v>
      </c>
      <c r="C657" s="4">
        <v>20</v>
      </c>
      <c r="D657" s="5">
        <v>44565</v>
      </c>
      <c r="E657" t="str">
        <f>"202201048124"</f>
        <v>202201048124</v>
      </c>
      <c r="F657" t="str">
        <f>"Mi"</f>
        <v>Mi</v>
      </c>
      <c r="G657" t="str">
        <f>"COLLEEN ELIZABETH BARTSCH"</f>
        <v>COLLEEN ELIZABETH BARTSCH</v>
      </c>
      <c r="H657" s="4">
        <v>20</v>
      </c>
    </row>
    <row r="658" spans="1:8" x14ac:dyDescent="0.25">
      <c r="A658" t="s">
        <v>233</v>
      </c>
      <c r="B658">
        <v>138560</v>
      </c>
      <c r="C658" s="4">
        <v>20</v>
      </c>
      <c r="D658" s="5">
        <v>44565</v>
      </c>
      <c r="E658" t="str">
        <f>"202201048125"</f>
        <v>202201048125</v>
      </c>
      <c r="F658" t="str">
        <f>"Miscel"</f>
        <v>Miscel</v>
      </c>
      <c r="G658" t="str">
        <f>"MICHAEL KEVIN SWEENEY"</f>
        <v>MICHAEL KEVIN SWEENEY</v>
      </c>
      <c r="H658" s="4">
        <v>20</v>
      </c>
    </row>
    <row r="659" spans="1:8" x14ac:dyDescent="0.25">
      <c r="A659" t="s">
        <v>234</v>
      </c>
      <c r="B659">
        <v>138561</v>
      </c>
      <c r="C659" s="4">
        <v>20</v>
      </c>
      <c r="D659" s="5">
        <v>44565</v>
      </c>
      <c r="E659" t="str">
        <f>"202201048126"</f>
        <v>202201048126</v>
      </c>
      <c r="F659" t="str">
        <f>"Miscellaneo"</f>
        <v>Miscellaneo</v>
      </c>
      <c r="G659" t="str">
        <f>"COLE ERIC GOERTZ"</f>
        <v>COLE ERIC GOERTZ</v>
      </c>
      <c r="H659" s="4">
        <v>20</v>
      </c>
    </row>
    <row r="660" spans="1:8" x14ac:dyDescent="0.25">
      <c r="A660" t="s">
        <v>235</v>
      </c>
      <c r="B660">
        <v>138562</v>
      </c>
      <c r="C660" s="4">
        <v>20</v>
      </c>
      <c r="D660" s="5">
        <v>44565</v>
      </c>
      <c r="E660" t="str">
        <f>"202201048127"</f>
        <v>202201048127</v>
      </c>
      <c r="F660" t="str">
        <f>"Miscel"</f>
        <v>Miscel</v>
      </c>
      <c r="G660" t="str">
        <f>"ROBBIE ALLEN SISTRUNK"</f>
        <v>ROBBIE ALLEN SISTRUNK</v>
      </c>
      <c r="H660" s="4">
        <v>20</v>
      </c>
    </row>
    <row r="661" spans="1:8" x14ac:dyDescent="0.25">
      <c r="A661" t="s">
        <v>236</v>
      </c>
      <c r="B661">
        <v>138563</v>
      </c>
      <c r="C661" s="4">
        <v>20</v>
      </c>
      <c r="D661" s="5">
        <v>44565</v>
      </c>
      <c r="E661" t="str">
        <f>"202201048128"</f>
        <v>202201048128</v>
      </c>
      <c r="F661" t="str">
        <f>"Miscellaneou"</f>
        <v>Miscellaneou</v>
      </c>
      <c r="G661" t="str">
        <f>"RICKEY LEE HART"</f>
        <v>RICKEY LEE HART</v>
      </c>
      <c r="H661" s="4">
        <v>20</v>
      </c>
    </row>
    <row r="662" spans="1:8" x14ac:dyDescent="0.25">
      <c r="A662" t="s">
        <v>237</v>
      </c>
      <c r="B662">
        <v>138564</v>
      </c>
      <c r="C662" s="4">
        <v>20</v>
      </c>
      <c r="D662" s="5">
        <v>44565</v>
      </c>
      <c r="E662" t="str">
        <f>"202201048129"</f>
        <v>202201048129</v>
      </c>
      <c r="F662" t="str">
        <f>"Miscellane"</f>
        <v>Miscellane</v>
      </c>
      <c r="G662" t="str">
        <f>"SUSAN COLE NORMAN"</f>
        <v>SUSAN COLE NORMAN</v>
      </c>
      <c r="H662" s="4">
        <v>20</v>
      </c>
    </row>
    <row r="663" spans="1:8" x14ac:dyDescent="0.25">
      <c r="A663" t="s">
        <v>238</v>
      </c>
      <c r="B663">
        <v>138565</v>
      </c>
      <c r="C663" s="4">
        <v>20</v>
      </c>
      <c r="D663" s="5">
        <v>44565</v>
      </c>
      <c r="E663" t="str">
        <f>"202201048130"</f>
        <v>202201048130</v>
      </c>
      <c r="F663" t="str">
        <f>"Misc"</f>
        <v>Misc</v>
      </c>
      <c r="G663" t="str">
        <f>"CARLTON JOSEPH MCKINLEY"</f>
        <v>CARLTON JOSEPH MCKINLEY</v>
      </c>
      <c r="H663" s="4">
        <v>20</v>
      </c>
    </row>
    <row r="664" spans="1:8" x14ac:dyDescent="0.25">
      <c r="A664" t="s">
        <v>239</v>
      </c>
      <c r="B664">
        <v>138566</v>
      </c>
      <c r="C664" s="4">
        <v>20</v>
      </c>
      <c r="D664" s="5">
        <v>44565</v>
      </c>
      <c r="E664" t="str">
        <f>"202201048131"</f>
        <v>202201048131</v>
      </c>
      <c r="F664" t="str">
        <f>"Miscellane"</f>
        <v>Miscellane</v>
      </c>
      <c r="G664" t="str">
        <f>"ERIN COLLEEN BOYD"</f>
        <v>ERIN COLLEEN BOYD</v>
      </c>
      <c r="H664" s="4">
        <v>20</v>
      </c>
    </row>
    <row r="665" spans="1:8" x14ac:dyDescent="0.25">
      <c r="A665" t="s">
        <v>240</v>
      </c>
      <c r="B665">
        <v>138680</v>
      </c>
      <c r="C665" s="4">
        <v>46</v>
      </c>
      <c r="D665" s="5">
        <v>44574</v>
      </c>
      <c r="E665" t="str">
        <f>"202201138365"</f>
        <v>202201138365</v>
      </c>
      <c r="F665" t="str">
        <f>"M"</f>
        <v>M</v>
      </c>
      <c r="G665" t="str">
        <f>"Children's Advocacy Center"</f>
        <v>Children's Advocacy Center</v>
      </c>
      <c r="H665" s="4">
        <v>46</v>
      </c>
    </row>
    <row r="666" spans="1:8" x14ac:dyDescent="0.25">
      <c r="A666" t="s">
        <v>241</v>
      </c>
      <c r="B666">
        <v>138681</v>
      </c>
      <c r="C666" s="4">
        <v>46</v>
      </c>
      <c r="D666" s="5">
        <v>44574</v>
      </c>
      <c r="E666" t="str">
        <f>"202201138366"</f>
        <v>202201138366</v>
      </c>
      <c r="F666" t="str">
        <f>""</f>
        <v/>
      </c>
      <c r="G666" t="str">
        <f>"COURT APPOINTED SPECIAL ADVOCA"</f>
        <v>COURT APPOINTED SPECIAL ADVOCA</v>
      </c>
      <c r="H666" s="4">
        <v>46</v>
      </c>
    </row>
    <row r="667" spans="1:8" x14ac:dyDescent="0.25">
      <c r="A667" t="s">
        <v>242</v>
      </c>
      <c r="B667">
        <v>138682</v>
      </c>
      <c r="C667" s="4">
        <v>46</v>
      </c>
      <c r="D667" s="5">
        <v>44574</v>
      </c>
      <c r="E667" t="str">
        <f>"202201138367"</f>
        <v>202201138367</v>
      </c>
      <c r="F667" t="str">
        <f>"Miscella"</f>
        <v>Miscella</v>
      </c>
      <c r="G667" t="str">
        <f>"THOMAS PAUL JACKSON"</f>
        <v>THOMAS PAUL JACKSON</v>
      </c>
      <c r="H667" s="4">
        <v>46</v>
      </c>
    </row>
    <row r="668" spans="1:8" x14ac:dyDescent="0.25">
      <c r="A668" t="s">
        <v>243</v>
      </c>
      <c r="B668">
        <v>138683</v>
      </c>
      <c r="C668" s="4">
        <v>46</v>
      </c>
      <c r="D668" s="5">
        <v>44574</v>
      </c>
      <c r="E668" t="str">
        <f>"202201138368"</f>
        <v>202201138368</v>
      </c>
      <c r="F668" t="str">
        <f>"Miscellaneous"</f>
        <v>Miscellaneous</v>
      </c>
      <c r="G668" t="str">
        <f>"IDA LYNN SWETZ"</f>
        <v>IDA LYNN SWETZ</v>
      </c>
      <c r="H668" s="4">
        <v>46</v>
      </c>
    </row>
    <row r="669" spans="1:8" x14ac:dyDescent="0.25">
      <c r="A669" t="s">
        <v>244</v>
      </c>
      <c r="B669">
        <v>138684</v>
      </c>
      <c r="C669" s="4">
        <v>6</v>
      </c>
      <c r="D669" s="5">
        <v>44574</v>
      </c>
      <c r="E669" t="str">
        <f>"202201138369"</f>
        <v>202201138369</v>
      </c>
      <c r="F669" t="str">
        <f>"Misce"</f>
        <v>Misce</v>
      </c>
      <c r="G669" t="str">
        <f>"SHANNON LADERACH BROWN"</f>
        <v>SHANNON LADERACH BROWN</v>
      </c>
      <c r="H669" s="4">
        <v>6</v>
      </c>
    </row>
    <row r="670" spans="1:8" x14ac:dyDescent="0.25">
      <c r="A670" t="s">
        <v>245</v>
      </c>
      <c r="B670">
        <v>138685</v>
      </c>
      <c r="C670" s="4">
        <v>6</v>
      </c>
      <c r="D670" s="5">
        <v>44574</v>
      </c>
      <c r="E670" t="str">
        <f>"202201138370"</f>
        <v>202201138370</v>
      </c>
      <c r="F670" t="str">
        <f>"Misc"</f>
        <v>Misc</v>
      </c>
      <c r="G670" t="str">
        <f>"ROBERT STEVEN GURLEY JR"</f>
        <v>ROBERT STEVEN GURLEY JR</v>
      </c>
      <c r="H670" s="4">
        <v>6</v>
      </c>
    </row>
    <row r="671" spans="1:8" x14ac:dyDescent="0.25">
      <c r="A671" t="s">
        <v>246</v>
      </c>
      <c r="B671">
        <v>138686</v>
      </c>
      <c r="C671" s="4">
        <v>6</v>
      </c>
      <c r="D671" s="5">
        <v>44574</v>
      </c>
      <c r="E671" t="str">
        <f>"202201138371"</f>
        <v>202201138371</v>
      </c>
      <c r="F671" t="str">
        <f>"Miscell"</f>
        <v>Miscell</v>
      </c>
      <c r="G671" t="str">
        <f>"DAVID GLENN FRANKLIN"</f>
        <v>DAVID GLENN FRANKLIN</v>
      </c>
      <c r="H671" s="4">
        <v>6</v>
      </c>
    </row>
    <row r="672" spans="1:8" x14ac:dyDescent="0.25">
      <c r="A672" t="s">
        <v>247</v>
      </c>
      <c r="B672">
        <v>138687</v>
      </c>
      <c r="C672" s="4">
        <v>6</v>
      </c>
      <c r="D672" s="5">
        <v>44574</v>
      </c>
      <c r="E672" t="str">
        <f>"202201138372"</f>
        <v>202201138372</v>
      </c>
      <c r="F672" t="str">
        <f>"Miscellane"</f>
        <v>Miscellane</v>
      </c>
      <c r="G672" t="str">
        <f>"DAKE ENOS JACKSON"</f>
        <v>DAKE ENOS JACKSON</v>
      </c>
      <c r="H672" s="4">
        <v>6</v>
      </c>
    </row>
    <row r="673" spans="1:8" x14ac:dyDescent="0.25">
      <c r="A673" t="s">
        <v>248</v>
      </c>
      <c r="B673">
        <v>138688</v>
      </c>
      <c r="C673" s="4">
        <v>6</v>
      </c>
      <c r="D673" s="5">
        <v>44574</v>
      </c>
      <c r="E673" t="str">
        <f>"202201138373"</f>
        <v>202201138373</v>
      </c>
      <c r="F673" t="str">
        <f>"Miscellaneo"</f>
        <v>Miscellaneo</v>
      </c>
      <c r="G673" t="str">
        <f>"JAMES DAVID RICE"</f>
        <v>JAMES DAVID RICE</v>
      </c>
      <c r="H673" s="4">
        <v>6</v>
      </c>
    </row>
    <row r="674" spans="1:8" x14ac:dyDescent="0.25">
      <c r="A674" t="s">
        <v>249</v>
      </c>
      <c r="B674">
        <v>138689</v>
      </c>
      <c r="C674" s="4">
        <v>6</v>
      </c>
      <c r="D674" s="5">
        <v>44574</v>
      </c>
      <c r="E674" t="str">
        <f>"202201138374"</f>
        <v>202201138374</v>
      </c>
      <c r="F674" t="str">
        <f>"Miscellaneo"</f>
        <v>Miscellaneo</v>
      </c>
      <c r="G674" t="str">
        <f>"CAROL ANN HARRIS"</f>
        <v>CAROL ANN HARRIS</v>
      </c>
      <c r="H674" s="4">
        <v>6</v>
      </c>
    </row>
    <row r="675" spans="1:8" x14ac:dyDescent="0.25">
      <c r="A675" t="s">
        <v>250</v>
      </c>
      <c r="B675">
        <v>138690</v>
      </c>
      <c r="C675" s="4">
        <v>6</v>
      </c>
      <c r="D675" s="5">
        <v>44574</v>
      </c>
      <c r="E675" t="str">
        <f>"202201138375"</f>
        <v>202201138375</v>
      </c>
      <c r="F675" t="str">
        <f>"Misc"</f>
        <v>Misc</v>
      </c>
      <c r="G675" t="str">
        <f>"ELEZIBETH JUSTINA RILEY"</f>
        <v>ELEZIBETH JUSTINA RILEY</v>
      </c>
      <c r="H675" s="4">
        <v>6</v>
      </c>
    </row>
    <row r="676" spans="1:8" x14ac:dyDescent="0.25">
      <c r="A676" t="s">
        <v>251</v>
      </c>
      <c r="B676">
        <v>138691</v>
      </c>
      <c r="C676" s="4">
        <v>46</v>
      </c>
      <c r="D676" s="5">
        <v>44574</v>
      </c>
      <c r="E676" t="str">
        <f>"202201138376"</f>
        <v>202201138376</v>
      </c>
      <c r="F676" t="str">
        <f>"Miscell"</f>
        <v>Miscell</v>
      </c>
      <c r="G676" t="str">
        <f>"SANDRA CABELLO HOLST"</f>
        <v>SANDRA CABELLO HOLST</v>
      </c>
      <c r="H676" s="4">
        <v>46</v>
      </c>
    </row>
    <row r="677" spans="1:8" x14ac:dyDescent="0.25">
      <c r="A677" t="s">
        <v>252</v>
      </c>
      <c r="B677">
        <v>138692</v>
      </c>
      <c r="C677" s="4">
        <v>46</v>
      </c>
      <c r="D677" s="5">
        <v>44574</v>
      </c>
      <c r="E677" t="str">
        <f>"202201138377"</f>
        <v>202201138377</v>
      </c>
      <c r="F677" t="str">
        <f>"Misc"</f>
        <v>Misc</v>
      </c>
      <c r="G677" t="str">
        <f>"ALESHIA HERNANDEZ REYES"</f>
        <v>ALESHIA HERNANDEZ REYES</v>
      </c>
      <c r="H677" s="4">
        <v>46</v>
      </c>
    </row>
    <row r="678" spans="1:8" x14ac:dyDescent="0.25">
      <c r="A678" t="s">
        <v>253</v>
      </c>
      <c r="B678">
        <v>138693</v>
      </c>
      <c r="C678" s="4">
        <v>6</v>
      </c>
      <c r="D678" s="5">
        <v>44574</v>
      </c>
      <c r="E678" t="str">
        <f>"202201138378"</f>
        <v>202201138378</v>
      </c>
      <c r="F678" t="str">
        <f>"Miscellaneou"</f>
        <v>Miscellaneou</v>
      </c>
      <c r="G678" t="str">
        <f>"LAKSHMI PANIKER"</f>
        <v>LAKSHMI PANIKER</v>
      </c>
      <c r="H678" s="4">
        <v>6</v>
      </c>
    </row>
    <row r="679" spans="1:8" x14ac:dyDescent="0.25">
      <c r="A679" t="s">
        <v>254</v>
      </c>
      <c r="B679">
        <v>138694</v>
      </c>
      <c r="C679" s="4">
        <v>6</v>
      </c>
      <c r="D679" s="5">
        <v>44574</v>
      </c>
      <c r="E679" t="str">
        <f>"202201138379"</f>
        <v>202201138379</v>
      </c>
      <c r="F679" t="str">
        <f>"Miscel"</f>
        <v>Miscel</v>
      </c>
      <c r="G679" t="str">
        <f>"JAMES ROSARIO ORLANDO"</f>
        <v>JAMES ROSARIO ORLANDO</v>
      </c>
      <c r="H679" s="4">
        <v>6</v>
      </c>
    </row>
    <row r="680" spans="1:8" x14ac:dyDescent="0.25">
      <c r="A680" t="s">
        <v>255</v>
      </c>
      <c r="B680">
        <v>138695</v>
      </c>
      <c r="C680" s="4">
        <v>6</v>
      </c>
      <c r="D680" s="5">
        <v>44574</v>
      </c>
      <c r="E680" t="str">
        <f>"202201138380"</f>
        <v>202201138380</v>
      </c>
      <c r="F680" t="str">
        <f>"Misce"</f>
        <v>Misce</v>
      </c>
      <c r="G680" t="str">
        <f>"JOHN PAUL DESCHAMBAULT"</f>
        <v>JOHN PAUL DESCHAMBAULT</v>
      </c>
      <c r="H680" s="4">
        <v>6</v>
      </c>
    </row>
    <row r="681" spans="1:8" x14ac:dyDescent="0.25">
      <c r="A681" t="s">
        <v>256</v>
      </c>
      <c r="B681">
        <v>138696</v>
      </c>
      <c r="C681" s="4">
        <v>6</v>
      </c>
      <c r="D681" s="5">
        <v>44574</v>
      </c>
      <c r="E681" t="str">
        <f>"202201138381"</f>
        <v>202201138381</v>
      </c>
      <c r="F681" t="str">
        <f>"Miscellane"</f>
        <v>Miscellane</v>
      </c>
      <c r="G681" t="str">
        <f>"LAURA ANN JARDINE"</f>
        <v>LAURA ANN JARDINE</v>
      </c>
      <c r="H681" s="4">
        <v>6</v>
      </c>
    </row>
    <row r="682" spans="1:8" x14ac:dyDescent="0.25">
      <c r="A682" t="s">
        <v>257</v>
      </c>
      <c r="B682">
        <v>138697</v>
      </c>
      <c r="C682" s="4">
        <v>6</v>
      </c>
      <c r="D682" s="5">
        <v>44574</v>
      </c>
      <c r="E682" t="str">
        <f>"202201138382"</f>
        <v>202201138382</v>
      </c>
      <c r="F682" t="str">
        <f>"Miscell"</f>
        <v>Miscell</v>
      </c>
      <c r="G682" t="str">
        <f>"ANNABEL JOYCE MORRIS"</f>
        <v>ANNABEL JOYCE MORRIS</v>
      </c>
      <c r="H682" s="4">
        <v>6</v>
      </c>
    </row>
    <row r="683" spans="1:8" x14ac:dyDescent="0.25">
      <c r="A683" t="s">
        <v>258</v>
      </c>
      <c r="B683">
        <v>138698</v>
      </c>
      <c r="C683" s="4">
        <v>6</v>
      </c>
      <c r="D683" s="5">
        <v>44574</v>
      </c>
      <c r="E683" t="str">
        <f>"202201138383"</f>
        <v>202201138383</v>
      </c>
      <c r="F683" t="str">
        <f>"Miscel"</f>
        <v>Miscel</v>
      </c>
      <c r="G683" t="str">
        <f>"KILEY MARIE LEIFERMAN"</f>
        <v>KILEY MARIE LEIFERMAN</v>
      </c>
      <c r="H683" s="4">
        <v>6</v>
      </c>
    </row>
    <row r="684" spans="1:8" x14ac:dyDescent="0.25">
      <c r="A684" t="s">
        <v>259</v>
      </c>
      <c r="B684">
        <v>138699</v>
      </c>
      <c r="C684" s="4">
        <v>6</v>
      </c>
      <c r="D684" s="5">
        <v>44574</v>
      </c>
      <c r="E684" t="str">
        <f>"202201138384"</f>
        <v>202201138384</v>
      </c>
      <c r="F684" t="str">
        <f>"Miscellan"</f>
        <v>Miscellan</v>
      </c>
      <c r="G684" t="str">
        <f>"ASHLEY ANN OGRODNY"</f>
        <v>ASHLEY ANN OGRODNY</v>
      </c>
      <c r="H684" s="4">
        <v>6</v>
      </c>
    </row>
    <row r="685" spans="1:8" x14ac:dyDescent="0.25">
      <c r="A685" t="s">
        <v>260</v>
      </c>
      <c r="B685">
        <v>138700</v>
      </c>
      <c r="C685" s="4">
        <v>6</v>
      </c>
      <c r="D685" s="5">
        <v>44574</v>
      </c>
      <c r="E685" t="str">
        <f>"202201138385"</f>
        <v>202201138385</v>
      </c>
      <c r="F685" t="str">
        <f>"Miscellaneou"</f>
        <v>Miscellaneou</v>
      </c>
      <c r="G685" t="str">
        <f>"JOY BEA RAMIREZ"</f>
        <v>JOY BEA RAMIREZ</v>
      </c>
      <c r="H685" s="4">
        <v>6</v>
      </c>
    </row>
    <row r="686" spans="1:8" x14ac:dyDescent="0.25">
      <c r="A686" t="s">
        <v>261</v>
      </c>
      <c r="B686">
        <v>138701</v>
      </c>
      <c r="C686" s="4">
        <v>6</v>
      </c>
      <c r="D686" s="5">
        <v>44574</v>
      </c>
      <c r="E686" t="str">
        <f>"202201138386"</f>
        <v>202201138386</v>
      </c>
      <c r="F686" t="str">
        <f>"Miscellaneo"</f>
        <v>Miscellaneo</v>
      </c>
      <c r="G686" t="str">
        <f>"CHERYL A JOHNSON"</f>
        <v>CHERYL A JOHNSON</v>
      </c>
      <c r="H686" s="4">
        <v>6</v>
      </c>
    </row>
    <row r="687" spans="1:8" x14ac:dyDescent="0.25">
      <c r="A687" t="s">
        <v>262</v>
      </c>
      <c r="B687">
        <v>138702</v>
      </c>
      <c r="C687" s="4">
        <v>6</v>
      </c>
      <c r="D687" s="5">
        <v>44574</v>
      </c>
      <c r="E687" t="str">
        <f>"202201138387"</f>
        <v>202201138387</v>
      </c>
      <c r="F687" t="str">
        <f>"Miscell"</f>
        <v>Miscell</v>
      </c>
      <c r="G687" t="str">
        <f>"ROBERT GLEN APPLEBEE"</f>
        <v>ROBERT GLEN APPLEBEE</v>
      </c>
      <c r="H687" s="4">
        <v>6</v>
      </c>
    </row>
    <row r="688" spans="1:8" x14ac:dyDescent="0.25">
      <c r="A688" t="s">
        <v>263</v>
      </c>
      <c r="B688">
        <v>138703</v>
      </c>
      <c r="C688" s="4">
        <v>6</v>
      </c>
      <c r="D688" s="5">
        <v>44574</v>
      </c>
      <c r="E688" t="str">
        <f>"202201138388"</f>
        <v>202201138388</v>
      </c>
      <c r="F688" t="str">
        <f>"Miscell"</f>
        <v>Miscell</v>
      </c>
      <c r="G688" t="str">
        <f>"ANGEL EDUARDO MORENO"</f>
        <v>ANGEL EDUARDO MORENO</v>
      </c>
      <c r="H688" s="4">
        <v>6</v>
      </c>
    </row>
    <row r="689" spans="1:8" x14ac:dyDescent="0.25">
      <c r="A689" t="s">
        <v>264</v>
      </c>
      <c r="B689">
        <v>138704</v>
      </c>
      <c r="C689" s="4">
        <v>46</v>
      </c>
      <c r="D689" s="5">
        <v>44574</v>
      </c>
      <c r="E689" t="str">
        <f>"202201138389"</f>
        <v>202201138389</v>
      </c>
      <c r="F689" t="str">
        <f>"Miscel"</f>
        <v>Miscel</v>
      </c>
      <c r="G689" t="str">
        <f>"MICHAEL JAMES MCBRIDE"</f>
        <v>MICHAEL JAMES MCBRIDE</v>
      </c>
      <c r="H689" s="4">
        <v>46</v>
      </c>
    </row>
    <row r="690" spans="1:8" x14ac:dyDescent="0.25">
      <c r="A690" t="s">
        <v>265</v>
      </c>
      <c r="B690">
        <v>138705</v>
      </c>
      <c r="C690" s="4">
        <v>6</v>
      </c>
      <c r="D690" s="5">
        <v>44574</v>
      </c>
      <c r="E690" t="str">
        <f>"202201138390"</f>
        <v>202201138390</v>
      </c>
      <c r="F690" t="str">
        <f>"Miscella"</f>
        <v>Miscella</v>
      </c>
      <c r="G690" t="str">
        <f>"REGINA LYNN KELTGEN"</f>
        <v>REGINA LYNN KELTGEN</v>
      </c>
      <c r="H690" s="4">
        <v>6</v>
      </c>
    </row>
    <row r="691" spans="1:8" x14ac:dyDescent="0.25">
      <c r="A691" t="s">
        <v>266</v>
      </c>
      <c r="B691">
        <v>138706</v>
      </c>
      <c r="C691" s="4">
        <v>46</v>
      </c>
      <c r="D691" s="5">
        <v>44574</v>
      </c>
      <c r="E691" t="str">
        <f>"202201138391"</f>
        <v>202201138391</v>
      </c>
      <c r="F691" t="str">
        <f>"Miscellane"</f>
        <v>Miscellane</v>
      </c>
      <c r="G691" t="str">
        <f>"ELLEN LUND NIEHUS"</f>
        <v>ELLEN LUND NIEHUS</v>
      </c>
      <c r="H691" s="4">
        <v>46</v>
      </c>
    </row>
    <row r="692" spans="1:8" x14ac:dyDescent="0.25">
      <c r="A692" t="s">
        <v>267</v>
      </c>
      <c r="B692">
        <v>138707</v>
      </c>
      <c r="C692" s="4">
        <v>46</v>
      </c>
      <c r="D692" s="5">
        <v>44574</v>
      </c>
      <c r="E692" t="str">
        <f>"202201138392"</f>
        <v>202201138392</v>
      </c>
      <c r="F692" t="str">
        <f>"Miscell"</f>
        <v>Miscell</v>
      </c>
      <c r="G692" t="str">
        <f>"BARBARA BOYD MORONES"</f>
        <v>BARBARA BOYD MORONES</v>
      </c>
      <c r="H692" s="4">
        <v>46</v>
      </c>
    </row>
    <row r="693" spans="1:8" x14ac:dyDescent="0.25">
      <c r="A693" t="s">
        <v>268</v>
      </c>
      <c r="B693">
        <v>138708</v>
      </c>
      <c r="C693" s="4">
        <v>6</v>
      </c>
      <c r="D693" s="5">
        <v>44574</v>
      </c>
      <c r="E693" t="str">
        <f>"202201138393"</f>
        <v>202201138393</v>
      </c>
      <c r="F693" t="str">
        <f>"Miscellane"</f>
        <v>Miscellane</v>
      </c>
      <c r="G693" t="str">
        <f>"JOI SMITH PARMLEY"</f>
        <v>JOI SMITH PARMLEY</v>
      </c>
      <c r="H693" s="4">
        <v>6</v>
      </c>
    </row>
    <row r="694" spans="1:8" x14ac:dyDescent="0.25">
      <c r="A694" t="s">
        <v>269</v>
      </c>
      <c r="B694">
        <v>138709</v>
      </c>
      <c r="C694" s="4">
        <v>6</v>
      </c>
      <c r="D694" s="5">
        <v>44574</v>
      </c>
      <c r="E694" t="str">
        <f>"202201138394"</f>
        <v>202201138394</v>
      </c>
      <c r="F694" t="str">
        <f>"Miscellan"</f>
        <v>Miscellan</v>
      </c>
      <c r="G694" t="str">
        <f>"DYLAN FRANK SKARPA"</f>
        <v>DYLAN FRANK SKARPA</v>
      </c>
      <c r="H694" s="4">
        <v>6</v>
      </c>
    </row>
    <row r="695" spans="1:8" x14ac:dyDescent="0.25">
      <c r="A695" t="s">
        <v>270</v>
      </c>
      <c r="B695">
        <v>138710</v>
      </c>
      <c r="C695" s="4">
        <v>6</v>
      </c>
      <c r="D695" s="5">
        <v>44574</v>
      </c>
      <c r="E695" t="str">
        <f>"202201138395"</f>
        <v>202201138395</v>
      </c>
      <c r="F695" t="str">
        <f>"Miscellan"</f>
        <v>Miscellan</v>
      </c>
      <c r="G695" t="str">
        <f>"SHERLYN KAY CARTER"</f>
        <v>SHERLYN KAY CARTER</v>
      </c>
      <c r="H695" s="4">
        <v>6</v>
      </c>
    </row>
    <row r="696" spans="1:8" x14ac:dyDescent="0.25">
      <c r="A696" t="s">
        <v>271</v>
      </c>
      <c r="B696">
        <v>138711</v>
      </c>
      <c r="C696" s="4">
        <v>6</v>
      </c>
      <c r="D696" s="5">
        <v>44574</v>
      </c>
      <c r="E696" t="str">
        <f>"202201138396"</f>
        <v>202201138396</v>
      </c>
      <c r="F696" t="str">
        <f>"Misc"</f>
        <v>Misc</v>
      </c>
      <c r="G696" t="str">
        <f>"DEBRA MCKISSICK BRADLEY"</f>
        <v>DEBRA MCKISSICK BRADLEY</v>
      </c>
      <c r="H696" s="4">
        <v>6</v>
      </c>
    </row>
    <row r="697" spans="1:8" x14ac:dyDescent="0.25">
      <c r="A697" t="s">
        <v>272</v>
      </c>
      <c r="B697">
        <v>138712</v>
      </c>
      <c r="C697" s="4">
        <v>46</v>
      </c>
      <c r="D697" s="5">
        <v>44574</v>
      </c>
      <c r="E697" t="str">
        <f>"202201138397"</f>
        <v>202201138397</v>
      </c>
      <c r="F697" t="str">
        <f>"Miscel"</f>
        <v>Miscel</v>
      </c>
      <c r="G697" t="str">
        <f>"EDWARD THOMAS SELLERS"</f>
        <v>EDWARD THOMAS SELLERS</v>
      </c>
      <c r="H697" s="4">
        <v>46</v>
      </c>
    </row>
    <row r="698" spans="1:8" x14ac:dyDescent="0.25">
      <c r="A698" t="s">
        <v>273</v>
      </c>
      <c r="B698">
        <v>138713</v>
      </c>
      <c r="C698" s="4">
        <v>6</v>
      </c>
      <c r="D698" s="5">
        <v>44574</v>
      </c>
      <c r="E698" t="str">
        <f>"202201138398"</f>
        <v>202201138398</v>
      </c>
      <c r="F698" t="str">
        <f>"Miscellane"</f>
        <v>Miscellane</v>
      </c>
      <c r="G698" t="str">
        <f>"JASON ALAN BRIGGS"</f>
        <v>JASON ALAN BRIGGS</v>
      </c>
      <c r="H698" s="4">
        <v>6</v>
      </c>
    </row>
    <row r="699" spans="1:8" x14ac:dyDescent="0.25">
      <c r="A699" t="s">
        <v>274</v>
      </c>
      <c r="B699">
        <v>138714</v>
      </c>
      <c r="C699" s="4">
        <v>46</v>
      </c>
      <c r="D699" s="5">
        <v>44574</v>
      </c>
      <c r="E699" t="str">
        <f>"202201138399"</f>
        <v>202201138399</v>
      </c>
      <c r="F699" t="str">
        <f>"Miscellaneou"</f>
        <v>Miscellaneou</v>
      </c>
      <c r="G699" t="str">
        <f>"BRIAN LEE HOHLE"</f>
        <v>BRIAN LEE HOHLE</v>
      </c>
      <c r="H699" s="4">
        <v>46</v>
      </c>
    </row>
    <row r="700" spans="1:8" x14ac:dyDescent="0.25">
      <c r="A700" t="s">
        <v>275</v>
      </c>
      <c r="B700">
        <v>138715</v>
      </c>
      <c r="C700" s="4">
        <v>6</v>
      </c>
      <c r="D700" s="5">
        <v>44574</v>
      </c>
      <c r="E700" t="str">
        <f>"202201138400"</f>
        <v>202201138400</v>
      </c>
      <c r="F700" t="str">
        <f>"Misce"</f>
        <v>Misce</v>
      </c>
      <c r="G700" t="str">
        <f>"MICHAEL DAVID BROCKETT"</f>
        <v>MICHAEL DAVID BROCKETT</v>
      </c>
      <c r="H700" s="4">
        <v>6</v>
      </c>
    </row>
    <row r="701" spans="1:8" x14ac:dyDescent="0.25">
      <c r="A701" t="s">
        <v>276</v>
      </c>
      <c r="B701">
        <v>138716</v>
      </c>
      <c r="C701" s="4">
        <v>6</v>
      </c>
      <c r="D701" s="5">
        <v>44574</v>
      </c>
      <c r="E701" t="str">
        <f>"202201138401"</f>
        <v>202201138401</v>
      </c>
      <c r="F701" t="str">
        <f>"M"</f>
        <v>M</v>
      </c>
      <c r="G701" t="str">
        <f>"MICHAEL BALTAZAR GUTIERREZ"</f>
        <v>MICHAEL BALTAZAR GUTIERREZ</v>
      </c>
      <c r="H701" s="4">
        <v>6</v>
      </c>
    </row>
    <row r="702" spans="1:8" x14ac:dyDescent="0.25">
      <c r="A702" t="s">
        <v>277</v>
      </c>
      <c r="B702">
        <v>138717</v>
      </c>
      <c r="C702" s="4">
        <v>6</v>
      </c>
      <c r="D702" s="5">
        <v>44574</v>
      </c>
      <c r="E702" t="str">
        <f>"202201138402"</f>
        <v>202201138402</v>
      </c>
      <c r="F702" t="str">
        <f>"Miscellaneous"</f>
        <v>Miscellaneous</v>
      </c>
      <c r="G702" t="str">
        <f>"JODI ANN SEGEL"</f>
        <v>JODI ANN SEGEL</v>
      </c>
      <c r="H702" s="4">
        <v>6</v>
      </c>
    </row>
    <row r="703" spans="1:8" x14ac:dyDescent="0.25">
      <c r="A703" t="s">
        <v>278</v>
      </c>
      <c r="B703">
        <v>138718</v>
      </c>
      <c r="C703" s="4">
        <v>6</v>
      </c>
      <c r="D703" s="5">
        <v>44574</v>
      </c>
      <c r="E703" t="str">
        <f>"202201138403"</f>
        <v>202201138403</v>
      </c>
      <c r="F703" t="str">
        <f>"Miscellan"</f>
        <v>Miscellan</v>
      </c>
      <c r="G703" t="str">
        <f>"KEVIN ARIC MORRISS"</f>
        <v>KEVIN ARIC MORRISS</v>
      </c>
      <c r="H703" s="4">
        <v>6</v>
      </c>
    </row>
    <row r="704" spans="1:8" x14ac:dyDescent="0.25">
      <c r="A704" t="s">
        <v>279</v>
      </c>
      <c r="B704">
        <v>138719</v>
      </c>
      <c r="C704" s="4">
        <v>6</v>
      </c>
      <c r="D704" s="5">
        <v>44574</v>
      </c>
      <c r="E704" t="str">
        <f>"202201138404"</f>
        <v>202201138404</v>
      </c>
      <c r="F704" t="str">
        <f>"Miscel"</f>
        <v>Miscel</v>
      </c>
      <c r="G704" t="str">
        <f>"KATHY SCHUMANN LINDER"</f>
        <v>KATHY SCHUMANN LINDER</v>
      </c>
      <c r="H704" s="4">
        <v>6</v>
      </c>
    </row>
    <row r="705" spans="1:8" x14ac:dyDescent="0.25">
      <c r="A705" t="s">
        <v>280</v>
      </c>
      <c r="B705">
        <v>138720</v>
      </c>
      <c r="C705" s="4">
        <v>6</v>
      </c>
      <c r="D705" s="5">
        <v>44574</v>
      </c>
      <c r="E705" t="str">
        <f>"202201138405"</f>
        <v>202201138405</v>
      </c>
      <c r="F705" t="str">
        <f>"Miscell"</f>
        <v>Miscell</v>
      </c>
      <c r="G705" t="str">
        <f>"MAX LOWRY PROCTOR JR"</f>
        <v>MAX LOWRY PROCTOR JR</v>
      </c>
      <c r="H705" s="4">
        <v>6</v>
      </c>
    </row>
    <row r="706" spans="1:8" x14ac:dyDescent="0.25">
      <c r="A706" t="s">
        <v>281</v>
      </c>
      <c r="B706">
        <v>138721</v>
      </c>
      <c r="C706" s="4">
        <v>6</v>
      </c>
      <c r="D706" s="5">
        <v>44574</v>
      </c>
      <c r="E706" t="str">
        <f>"202201138406"</f>
        <v>202201138406</v>
      </c>
      <c r="F706" t="str">
        <f>"Miscellaneo"</f>
        <v>Miscellaneo</v>
      </c>
      <c r="G706" t="str">
        <f>"EDA KRUEGER ROSE"</f>
        <v>EDA KRUEGER ROSE</v>
      </c>
      <c r="H706" s="4">
        <v>6</v>
      </c>
    </row>
    <row r="707" spans="1:8" x14ac:dyDescent="0.25">
      <c r="A707" t="s">
        <v>282</v>
      </c>
      <c r="B707">
        <v>138722</v>
      </c>
      <c r="C707" s="4">
        <v>6</v>
      </c>
      <c r="D707" s="5">
        <v>44574</v>
      </c>
      <c r="E707" t="str">
        <f>"202201138407"</f>
        <v>202201138407</v>
      </c>
      <c r="F707" t="str">
        <f>"Misce"</f>
        <v>Misce</v>
      </c>
      <c r="G707" t="str">
        <f>"REBECCA MAE BROADWATER"</f>
        <v>REBECCA MAE BROADWATER</v>
      </c>
      <c r="H707" s="4">
        <v>6</v>
      </c>
    </row>
    <row r="708" spans="1:8" x14ac:dyDescent="0.25">
      <c r="A708" t="s">
        <v>283</v>
      </c>
      <c r="B708">
        <v>138723</v>
      </c>
      <c r="C708" s="4">
        <v>6</v>
      </c>
      <c r="D708" s="5">
        <v>44574</v>
      </c>
      <c r="E708" t="str">
        <f>"202201138408"</f>
        <v>202201138408</v>
      </c>
      <c r="F708" t="str">
        <f>"Miscellan"</f>
        <v>Miscellan</v>
      </c>
      <c r="G708" t="str">
        <f>"LESLIE KAYE COUFAL"</f>
        <v>LESLIE KAYE COUFAL</v>
      </c>
      <c r="H708" s="4">
        <v>6</v>
      </c>
    </row>
    <row r="709" spans="1:8" x14ac:dyDescent="0.25">
      <c r="A709" t="s">
        <v>284</v>
      </c>
      <c r="B709">
        <v>138724</v>
      </c>
      <c r="C709" s="4">
        <v>6</v>
      </c>
      <c r="D709" s="5">
        <v>44574</v>
      </c>
      <c r="E709" t="str">
        <f>"202201138409"</f>
        <v>202201138409</v>
      </c>
      <c r="F709" t="str">
        <f>"Miscellan"</f>
        <v>Miscellan</v>
      </c>
      <c r="G709" t="str">
        <f>"NANCY SOLTYS WEBER"</f>
        <v>NANCY SOLTYS WEBER</v>
      </c>
      <c r="H709" s="4">
        <v>6</v>
      </c>
    </row>
    <row r="710" spans="1:8" x14ac:dyDescent="0.25">
      <c r="A710" t="s">
        <v>285</v>
      </c>
      <c r="B710">
        <v>138725</v>
      </c>
      <c r="C710" s="4">
        <v>6</v>
      </c>
      <c r="D710" s="5">
        <v>44574</v>
      </c>
      <c r="E710" t="str">
        <f>"202201138410"</f>
        <v>202201138410</v>
      </c>
      <c r="F710" t="str">
        <f>"Miscellane"</f>
        <v>Miscellane</v>
      </c>
      <c r="G710" t="str">
        <f>"REBECCA GALE PARK"</f>
        <v>REBECCA GALE PARK</v>
      </c>
      <c r="H710" s="4">
        <v>6</v>
      </c>
    </row>
    <row r="711" spans="1:8" x14ac:dyDescent="0.25">
      <c r="A711" t="s">
        <v>286</v>
      </c>
      <c r="B711">
        <v>138726</v>
      </c>
      <c r="C711" s="4">
        <v>6</v>
      </c>
      <c r="D711" s="5">
        <v>44574</v>
      </c>
      <c r="E711" t="str">
        <f>"202201138411"</f>
        <v>202201138411</v>
      </c>
      <c r="F711" t="str">
        <f>"Miscellane"</f>
        <v>Miscellane</v>
      </c>
      <c r="G711" t="str">
        <f>"LISA MARIE VIVIAN"</f>
        <v>LISA MARIE VIVIAN</v>
      </c>
      <c r="H711" s="4">
        <v>6</v>
      </c>
    </row>
    <row r="712" spans="1:8" x14ac:dyDescent="0.25">
      <c r="A712" t="s">
        <v>287</v>
      </c>
      <c r="B712">
        <v>138727</v>
      </c>
      <c r="C712" s="4">
        <v>6</v>
      </c>
      <c r="D712" s="5">
        <v>44574</v>
      </c>
      <c r="E712" t="str">
        <f>"202201138412"</f>
        <v>202201138412</v>
      </c>
      <c r="F712" t="str">
        <f>"Miscella"</f>
        <v>Miscella</v>
      </c>
      <c r="G712" t="str">
        <f>"GREGORY RAY WHETSEL"</f>
        <v>GREGORY RAY WHETSEL</v>
      </c>
      <c r="H712" s="4">
        <v>6</v>
      </c>
    </row>
    <row r="713" spans="1:8" x14ac:dyDescent="0.25">
      <c r="A713" t="s">
        <v>288</v>
      </c>
      <c r="B713">
        <v>138728</v>
      </c>
      <c r="C713" s="4">
        <v>6</v>
      </c>
      <c r="D713" s="5">
        <v>44574</v>
      </c>
      <c r="E713" t="str">
        <f>"202201138413"</f>
        <v>202201138413</v>
      </c>
      <c r="F713" t="str">
        <f>"Miscell"</f>
        <v>Miscell</v>
      </c>
      <c r="G713" t="str">
        <f>"JOYCE GRAVES RODGERS"</f>
        <v>JOYCE GRAVES RODGERS</v>
      </c>
      <c r="H713" s="4">
        <v>6</v>
      </c>
    </row>
    <row r="714" spans="1:8" x14ac:dyDescent="0.25">
      <c r="A714" t="s">
        <v>289</v>
      </c>
      <c r="B714">
        <v>138729</v>
      </c>
      <c r="C714" s="4">
        <v>6</v>
      </c>
      <c r="D714" s="5">
        <v>44574</v>
      </c>
      <c r="E714" t="str">
        <f>"202201138414"</f>
        <v>202201138414</v>
      </c>
      <c r="F714" t="str">
        <f>"Miscel"</f>
        <v>Miscel</v>
      </c>
      <c r="G714" t="str">
        <f>"BRIAN ALEXANDER YOUNG"</f>
        <v>BRIAN ALEXANDER YOUNG</v>
      </c>
      <c r="H714" s="4">
        <v>6</v>
      </c>
    </row>
    <row r="715" spans="1:8" x14ac:dyDescent="0.25">
      <c r="A715" t="s">
        <v>290</v>
      </c>
      <c r="B715">
        <v>138730</v>
      </c>
      <c r="C715" s="4">
        <v>6</v>
      </c>
      <c r="D715" s="5">
        <v>44574</v>
      </c>
      <c r="E715" t="str">
        <f>"202201138415"</f>
        <v>202201138415</v>
      </c>
      <c r="F715" t="str">
        <f>"Miscel"</f>
        <v>Miscel</v>
      </c>
      <c r="G715" t="str">
        <f>"MICHAEL GLENN WALSTON"</f>
        <v>MICHAEL GLENN WALSTON</v>
      </c>
      <c r="H715" s="4">
        <v>6</v>
      </c>
    </row>
    <row r="716" spans="1:8" x14ac:dyDescent="0.25">
      <c r="A716" t="s">
        <v>291</v>
      </c>
      <c r="B716">
        <v>138731</v>
      </c>
      <c r="C716" s="4">
        <v>6</v>
      </c>
      <c r="D716" s="5">
        <v>44574</v>
      </c>
      <c r="E716" t="str">
        <f>"202201138416"</f>
        <v>202201138416</v>
      </c>
      <c r="F716" t="str">
        <f>"Miscellaneou"</f>
        <v>Miscellaneou</v>
      </c>
      <c r="G716" t="str">
        <f>"BILL E CHARLTON"</f>
        <v>BILL E CHARLTON</v>
      </c>
      <c r="H716" s="4">
        <v>6</v>
      </c>
    </row>
    <row r="717" spans="1:8" x14ac:dyDescent="0.25">
      <c r="A717" t="s">
        <v>292</v>
      </c>
      <c r="B717">
        <v>138732</v>
      </c>
      <c r="C717" s="4">
        <v>6</v>
      </c>
      <c r="D717" s="5">
        <v>44574</v>
      </c>
      <c r="E717" t="str">
        <f>"202201138417"</f>
        <v>202201138417</v>
      </c>
      <c r="F717" t="str">
        <f>"Miscella"</f>
        <v>Miscella</v>
      </c>
      <c r="G717" t="str">
        <f>"ELIJSHA AKEEM DAVIS"</f>
        <v>ELIJSHA AKEEM DAVIS</v>
      </c>
      <c r="H717" s="4">
        <v>6</v>
      </c>
    </row>
    <row r="718" spans="1:8" x14ac:dyDescent="0.25">
      <c r="A718" t="s">
        <v>293</v>
      </c>
      <c r="B718">
        <v>138733</v>
      </c>
      <c r="C718" s="4">
        <v>6</v>
      </c>
      <c r="D718" s="5">
        <v>44574</v>
      </c>
      <c r="E718" t="str">
        <f>"202201138418"</f>
        <v>202201138418</v>
      </c>
      <c r="F718" t="str">
        <f>"Mis"</f>
        <v>Mis</v>
      </c>
      <c r="G718" t="str">
        <f>"NANCY ELIZABETH SAGEBIEL"</f>
        <v>NANCY ELIZABETH SAGEBIEL</v>
      </c>
      <c r="H718" s="4">
        <v>6</v>
      </c>
    </row>
    <row r="719" spans="1:8" x14ac:dyDescent="0.25">
      <c r="A719" t="s">
        <v>294</v>
      </c>
      <c r="B719">
        <v>138734</v>
      </c>
      <c r="C719" s="4">
        <v>6</v>
      </c>
      <c r="D719" s="5">
        <v>44574</v>
      </c>
      <c r="E719" t="str">
        <f>"202201138419"</f>
        <v>202201138419</v>
      </c>
      <c r="F719" t="str">
        <f>"Miscellane"</f>
        <v>Miscellane</v>
      </c>
      <c r="G719" t="str">
        <f>"JENNIFER L TATSCH"</f>
        <v>JENNIFER L TATSCH</v>
      </c>
      <c r="H719" s="4">
        <v>6</v>
      </c>
    </row>
    <row r="720" spans="1:8" x14ac:dyDescent="0.25">
      <c r="A720" t="s">
        <v>295</v>
      </c>
      <c r="B720">
        <v>138735</v>
      </c>
      <c r="C720" s="4">
        <v>6</v>
      </c>
      <c r="D720" s="5">
        <v>44574</v>
      </c>
      <c r="E720" t="str">
        <f>"202201138420"</f>
        <v>202201138420</v>
      </c>
      <c r="F720" t="str">
        <f>"Miscell"</f>
        <v>Miscell</v>
      </c>
      <c r="G720" t="str">
        <f>"JIMMY DUANE SIKES JR"</f>
        <v>JIMMY DUANE SIKES JR</v>
      </c>
      <c r="H720" s="4">
        <v>6</v>
      </c>
    </row>
    <row r="721" spans="1:8" x14ac:dyDescent="0.25">
      <c r="A721" t="s">
        <v>296</v>
      </c>
      <c r="B721">
        <v>138736</v>
      </c>
      <c r="C721" s="4">
        <v>6</v>
      </c>
      <c r="D721" s="5">
        <v>44574</v>
      </c>
      <c r="E721" t="str">
        <f>"202201138421"</f>
        <v>202201138421</v>
      </c>
      <c r="F721" t="str">
        <f>"Miscel"</f>
        <v>Miscel</v>
      </c>
      <c r="G721" t="str">
        <f>"KAREN JEAN NICEWARNER"</f>
        <v>KAREN JEAN NICEWARNER</v>
      </c>
      <c r="H721" s="4">
        <v>6</v>
      </c>
    </row>
    <row r="722" spans="1:8" x14ac:dyDescent="0.25">
      <c r="A722" t="s">
        <v>297</v>
      </c>
      <c r="B722">
        <v>138737</v>
      </c>
      <c r="C722" s="4">
        <v>6</v>
      </c>
      <c r="D722" s="5">
        <v>44574</v>
      </c>
      <c r="E722" t="str">
        <f>"202201138422"</f>
        <v>202201138422</v>
      </c>
      <c r="F722" t="str">
        <f>"Miscell"</f>
        <v>Miscell</v>
      </c>
      <c r="G722" t="str">
        <f>"MARY SCHRIMSHER NOAL"</f>
        <v>MARY SCHRIMSHER NOAL</v>
      </c>
      <c r="H722" s="4">
        <v>6</v>
      </c>
    </row>
    <row r="723" spans="1:8" x14ac:dyDescent="0.25">
      <c r="A723" t="s">
        <v>298</v>
      </c>
      <c r="B723">
        <v>138738</v>
      </c>
      <c r="C723" s="4">
        <v>6</v>
      </c>
      <c r="D723" s="5">
        <v>44574</v>
      </c>
      <c r="E723" t="str">
        <f>"202201138423"</f>
        <v>202201138423</v>
      </c>
      <c r="F723" t="str">
        <f>"Misce"</f>
        <v>Misce</v>
      </c>
      <c r="G723" t="str">
        <f>"JOHNATHEN JACOB KONKEN"</f>
        <v>JOHNATHEN JACOB KONKEN</v>
      </c>
      <c r="H723" s="4">
        <v>6</v>
      </c>
    </row>
    <row r="724" spans="1:8" x14ac:dyDescent="0.25">
      <c r="A724" t="s">
        <v>299</v>
      </c>
      <c r="B724">
        <v>138739</v>
      </c>
      <c r="C724" s="4">
        <v>6</v>
      </c>
      <c r="D724" s="5">
        <v>44574</v>
      </c>
      <c r="E724" t="str">
        <f>"202201138424"</f>
        <v>202201138424</v>
      </c>
      <c r="F724" t="str">
        <f>"Miscell"</f>
        <v>Miscell</v>
      </c>
      <c r="G724" t="str">
        <f>"BRUCE DALTON LAFLEUR"</f>
        <v>BRUCE DALTON LAFLEUR</v>
      </c>
      <c r="H724" s="4">
        <v>6</v>
      </c>
    </row>
    <row r="725" spans="1:8" x14ac:dyDescent="0.25">
      <c r="A725" t="s">
        <v>300</v>
      </c>
      <c r="B725">
        <v>138740</v>
      </c>
      <c r="C725" s="4">
        <v>6</v>
      </c>
      <c r="D725" s="5">
        <v>44574</v>
      </c>
      <c r="E725" t="str">
        <f>"202201138425"</f>
        <v>202201138425</v>
      </c>
      <c r="F725" t="str">
        <f>"Miscellane"</f>
        <v>Miscellane</v>
      </c>
      <c r="G725" t="str">
        <f>"AMY SUMMERS WADUM"</f>
        <v>AMY SUMMERS WADUM</v>
      </c>
      <c r="H725" s="4">
        <v>6</v>
      </c>
    </row>
    <row r="726" spans="1:8" x14ac:dyDescent="0.25">
      <c r="A726" t="s">
        <v>301</v>
      </c>
      <c r="B726">
        <v>138741</v>
      </c>
      <c r="C726" s="4">
        <v>6</v>
      </c>
      <c r="D726" s="5">
        <v>44574</v>
      </c>
      <c r="E726" t="str">
        <f>"202201138426"</f>
        <v>202201138426</v>
      </c>
      <c r="F726" t="str">
        <f>"Misc"</f>
        <v>Misc</v>
      </c>
      <c r="G726" t="str">
        <f>"ANTHONY ALLEN LEVERMANN"</f>
        <v>ANTHONY ALLEN LEVERMANN</v>
      </c>
      <c r="H726" s="4">
        <v>6</v>
      </c>
    </row>
    <row r="727" spans="1:8" x14ac:dyDescent="0.25">
      <c r="A727" t="s">
        <v>302</v>
      </c>
      <c r="B727">
        <v>138742</v>
      </c>
      <c r="C727" s="4">
        <v>6</v>
      </c>
      <c r="D727" s="5">
        <v>44574</v>
      </c>
      <c r="E727" t="str">
        <f>"202201138427"</f>
        <v>202201138427</v>
      </c>
      <c r="F727" t="str">
        <f>"Miscellaneo"</f>
        <v>Miscellaneo</v>
      </c>
      <c r="G727" t="str">
        <f>"BETHANY DAWN RAZ"</f>
        <v>BETHANY DAWN RAZ</v>
      </c>
      <c r="H727" s="4">
        <v>6</v>
      </c>
    </row>
    <row r="728" spans="1:8" x14ac:dyDescent="0.25">
      <c r="A728" t="s">
        <v>303</v>
      </c>
      <c r="B728">
        <v>138743</v>
      </c>
      <c r="C728" s="4">
        <v>6</v>
      </c>
      <c r="D728" s="5">
        <v>44574</v>
      </c>
      <c r="E728" t="str">
        <f>"202201138428"</f>
        <v>202201138428</v>
      </c>
      <c r="F728" t="str">
        <f>"Miscellan"</f>
        <v>Miscellan</v>
      </c>
      <c r="G728" t="str">
        <f>"SCOTT JASON HAMETT"</f>
        <v>SCOTT JASON HAMETT</v>
      </c>
      <c r="H728" s="4">
        <v>6</v>
      </c>
    </row>
    <row r="729" spans="1:8" x14ac:dyDescent="0.25">
      <c r="A729" t="s">
        <v>304</v>
      </c>
      <c r="B729">
        <v>138744</v>
      </c>
      <c r="C729" s="4">
        <v>6</v>
      </c>
      <c r="D729" s="5">
        <v>44574</v>
      </c>
      <c r="E729" t="str">
        <f>"202201138429"</f>
        <v>202201138429</v>
      </c>
      <c r="F729" t="str">
        <f>"Misc"</f>
        <v>Misc</v>
      </c>
      <c r="G729" t="str">
        <f>"DENISE ROCHELLE HAYWOOD"</f>
        <v>DENISE ROCHELLE HAYWOOD</v>
      </c>
      <c r="H729" s="4">
        <v>6</v>
      </c>
    </row>
    <row r="730" spans="1:8" x14ac:dyDescent="0.25">
      <c r="A730" t="s">
        <v>305</v>
      </c>
      <c r="B730">
        <v>138745</v>
      </c>
      <c r="C730" s="4">
        <v>46</v>
      </c>
      <c r="D730" s="5">
        <v>44574</v>
      </c>
      <c r="E730" t="str">
        <f>"202201138430"</f>
        <v>202201138430</v>
      </c>
      <c r="F730" t="str">
        <f>"Misce"</f>
        <v>Misce</v>
      </c>
      <c r="G730" t="str">
        <f>"NICHOLAS MATTHEW HAGEN"</f>
        <v>NICHOLAS MATTHEW HAGEN</v>
      </c>
      <c r="H730" s="4">
        <v>46</v>
      </c>
    </row>
    <row r="731" spans="1:8" x14ac:dyDescent="0.25">
      <c r="A731" t="s">
        <v>306</v>
      </c>
      <c r="B731">
        <v>138746</v>
      </c>
      <c r="C731" s="4">
        <v>6</v>
      </c>
      <c r="D731" s="5">
        <v>44574</v>
      </c>
      <c r="E731" t="str">
        <f>"202201138431"</f>
        <v>202201138431</v>
      </c>
      <c r="F731" t="str">
        <f>"Miscel"</f>
        <v>Miscel</v>
      </c>
      <c r="G731" t="str">
        <f>"RUTH ELLEN WASHINGTON"</f>
        <v>RUTH ELLEN WASHINGTON</v>
      </c>
      <c r="H731" s="4">
        <v>6</v>
      </c>
    </row>
    <row r="732" spans="1:8" x14ac:dyDescent="0.25">
      <c r="A732" t="s">
        <v>307</v>
      </c>
      <c r="B732">
        <v>138747</v>
      </c>
      <c r="C732" s="4">
        <v>6</v>
      </c>
      <c r="D732" s="5">
        <v>44574</v>
      </c>
      <c r="E732" t="str">
        <f>"202201138432"</f>
        <v>202201138432</v>
      </c>
      <c r="F732" t="str">
        <f>"Misc"</f>
        <v>Misc</v>
      </c>
      <c r="G732" t="str">
        <f>"CARRIE ELIZABETH DAILEY"</f>
        <v>CARRIE ELIZABETH DAILEY</v>
      </c>
      <c r="H732" s="4">
        <v>6</v>
      </c>
    </row>
    <row r="733" spans="1:8" x14ac:dyDescent="0.25">
      <c r="A733" t="s">
        <v>308</v>
      </c>
      <c r="B733">
        <v>138748</v>
      </c>
      <c r="C733" s="4">
        <v>46</v>
      </c>
      <c r="D733" s="5">
        <v>44574</v>
      </c>
      <c r="E733" t="str">
        <f>"202201138433"</f>
        <v>202201138433</v>
      </c>
      <c r="F733" t="str">
        <f>"Mis"</f>
        <v>Mis</v>
      </c>
      <c r="G733" t="str">
        <f>"NORMAN WESLEY THORMAHLEN"</f>
        <v>NORMAN WESLEY THORMAHLEN</v>
      </c>
      <c r="H733" s="4">
        <v>46</v>
      </c>
    </row>
    <row r="734" spans="1:8" x14ac:dyDescent="0.25">
      <c r="A734" t="s">
        <v>309</v>
      </c>
      <c r="B734">
        <v>138749</v>
      </c>
      <c r="C734" s="4">
        <v>6</v>
      </c>
      <c r="D734" s="5">
        <v>44574</v>
      </c>
      <c r="E734" t="str">
        <f>"202201138434"</f>
        <v>202201138434</v>
      </c>
      <c r="F734" t="str">
        <f>"Mis"</f>
        <v>Mis</v>
      </c>
      <c r="G734" t="str">
        <f>"CHLOEE JUSTINE CAMARILLO"</f>
        <v>CHLOEE JUSTINE CAMARILLO</v>
      </c>
      <c r="H734" s="4">
        <v>6</v>
      </c>
    </row>
    <row r="735" spans="1:8" x14ac:dyDescent="0.25">
      <c r="A735" t="s">
        <v>310</v>
      </c>
      <c r="B735">
        <v>138750</v>
      </c>
      <c r="C735" s="4">
        <v>6</v>
      </c>
      <c r="D735" s="5">
        <v>44574</v>
      </c>
      <c r="E735" t="str">
        <f>"202201138435"</f>
        <v>202201138435</v>
      </c>
      <c r="F735" t="str">
        <f>"Miscellaneous"</f>
        <v>Miscellaneous</v>
      </c>
      <c r="G735" t="str">
        <f>"PAMELA J LOWE"</f>
        <v>PAMELA J LOWE</v>
      </c>
      <c r="H735" s="4">
        <v>6</v>
      </c>
    </row>
    <row r="736" spans="1:8" x14ac:dyDescent="0.25">
      <c r="A736" t="s">
        <v>311</v>
      </c>
      <c r="B736">
        <v>138751</v>
      </c>
      <c r="C736" s="4">
        <v>6</v>
      </c>
      <c r="D736" s="5">
        <v>44574</v>
      </c>
      <c r="E736" t="str">
        <f>"202201138436"</f>
        <v>202201138436</v>
      </c>
      <c r="F736" t="str">
        <f>"Miscell"</f>
        <v>Miscell</v>
      </c>
      <c r="G736" t="str">
        <f>"SAVANNAH SKY SCHAFER"</f>
        <v>SAVANNAH SKY SCHAFER</v>
      </c>
      <c r="H736" s="4">
        <v>6</v>
      </c>
    </row>
    <row r="737" spans="1:8" x14ac:dyDescent="0.25">
      <c r="A737" t="s">
        <v>312</v>
      </c>
      <c r="B737">
        <v>138752</v>
      </c>
      <c r="C737" s="4">
        <v>6</v>
      </c>
      <c r="D737" s="5">
        <v>44574</v>
      </c>
      <c r="E737" t="str">
        <f>"202201138437"</f>
        <v>202201138437</v>
      </c>
      <c r="F737" t="str">
        <f>"Miscell"</f>
        <v>Miscell</v>
      </c>
      <c r="G737" t="str">
        <f>"SANFORD RAY FRANK JR"</f>
        <v>SANFORD RAY FRANK JR</v>
      </c>
      <c r="H737" s="4">
        <v>6</v>
      </c>
    </row>
    <row r="738" spans="1:8" x14ac:dyDescent="0.25">
      <c r="A738" t="s">
        <v>313</v>
      </c>
      <c r="B738">
        <v>138753</v>
      </c>
      <c r="C738" s="4">
        <v>6</v>
      </c>
      <c r="D738" s="5">
        <v>44574</v>
      </c>
      <c r="E738" t="str">
        <f>"202201138438"</f>
        <v>202201138438</v>
      </c>
      <c r="F738" t="str">
        <f>"Miscellan"</f>
        <v>Miscellan</v>
      </c>
      <c r="G738" t="str">
        <f>"JANICE KAY ABRAHAM"</f>
        <v>JANICE KAY ABRAHAM</v>
      </c>
      <c r="H738" s="4">
        <v>6</v>
      </c>
    </row>
    <row r="739" spans="1:8" x14ac:dyDescent="0.25">
      <c r="A739" t="s">
        <v>314</v>
      </c>
      <c r="B739">
        <v>138827</v>
      </c>
      <c r="C739" s="4">
        <v>25047.360000000001</v>
      </c>
      <c r="D739" s="5">
        <v>44585</v>
      </c>
      <c r="E739" t="str">
        <f>"8230348943"</f>
        <v>8230348943</v>
      </c>
      <c r="F739" t="str">
        <f>"CUST#103621577/JAN 2022"</f>
        <v>CUST#103621577/JAN 2022</v>
      </c>
      <c r="G739" t="str">
        <f>"CUST#103621577/JAN 2022"</f>
        <v>CUST#103621577/JAN 2022</v>
      </c>
      <c r="H739" s="4">
        <v>25047.360000000001</v>
      </c>
    </row>
    <row r="740" spans="1:8" x14ac:dyDescent="0.25">
      <c r="A740" t="s">
        <v>315</v>
      </c>
      <c r="B740">
        <v>5625</v>
      </c>
      <c r="C740" s="4">
        <v>651.44000000000005</v>
      </c>
      <c r="D740" s="5">
        <v>44572</v>
      </c>
      <c r="E740" t="str">
        <f>"PART5793193"</f>
        <v>PART5793193</v>
      </c>
      <c r="F740" t="str">
        <f t="shared" ref="F740:G742" si="17">"CUST#1006635/OEM"</f>
        <v>CUST#1006635/OEM</v>
      </c>
      <c r="G740" t="str">
        <f t="shared" si="17"/>
        <v>CUST#1006635/OEM</v>
      </c>
      <c r="H740" s="4">
        <v>206.87</v>
      </c>
    </row>
    <row r="741" spans="1:8" x14ac:dyDescent="0.25">
      <c r="E741" t="str">
        <f>"PART5794956"</f>
        <v>PART5794956</v>
      </c>
      <c r="F741" t="str">
        <f t="shared" si="17"/>
        <v>CUST#1006635/OEM</v>
      </c>
      <c r="G741" t="str">
        <f t="shared" si="17"/>
        <v>CUST#1006635/OEM</v>
      </c>
      <c r="H741" s="4">
        <v>237.7</v>
      </c>
    </row>
    <row r="742" spans="1:8" x14ac:dyDescent="0.25">
      <c r="E742" t="str">
        <f>"PART5794957"</f>
        <v>PART5794957</v>
      </c>
      <c r="F742" t="str">
        <f t="shared" si="17"/>
        <v>CUST#1006635/OEM</v>
      </c>
      <c r="G742" t="str">
        <f t="shared" si="17"/>
        <v>CUST#1006635/OEM</v>
      </c>
      <c r="H742" s="4">
        <v>206.87</v>
      </c>
    </row>
    <row r="743" spans="1:8" x14ac:dyDescent="0.25">
      <c r="A743" t="s">
        <v>316</v>
      </c>
      <c r="B743">
        <v>138629</v>
      </c>
      <c r="C743" s="4">
        <v>1014.55</v>
      </c>
      <c r="D743" s="5">
        <v>44571</v>
      </c>
      <c r="E743" t="str">
        <f>"670180526"</f>
        <v>670180526</v>
      </c>
      <c r="F743" t="str">
        <f>"AGREEMENT#9290049/NALCO"</f>
        <v>AGREEMENT#9290049/NALCO</v>
      </c>
      <c r="G743" t="str">
        <f>"AGREEMENT#9290049/NALCO"</f>
        <v>AGREEMENT#9290049/NALCO</v>
      </c>
      <c r="H743" s="4">
        <v>1014.55</v>
      </c>
    </row>
    <row r="744" spans="1:8" x14ac:dyDescent="0.25">
      <c r="A744" t="s">
        <v>317</v>
      </c>
      <c r="B744">
        <v>138630</v>
      </c>
      <c r="C744" s="4">
        <v>97</v>
      </c>
      <c r="D744" s="5">
        <v>44571</v>
      </c>
      <c r="E744" t="str">
        <f>"202201048056"</f>
        <v>202201048056</v>
      </c>
      <c r="F744" t="str">
        <f>"REIMBURSE/NATHAN MORKOVSKY"</f>
        <v>REIMBURSE/NATHAN MORKOVSKY</v>
      </c>
      <c r="G744" t="str">
        <f>"REIMBURSE/NATHAN MORKOVSKY"</f>
        <v>REIMBURSE/NATHAN MORKOVSKY</v>
      </c>
      <c r="H744" s="4">
        <v>97</v>
      </c>
    </row>
    <row r="745" spans="1:8" x14ac:dyDescent="0.25">
      <c r="A745" t="s">
        <v>318</v>
      </c>
      <c r="B745">
        <v>5672</v>
      </c>
      <c r="C745" s="4">
        <v>15930.59</v>
      </c>
      <c r="D745" s="5">
        <v>44586</v>
      </c>
      <c r="E745" t="str">
        <f>"0871589"</f>
        <v>0871589</v>
      </c>
      <c r="F745" t="str">
        <f>"INV IN0871589"</f>
        <v>INV IN0871589</v>
      </c>
      <c r="G745" t="str">
        <f>"INV IN0871589"</f>
        <v>INV IN0871589</v>
      </c>
      <c r="H745" s="4">
        <v>8498</v>
      </c>
    </row>
    <row r="746" spans="1:8" x14ac:dyDescent="0.25">
      <c r="E746" t="str">
        <f>""</f>
        <v/>
      </c>
      <c r="F746" t="str">
        <f>""</f>
        <v/>
      </c>
      <c r="G746" t="str">
        <f>"INV IN0871515"</f>
        <v>INV IN0871515</v>
      </c>
      <c r="H746" s="4">
        <v>1890</v>
      </c>
    </row>
    <row r="747" spans="1:8" x14ac:dyDescent="0.25">
      <c r="E747" t="str">
        <f>""</f>
        <v/>
      </c>
      <c r="F747" t="str">
        <f>""</f>
        <v/>
      </c>
      <c r="G747" t="str">
        <f>"INV IN0871743"</f>
        <v>INV IN0871743</v>
      </c>
      <c r="H747" s="4">
        <v>5542.59</v>
      </c>
    </row>
    <row r="748" spans="1:8" x14ac:dyDescent="0.25">
      <c r="A748" t="s">
        <v>319</v>
      </c>
      <c r="B748">
        <v>5640</v>
      </c>
      <c r="C748" s="4">
        <v>4900</v>
      </c>
      <c r="D748" s="5">
        <v>44572</v>
      </c>
      <c r="E748" t="str">
        <f>"BC-001"</f>
        <v>BC-001</v>
      </c>
      <c r="F748" t="str">
        <f>"LAMALOA TREES/PCT#1"</f>
        <v>LAMALOA TREES/PCT#1</v>
      </c>
      <c r="G748" t="str">
        <f>"LAMALOA TREES/PCT#1"</f>
        <v>LAMALOA TREES/PCT#1</v>
      </c>
      <c r="H748" s="4">
        <v>4900</v>
      </c>
    </row>
    <row r="749" spans="1:8" x14ac:dyDescent="0.25">
      <c r="A749" t="s">
        <v>320</v>
      </c>
      <c r="B749">
        <v>138828</v>
      </c>
      <c r="C749" s="4">
        <v>1040</v>
      </c>
      <c r="D749" s="5">
        <v>44585</v>
      </c>
      <c r="E749" t="str">
        <f>"2021-05477"</f>
        <v>2021-05477</v>
      </c>
      <c r="F749" t="str">
        <f>"INV JAN 10  2022"</f>
        <v>INV JAN 10  2022</v>
      </c>
      <c r="G749" t="str">
        <f>"INV JAN 10  2022"</f>
        <v>INV JAN 10  2022</v>
      </c>
      <c r="H749" s="4">
        <v>1040</v>
      </c>
    </row>
    <row r="750" spans="1:8" x14ac:dyDescent="0.25">
      <c r="A750" t="s">
        <v>321</v>
      </c>
      <c r="B750">
        <v>138829</v>
      </c>
      <c r="C750" s="4">
        <v>13472.63</v>
      </c>
      <c r="D750" s="5">
        <v>44585</v>
      </c>
      <c r="E750" t="str">
        <f>"202201198488"</f>
        <v>202201198488</v>
      </c>
      <c r="F750" t="str">
        <f>"INDIGENT HEALTH"</f>
        <v>INDIGENT HEALTH</v>
      </c>
      <c r="G750" t="str">
        <f>"INDIGENT HEALTH"</f>
        <v>INDIGENT HEALTH</v>
      </c>
      <c r="H750" s="4">
        <v>13472.63</v>
      </c>
    </row>
    <row r="751" spans="1:8" x14ac:dyDescent="0.25">
      <c r="A751" t="s">
        <v>322</v>
      </c>
      <c r="B751">
        <v>5659</v>
      </c>
      <c r="C751" s="4">
        <v>126.2</v>
      </c>
      <c r="D751" s="5">
        <v>44572</v>
      </c>
      <c r="E751" t="str">
        <f>"202201048064"</f>
        <v>202201048064</v>
      </c>
      <c r="F751" t="str">
        <f>"ACCT#99088/PCT#4"</f>
        <v>ACCT#99088/PCT#4</v>
      </c>
      <c r="G751" t="str">
        <f>"ACCT#99088/PCT#4"</f>
        <v>ACCT#99088/PCT#4</v>
      </c>
      <c r="H751" s="4">
        <v>126.2</v>
      </c>
    </row>
    <row r="752" spans="1:8" x14ac:dyDescent="0.25">
      <c r="A752" t="s">
        <v>323</v>
      </c>
      <c r="B752">
        <v>138631</v>
      </c>
      <c r="C752" s="4">
        <v>3036.76</v>
      </c>
      <c r="D752" s="5">
        <v>44571</v>
      </c>
      <c r="E752" t="str">
        <f>"202201068192"</f>
        <v>202201068192</v>
      </c>
      <c r="F752" t="str">
        <f>"OFFICE DEPOT"</f>
        <v>OFFICE DEPOT</v>
      </c>
      <c r="G752" t="str">
        <f>"214867714001"</f>
        <v>214867714001</v>
      </c>
      <c r="H752" s="4">
        <v>205.61</v>
      </c>
    </row>
    <row r="753" spans="5:8" x14ac:dyDescent="0.25">
      <c r="E753" t="str">
        <f>""</f>
        <v/>
      </c>
      <c r="F753" t="str">
        <f>""</f>
        <v/>
      </c>
      <c r="G753" t="str">
        <f>"214871131001"</f>
        <v>214871131001</v>
      </c>
      <c r="H753" s="4">
        <v>148.99</v>
      </c>
    </row>
    <row r="754" spans="5:8" x14ac:dyDescent="0.25">
      <c r="E754" t="str">
        <f>""</f>
        <v/>
      </c>
      <c r="F754" t="str">
        <f>""</f>
        <v/>
      </c>
      <c r="G754" t="str">
        <f>"216234453001"</f>
        <v>216234453001</v>
      </c>
      <c r="H754" s="4">
        <v>35.78</v>
      </c>
    </row>
    <row r="755" spans="5:8" x14ac:dyDescent="0.25">
      <c r="E755" t="str">
        <f>""</f>
        <v/>
      </c>
      <c r="F755" t="str">
        <f>""</f>
        <v/>
      </c>
      <c r="G755" t="str">
        <f>"216235066001"</f>
        <v>216235066001</v>
      </c>
      <c r="H755" s="4">
        <v>27.49</v>
      </c>
    </row>
    <row r="756" spans="5:8" x14ac:dyDescent="0.25">
      <c r="E756" t="str">
        <f>""</f>
        <v/>
      </c>
      <c r="F756" t="str">
        <f>""</f>
        <v/>
      </c>
      <c r="G756" t="str">
        <f>"215268449001"</f>
        <v>215268449001</v>
      </c>
      <c r="H756" s="4">
        <v>47.61</v>
      </c>
    </row>
    <row r="757" spans="5:8" x14ac:dyDescent="0.25">
      <c r="E757" t="str">
        <f>""</f>
        <v/>
      </c>
      <c r="F757" t="str">
        <f>""</f>
        <v/>
      </c>
      <c r="G757" t="str">
        <f>"215271204001"</f>
        <v>215271204001</v>
      </c>
      <c r="H757" s="4">
        <v>12.49</v>
      </c>
    </row>
    <row r="758" spans="5:8" x14ac:dyDescent="0.25">
      <c r="E758" t="str">
        <f>""</f>
        <v/>
      </c>
      <c r="F758" t="str">
        <f>""</f>
        <v/>
      </c>
      <c r="G758" t="str">
        <f>"215271205001"</f>
        <v>215271205001</v>
      </c>
      <c r="H758" s="4">
        <v>8.11</v>
      </c>
    </row>
    <row r="759" spans="5:8" x14ac:dyDescent="0.25">
      <c r="E759" t="str">
        <f>""</f>
        <v/>
      </c>
      <c r="F759" t="str">
        <f>""</f>
        <v/>
      </c>
      <c r="G759" t="str">
        <f>"216750161001"</f>
        <v>216750161001</v>
      </c>
      <c r="H759" s="4">
        <v>879.99</v>
      </c>
    </row>
    <row r="760" spans="5:8" x14ac:dyDescent="0.25">
      <c r="E760" t="str">
        <f>""</f>
        <v/>
      </c>
      <c r="F760" t="str">
        <f>""</f>
        <v/>
      </c>
      <c r="G760" t="str">
        <f>"214886589001"</f>
        <v>214886589001</v>
      </c>
      <c r="H760" s="4">
        <v>78.63</v>
      </c>
    </row>
    <row r="761" spans="5:8" x14ac:dyDescent="0.25">
      <c r="E761" t="str">
        <f>""</f>
        <v/>
      </c>
      <c r="F761" t="str">
        <f>""</f>
        <v/>
      </c>
      <c r="G761" t="str">
        <f>"214887422001"</f>
        <v>214887422001</v>
      </c>
      <c r="H761" s="4">
        <v>21.99</v>
      </c>
    </row>
    <row r="762" spans="5:8" x14ac:dyDescent="0.25">
      <c r="E762" t="str">
        <f>""</f>
        <v/>
      </c>
      <c r="F762" t="str">
        <f>""</f>
        <v/>
      </c>
      <c r="G762" t="str">
        <f>"217504580001"</f>
        <v>217504580001</v>
      </c>
      <c r="H762" s="4">
        <v>102.82</v>
      </c>
    </row>
    <row r="763" spans="5:8" x14ac:dyDescent="0.25">
      <c r="E763" t="str">
        <f>""</f>
        <v/>
      </c>
      <c r="F763" t="str">
        <f>""</f>
        <v/>
      </c>
      <c r="G763" t="str">
        <f>"217529929001"</f>
        <v>217529929001</v>
      </c>
      <c r="H763" s="4">
        <v>16.739999999999998</v>
      </c>
    </row>
    <row r="764" spans="5:8" x14ac:dyDescent="0.25">
      <c r="E764" t="str">
        <f>""</f>
        <v/>
      </c>
      <c r="F764" t="str">
        <f>""</f>
        <v/>
      </c>
      <c r="G764" t="str">
        <f>"214529930001"</f>
        <v>214529930001</v>
      </c>
      <c r="H764" s="4">
        <v>61.98</v>
      </c>
    </row>
    <row r="765" spans="5:8" x14ac:dyDescent="0.25">
      <c r="E765" t="str">
        <f>""</f>
        <v/>
      </c>
      <c r="F765" t="str">
        <f>""</f>
        <v/>
      </c>
      <c r="G765" t="str">
        <f>"216510088001"</f>
        <v>216510088001</v>
      </c>
      <c r="H765" s="4">
        <v>17.97</v>
      </c>
    </row>
    <row r="766" spans="5:8" x14ac:dyDescent="0.25">
      <c r="E766" t="str">
        <f>""</f>
        <v/>
      </c>
      <c r="F766" t="str">
        <f>""</f>
        <v/>
      </c>
      <c r="G766" t="str">
        <f>"216511000001"</f>
        <v>216511000001</v>
      </c>
      <c r="H766" s="4">
        <v>16.190000000000001</v>
      </c>
    </row>
    <row r="767" spans="5:8" x14ac:dyDescent="0.25">
      <c r="E767" t="str">
        <f>""</f>
        <v/>
      </c>
      <c r="F767" t="str">
        <f>""</f>
        <v/>
      </c>
      <c r="G767" t="str">
        <f>"216511004001"</f>
        <v>216511004001</v>
      </c>
      <c r="H767" s="4">
        <v>405.26</v>
      </c>
    </row>
    <row r="768" spans="5:8" x14ac:dyDescent="0.25">
      <c r="E768" t="str">
        <f>""</f>
        <v/>
      </c>
      <c r="F768" t="str">
        <f>""</f>
        <v/>
      </c>
      <c r="G768" t="str">
        <f>"216511004002"</f>
        <v>216511004002</v>
      </c>
      <c r="H768" s="4">
        <v>18.89</v>
      </c>
    </row>
    <row r="769" spans="1:8" x14ac:dyDescent="0.25">
      <c r="E769" t="str">
        <f>""</f>
        <v/>
      </c>
      <c r="F769" t="str">
        <f>""</f>
        <v/>
      </c>
      <c r="G769" t="str">
        <f>"216511005001"</f>
        <v>216511005001</v>
      </c>
      <c r="H769" s="4">
        <v>23.26</v>
      </c>
    </row>
    <row r="770" spans="1:8" x14ac:dyDescent="0.25">
      <c r="E770" t="str">
        <f>""</f>
        <v/>
      </c>
      <c r="F770" t="str">
        <f>""</f>
        <v/>
      </c>
      <c r="G770" t="str">
        <f>"216511006001"</f>
        <v>216511006001</v>
      </c>
      <c r="H770" s="4">
        <v>26.97</v>
      </c>
    </row>
    <row r="771" spans="1:8" x14ac:dyDescent="0.25">
      <c r="E771" t="str">
        <f>""</f>
        <v/>
      </c>
      <c r="F771" t="str">
        <f>""</f>
        <v/>
      </c>
      <c r="G771" t="str">
        <f>"216153010001"</f>
        <v>216153010001</v>
      </c>
      <c r="H771" s="4">
        <v>879.99</v>
      </c>
    </row>
    <row r="772" spans="1:8" x14ac:dyDescent="0.25">
      <c r="A772" t="s">
        <v>323</v>
      </c>
      <c r="B772">
        <v>138830</v>
      </c>
      <c r="C772" s="4">
        <v>2253.81</v>
      </c>
      <c r="D772" s="5">
        <v>44585</v>
      </c>
      <c r="E772" t="str">
        <f>"202201198502"</f>
        <v>202201198502</v>
      </c>
      <c r="F772" t="str">
        <f>"Office Depot"</f>
        <v>Office Depot</v>
      </c>
      <c r="G772" t="str">
        <f>"216686291001"</f>
        <v>216686291001</v>
      </c>
      <c r="H772" s="4">
        <v>635.51</v>
      </c>
    </row>
    <row r="773" spans="1:8" x14ac:dyDescent="0.25">
      <c r="E773" t="str">
        <f>""</f>
        <v/>
      </c>
      <c r="F773" t="str">
        <f>""</f>
        <v/>
      </c>
      <c r="G773" t="str">
        <f>"216686291002"</f>
        <v>216686291002</v>
      </c>
      <c r="H773" s="4">
        <v>459</v>
      </c>
    </row>
    <row r="774" spans="1:8" x14ac:dyDescent="0.25">
      <c r="E774" t="str">
        <f>""</f>
        <v/>
      </c>
      <c r="F774" t="str">
        <f>""</f>
        <v/>
      </c>
      <c r="G774" t="str">
        <f>"216720010001"</f>
        <v>216720010001</v>
      </c>
      <c r="H774" s="4">
        <v>42.29</v>
      </c>
    </row>
    <row r="775" spans="1:8" x14ac:dyDescent="0.25">
      <c r="E775" t="str">
        <f>""</f>
        <v/>
      </c>
      <c r="F775" t="str">
        <f>""</f>
        <v/>
      </c>
      <c r="G775" t="str">
        <f>"216720011001"</f>
        <v>216720011001</v>
      </c>
      <c r="H775" s="4">
        <v>50.97</v>
      </c>
    </row>
    <row r="776" spans="1:8" x14ac:dyDescent="0.25">
      <c r="E776" t="str">
        <f>""</f>
        <v/>
      </c>
      <c r="F776" t="str">
        <f>""</f>
        <v/>
      </c>
      <c r="G776" t="str">
        <f>"216720027001"</f>
        <v>216720027001</v>
      </c>
      <c r="H776" s="4">
        <v>15.26</v>
      </c>
    </row>
    <row r="777" spans="1:8" x14ac:dyDescent="0.25">
      <c r="E777" t="str">
        <f>""</f>
        <v/>
      </c>
      <c r="F777" t="str">
        <f>""</f>
        <v/>
      </c>
      <c r="G777" t="str">
        <f>"216720028001"</f>
        <v>216720028001</v>
      </c>
      <c r="H777" s="4">
        <v>26.94</v>
      </c>
    </row>
    <row r="778" spans="1:8" x14ac:dyDescent="0.25">
      <c r="E778" t="str">
        <f>""</f>
        <v/>
      </c>
      <c r="F778" t="str">
        <f>""</f>
        <v/>
      </c>
      <c r="G778" t="str">
        <f>"218360426001"</f>
        <v>218360426001</v>
      </c>
      <c r="H778" s="4">
        <v>58.74</v>
      </c>
    </row>
    <row r="779" spans="1:8" x14ac:dyDescent="0.25">
      <c r="E779" t="str">
        <f>""</f>
        <v/>
      </c>
      <c r="F779" t="str">
        <f>""</f>
        <v/>
      </c>
      <c r="G779" t="str">
        <f>"216511004003"</f>
        <v>216511004003</v>
      </c>
      <c r="H779" s="4">
        <v>17.579999999999998</v>
      </c>
    </row>
    <row r="780" spans="1:8" x14ac:dyDescent="0.25">
      <c r="E780" t="str">
        <f>""</f>
        <v/>
      </c>
      <c r="F780" t="str">
        <f>""</f>
        <v/>
      </c>
      <c r="G780" t="str">
        <f>"216511004004"</f>
        <v>216511004004</v>
      </c>
      <c r="H780" s="4">
        <v>8.7899999999999991</v>
      </c>
    </row>
    <row r="781" spans="1:8" x14ac:dyDescent="0.25">
      <c r="E781" t="str">
        <f>""</f>
        <v/>
      </c>
      <c r="F781" t="str">
        <f>""</f>
        <v/>
      </c>
      <c r="G781" t="str">
        <f>"218609519001"</f>
        <v>218609519001</v>
      </c>
      <c r="H781" s="4">
        <v>879.99</v>
      </c>
    </row>
    <row r="782" spans="1:8" x14ac:dyDescent="0.25">
      <c r="E782" t="str">
        <f>""</f>
        <v/>
      </c>
      <c r="F782" t="str">
        <f>""</f>
        <v/>
      </c>
      <c r="G782" t="str">
        <f>"216532653001"</f>
        <v>216532653001</v>
      </c>
      <c r="H782" s="4">
        <v>58.74</v>
      </c>
    </row>
    <row r="783" spans="1:8" x14ac:dyDescent="0.25">
      <c r="A783" t="s">
        <v>324</v>
      </c>
      <c r="B783">
        <v>138831</v>
      </c>
      <c r="C783" s="4">
        <v>2802</v>
      </c>
      <c r="D783" s="5">
        <v>44585</v>
      </c>
      <c r="E783" t="str">
        <f>"421-001011"</f>
        <v>421-001011</v>
      </c>
      <c r="F783" t="str">
        <f>"4TH QRTLY REPORT/JP#1"</f>
        <v>4TH QRTLY REPORT/JP#1</v>
      </c>
      <c r="G783" t="str">
        <f>"4TH QRTLY REPORT/JP#1"</f>
        <v>4TH QRTLY REPORT/JP#1</v>
      </c>
      <c r="H783" s="4">
        <v>486</v>
      </c>
    </row>
    <row r="784" spans="1:8" x14ac:dyDescent="0.25">
      <c r="E784" t="str">
        <f>"421-002011"</f>
        <v>421-002011</v>
      </c>
      <c r="F784" t="str">
        <f>"4TH QTRLY REPORT/JP#2"</f>
        <v>4TH QTRLY REPORT/JP#2</v>
      </c>
      <c r="G784" t="str">
        <f>"4TH QTRLY REPORT/JP#2"</f>
        <v>4TH QTRLY REPORT/JP#2</v>
      </c>
      <c r="H784" s="4">
        <v>798</v>
      </c>
    </row>
    <row r="785" spans="1:8" x14ac:dyDescent="0.25">
      <c r="E785" t="str">
        <f>"421-003011"</f>
        <v>421-003011</v>
      </c>
      <c r="F785" t="str">
        <f>"4TH QRTLY REPORT/JP#3"</f>
        <v>4TH QRTLY REPORT/JP#3</v>
      </c>
      <c r="G785" t="str">
        <f>"4TH QRTLY REPORT/JP#3"</f>
        <v>4TH QRTLY REPORT/JP#3</v>
      </c>
      <c r="H785" s="4">
        <v>546</v>
      </c>
    </row>
    <row r="786" spans="1:8" x14ac:dyDescent="0.25">
      <c r="E786" t="str">
        <f>"421-004011"</f>
        <v>421-004011</v>
      </c>
      <c r="F786" t="str">
        <f>"4TH QTRY REPORT/JP#4"</f>
        <v>4TH QTRY REPORT/JP#4</v>
      </c>
      <c r="G786" t="str">
        <f>"4TH QTRY REPORT/JP#4"</f>
        <v>4TH QTRY REPORT/JP#4</v>
      </c>
      <c r="H786" s="4">
        <v>936</v>
      </c>
    </row>
    <row r="787" spans="1:8" x14ac:dyDescent="0.25">
      <c r="E787" t="str">
        <f>"421-008011"</f>
        <v>421-008011</v>
      </c>
      <c r="F787" t="str">
        <f>"4TH QTRY REPORT/COUNTY CLERK"</f>
        <v>4TH QTRY REPORT/COUNTY CLERK</v>
      </c>
      <c r="G787" t="str">
        <f>"4TH QTRY REPORT/COUNTY CLERK"</f>
        <v>4TH QTRY REPORT/COUNTY CLERK</v>
      </c>
      <c r="H787" s="4">
        <v>36</v>
      </c>
    </row>
    <row r="788" spans="1:8" x14ac:dyDescent="0.25">
      <c r="A788" t="s">
        <v>325</v>
      </c>
      <c r="B788">
        <v>5722</v>
      </c>
      <c r="C788" s="4">
        <v>454</v>
      </c>
      <c r="D788" s="5">
        <v>44586</v>
      </c>
      <c r="E788" t="str">
        <f>"3882"</f>
        <v>3882</v>
      </c>
      <c r="F788" t="str">
        <f>"LEAK REPAIR/GENERAL SVCS"</f>
        <v>LEAK REPAIR/GENERAL SVCS</v>
      </c>
      <c r="G788" t="str">
        <f>"LEAK REPAIR/GENERAL SVCS"</f>
        <v>LEAK REPAIR/GENERAL SVCS</v>
      </c>
      <c r="H788" s="4">
        <v>454</v>
      </c>
    </row>
    <row r="789" spans="1:8" x14ac:dyDescent="0.25">
      <c r="A789" t="s">
        <v>326</v>
      </c>
      <c r="B789">
        <v>138632</v>
      </c>
      <c r="C789" s="4">
        <v>2385.02</v>
      </c>
      <c r="D789" s="5">
        <v>44571</v>
      </c>
      <c r="E789" t="str">
        <f>"87187"</f>
        <v>87187</v>
      </c>
      <c r="F789" t="str">
        <f>"TRACTOR PARTS/PCT#2"</f>
        <v>TRACTOR PARTS/PCT#2</v>
      </c>
      <c r="G789" t="str">
        <f>"TRACTOR PARTS/PCT#2"</f>
        <v>TRACTOR PARTS/PCT#2</v>
      </c>
      <c r="H789" s="4">
        <v>2385.02</v>
      </c>
    </row>
    <row r="790" spans="1:8" x14ac:dyDescent="0.25">
      <c r="A790" t="s">
        <v>327</v>
      </c>
      <c r="B790">
        <v>5709</v>
      </c>
      <c r="C790" s="4">
        <v>145</v>
      </c>
      <c r="D790" s="5">
        <v>44586</v>
      </c>
      <c r="E790" t="str">
        <f>"0000061581"</f>
        <v>0000061581</v>
      </c>
      <c r="F790" t="str">
        <f>"INV 0000061581"</f>
        <v>INV 0000061581</v>
      </c>
      <c r="G790" t="str">
        <f>"INV 0000061581"</f>
        <v>INV 0000061581</v>
      </c>
      <c r="H790" s="4">
        <v>145</v>
      </c>
    </row>
    <row r="791" spans="1:8" x14ac:dyDescent="0.25">
      <c r="A791" t="s">
        <v>328</v>
      </c>
      <c r="B791">
        <v>138832</v>
      </c>
      <c r="C791" s="4">
        <v>59.98</v>
      </c>
      <c r="D791" s="5">
        <v>44585</v>
      </c>
      <c r="E791" t="str">
        <f>"1969441"</f>
        <v>1969441</v>
      </c>
      <c r="F791" t="str">
        <f>"CUST#PK001137/PCT#4"</f>
        <v>CUST#PK001137/PCT#4</v>
      </c>
      <c r="G791" t="str">
        <f>"CUST#PK001137/PCT#4"</f>
        <v>CUST#PK001137/PCT#4</v>
      </c>
      <c r="H791" s="4">
        <v>59.98</v>
      </c>
    </row>
    <row r="792" spans="1:8" x14ac:dyDescent="0.25">
      <c r="A792" t="s">
        <v>329</v>
      </c>
      <c r="B792">
        <v>138633</v>
      </c>
      <c r="C792" s="4">
        <v>658.09</v>
      </c>
      <c r="D792" s="5">
        <v>44571</v>
      </c>
      <c r="E792" t="str">
        <f>"28670278"</f>
        <v>28670278</v>
      </c>
      <c r="F792" t="str">
        <f>"INV 28670278"</f>
        <v>INV 28670278</v>
      </c>
      <c r="G792" t="str">
        <f>"INV 28670278"</f>
        <v>INV 28670278</v>
      </c>
      <c r="H792" s="4">
        <v>658.09</v>
      </c>
    </row>
    <row r="793" spans="1:8" x14ac:dyDescent="0.25">
      <c r="A793" t="s">
        <v>330</v>
      </c>
      <c r="B793">
        <v>138634</v>
      </c>
      <c r="C793" s="4">
        <v>149</v>
      </c>
      <c r="D793" s="5">
        <v>44571</v>
      </c>
      <c r="E793" t="str">
        <f>"202201048132"</f>
        <v>202201048132</v>
      </c>
      <c r="F793" t="str">
        <f>"PATHMARK TRAFFIC EQUIPMENT  LL"</f>
        <v>PATHMARK TRAFFIC EQUIPMENT  LL</v>
      </c>
      <c r="G793" t="str">
        <f>"Tape"</f>
        <v>Tape</v>
      </c>
      <c r="H793" s="4">
        <v>149</v>
      </c>
    </row>
    <row r="794" spans="1:8" x14ac:dyDescent="0.25">
      <c r="A794" t="s">
        <v>331</v>
      </c>
      <c r="B794">
        <v>5618</v>
      </c>
      <c r="C794" s="4">
        <v>6059.09</v>
      </c>
      <c r="D794" s="5">
        <v>44572</v>
      </c>
      <c r="E794" t="str">
        <f>"2008498"</f>
        <v>2008498</v>
      </c>
      <c r="F794" t="str">
        <f>"ACCT#BA-CNTY-01"</f>
        <v>ACCT#BA-CNTY-01</v>
      </c>
      <c r="G794" t="str">
        <f>"ACCT#BA-CNTY-01"</f>
        <v>ACCT#BA-CNTY-01</v>
      </c>
      <c r="H794" s="4">
        <v>1548.34</v>
      </c>
    </row>
    <row r="795" spans="1:8" x14ac:dyDescent="0.25">
      <c r="E795" t="str">
        <f>"2008499"</f>
        <v>2008499</v>
      </c>
      <c r="F795" t="str">
        <f>"ACCT#BO-CNTY-01"</f>
        <v>ACCT#BO-CNTY-01</v>
      </c>
      <c r="G795" t="str">
        <f>"ACCT#BO-CNTY-01"</f>
        <v>ACCT#BO-CNTY-01</v>
      </c>
      <c r="H795" s="4">
        <v>512.16999999999996</v>
      </c>
    </row>
    <row r="796" spans="1:8" x14ac:dyDescent="0.25">
      <c r="E796" t="str">
        <f>"2008500"</f>
        <v>2008500</v>
      </c>
      <c r="F796" t="str">
        <f>"ACCT#BA-CNTY-01"</f>
        <v>ACCT#BA-CNTY-01</v>
      </c>
      <c r="G796" t="str">
        <f>"ACCT#BA-CNTY-01"</f>
        <v>ACCT#BA-CNTY-01</v>
      </c>
      <c r="H796" s="4">
        <v>848.58</v>
      </c>
    </row>
    <row r="797" spans="1:8" x14ac:dyDescent="0.25">
      <c r="E797" t="str">
        <f>"2008504"</f>
        <v>2008504</v>
      </c>
      <c r="F797" t="str">
        <f>"ACCT#BA-CNTY-01"</f>
        <v>ACCT#BA-CNTY-01</v>
      </c>
      <c r="G797" t="str">
        <f>"ACCT#BA-CNTY-01"</f>
        <v>ACCT#BA-CNTY-01</v>
      </c>
      <c r="H797" s="4">
        <v>3150</v>
      </c>
    </row>
    <row r="798" spans="1:8" x14ac:dyDescent="0.25">
      <c r="A798" t="s">
        <v>331</v>
      </c>
      <c r="B798">
        <v>5683</v>
      </c>
      <c r="C798" s="4">
        <v>4356.58</v>
      </c>
      <c r="D798" s="5">
        <v>44586</v>
      </c>
      <c r="E798" t="str">
        <f>"2008506"</f>
        <v>2008506</v>
      </c>
      <c r="F798" t="str">
        <f>"ACCT#BA-CNTY/METER LOOPS"</f>
        <v>ACCT#BA-CNTY/METER LOOPS</v>
      </c>
      <c r="G798" t="str">
        <f>"ACCT#BA-CNTY/METER LOOPS"</f>
        <v>ACCT#BA-CNTY/METER LOOPS</v>
      </c>
      <c r="H798" s="4">
        <v>2166.9299999999998</v>
      </c>
    </row>
    <row r="799" spans="1:8" x14ac:dyDescent="0.25">
      <c r="E799" t="str">
        <f>"2008507"</f>
        <v>2008507</v>
      </c>
      <c r="F799" t="str">
        <f>"ACCT#BA-CNTY-01/CHILLER PIPE"</f>
        <v>ACCT#BA-CNTY-01/CHILLER PIPE</v>
      </c>
      <c r="G799" t="str">
        <f>"ACCT#BA-CNTY-01/CHILLER PIPE"</f>
        <v>ACCT#BA-CNTY-01/CHILLER PIPE</v>
      </c>
      <c r="H799" s="4">
        <v>1337.95</v>
      </c>
    </row>
    <row r="800" spans="1:8" x14ac:dyDescent="0.25">
      <c r="E800" t="str">
        <f>"2008508"</f>
        <v>2008508</v>
      </c>
      <c r="F800" t="str">
        <f>"ACCT#BA-CNTY-01/JUVENILE PROB"</f>
        <v>ACCT#BA-CNTY-01/JUVENILE PROB</v>
      </c>
      <c r="G800" t="str">
        <f>"ACCT#BA-CNTY-01/JUVENILE PROB"</f>
        <v>ACCT#BA-CNTY-01/JUVENILE PROB</v>
      </c>
      <c r="H800" s="4">
        <v>476.7</v>
      </c>
    </row>
    <row r="801" spans="1:8" x14ac:dyDescent="0.25">
      <c r="E801" t="str">
        <f>"2008509"</f>
        <v>2008509</v>
      </c>
      <c r="F801" t="str">
        <f>"ACCT#BA-CNTY-01/ELGIN"</f>
        <v>ACCT#BA-CNTY-01/ELGIN</v>
      </c>
      <c r="G801" t="str">
        <f>"ACCT#BA-CNTY-01/ELGIN"</f>
        <v>ACCT#BA-CNTY-01/ELGIN</v>
      </c>
      <c r="H801" s="4">
        <v>375</v>
      </c>
    </row>
    <row r="802" spans="1:8" x14ac:dyDescent="0.25">
      <c r="A802" t="s">
        <v>332</v>
      </c>
      <c r="B802">
        <v>138635</v>
      </c>
      <c r="C802" s="4">
        <v>1886.85</v>
      </c>
      <c r="D802" s="5">
        <v>44571</v>
      </c>
      <c r="E802" t="str">
        <f>"202201068193"</f>
        <v>202201068193</v>
      </c>
      <c r="F802" t="str">
        <f>"ACCT#0200140783/ANIMAL SHELTER"</f>
        <v>ACCT#0200140783/ANIMAL SHELTER</v>
      </c>
      <c r="G802" t="str">
        <f>"ACCT#0200140783/ANIMAL SHELTER"</f>
        <v>ACCT#0200140783/ANIMAL SHELTER</v>
      </c>
      <c r="H802" s="4">
        <v>935.69</v>
      </c>
    </row>
    <row r="803" spans="1:8" x14ac:dyDescent="0.25">
      <c r="E803" t="str">
        <f>""</f>
        <v/>
      </c>
      <c r="F803" t="str">
        <f>""</f>
        <v/>
      </c>
      <c r="G803" t="str">
        <f>"ACCT#0200140783/ANIMAL SHELTER"</f>
        <v>ACCT#0200140783/ANIMAL SHELTER</v>
      </c>
      <c r="H803" s="4">
        <v>840.7</v>
      </c>
    </row>
    <row r="804" spans="1:8" x14ac:dyDescent="0.25">
      <c r="E804" t="str">
        <f>""</f>
        <v/>
      </c>
      <c r="F804" t="str">
        <f>""</f>
        <v/>
      </c>
      <c r="G804" t="str">
        <f>"ACCT#0200140783/ANIMAL SHELTER"</f>
        <v>ACCT#0200140783/ANIMAL SHELTER</v>
      </c>
      <c r="H804" s="4">
        <v>110.46</v>
      </c>
    </row>
    <row r="805" spans="1:8" x14ac:dyDescent="0.25">
      <c r="A805" t="s">
        <v>333</v>
      </c>
      <c r="B805">
        <v>5679</v>
      </c>
      <c r="C805" s="4">
        <v>1261</v>
      </c>
      <c r="D805" s="5">
        <v>44586</v>
      </c>
      <c r="E805" t="str">
        <f>"202201198497"</f>
        <v>202201198497</v>
      </c>
      <c r="F805" t="str">
        <f>"TRASH REMOVAL/PAUL GRANADO"</f>
        <v>TRASH REMOVAL/PAUL GRANADO</v>
      </c>
      <c r="G805" t="str">
        <f>"TRASH REMOVAL/PAUL GRANADO"</f>
        <v>TRASH REMOVAL/PAUL GRANADO</v>
      </c>
      <c r="H805" s="4">
        <v>312</v>
      </c>
    </row>
    <row r="806" spans="1:8" x14ac:dyDescent="0.25">
      <c r="E806" t="str">
        <f>"202201198498"</f>
        <v>202201198498</v>
      </c>
      <c r="F806" t="str">
        <f>"TRASH REMOVAL/PAUL GRANADO"</f>
        <v>TRASH REMOVAL/PAUL GRANADO</v>
      </c>
      <c r="G806" t="str">
        <f>"TRASH REMOVAL/PAUL GRANADO"</f>
        <v>TRASH REMOVAL/PAUL GRANADO</v>
      </c>
      <c r="H806" s="4">
        <v>949</v>
      </c>
    </row>
    <row r="807" spans="1:8" x14ac:dyDescent="0.25">
      <c r="A807" t="s">
        <v>334</v>
      </c>
      <c r="B807">
        <v>138833</v>
      </c>
      <c r="C807" s="4">
        <v>33456.58</v>
      </c>
      <c r="D807" s="5">
        <v>44585</v>
      </c>
      <c r="E807" t="str">
        <f>"IVC00063388"</f>
        <v>IVC00063388</v>
      </c>
      <c r="F807" t="str">
        <f>"PROFESSIONAL SVCS/JP#1"</f>
        <v>PROFESSIONAL SVCS/JP#1</v>
      </c>
      <c r="G807" t="str">
        <f>"PROFESSIONAL SVCS/JP#1"</f>
        <v>PROFESSIONAL SVCS/JP#1</v>
      </c>
      <c r="H807" s="4">
        <v>7984.69</v>
      </c>
    </row>
    <row r="808" spans="1:8" x14ac:dyDescent="0.25">
      <c r="E808" t="str">
        <f>"IVC00063389"</f>
        <v>IVC00063389</v>
      </c>
      <c r="F808" t="str">
        <f>"PROFESSIONAL SVCS/JP#2"</f>
        <v>PROFESSIONAL SVCS/JP#2</v>
      </c>
      <c r="G808" t="str">
        <f>"PROFESSIONAL SVCS/JP#2"</f>
        <v>PROFESSIONAL SVCS/JP#2</v>
      </c>
      <c r="H808" s="4">
        <v>12089.14</v>
      </c>
    </row>
    <row r="809" spans="1:8" x14ac:dyDescent="0.25">
      <c r="E809" t="str">
        <f>"IVC00063390"</f>
        <v>IVC00063390</v>
      </c>
      <c r="F809" t="str">
        <f>"PROFESSIONAL SVCS/JP#3"</f>
        <v>PROFESSIONAL SVCS/JP#3</v>
      </c>
      <c r="G809" t="str">
        <f>"PROFESSIONAL SVCS/JP#3"</f>
        <v>PROFESSIONAL SVCS/JP#3</v>
      </c>
      <c r="H809" s="4">
        <v>6336.6</v>
      </c>
    </row>
    <row r="810" spans="1:8" x14ac:dyDescent="0.25">
      <c r="E810" t="str">
        <f>"IVC00063391"</f>
        <v>IVC00063391</v>
      </c>
      <c r="F810" t="str">
        <f>"PROFESSIONAL SVCS/JP#4"</f>
        <v>PROFESSIONAL SVCS/JP#4</v>
      </c>
      <c r="G810" t="str">
        <f>"PROFESSIONAL SVCS/JP#4"</f>
        <v>PROFESSIONAL SVCS/JP#4</v>
      </c>
      <c r="H810" s="4">
        <v>7046.15</v>
      </c>
    </row>
    <row r="811" spans="1:8" x14ac:dyDescent="0.25">
      <c r="A811" t="s">
        <v>335</v>
      </c>
      <c r="B811">
        <v>138834</v>
      </c>
      <c r="C811" s="4">
        <v>162.36000000000001</v>
      </c>
      <c r="D811" s="5">
        <v>44585</v>
      </c>
      <c r="E811" t="str">
        <f>"336320"</f>
        <v>336320</v>
      </c>
      <c r="F811" t="str">
        <f>"ACCT#336320/PCT#3"</f>
        <v>ACCT#336320/PCT#3</v>
      </c>
      <c r="G811" t="str">
        <f>"ACCT#336320/PCT#3"</f>
        <v>ACCT#336320/PCT#3</v>
      </c>
      <c r="H811" s="4">
        <v>162.36000000000001</v>
      </c>
    </row>
    <row r="812" spans="1:8" x14ac:dyDescent="0.25">
      <c r="A812" t="s">
        <v>336</v>
      </c>
      <c r="B812">
        <v>5650</v>
      </c>
      <c r="C812" s="4">
        <v>250</v>
      </c>
      <c r="D812" s="5">
        <v>44572</v>
      </c>
      <c r="E812" t="str">
        <f>"202201048026"</f>
        <v>202201048026</v>
      </c>
      <c r="F812" t="str">
        <f>"57-937"</f>
        <v>57-937</v>
      </c>
      <c r="G812" t="str">
        <f>"57-937"</f>
        <v>57-937</v>
      </c>
      <c r="H812" s="4">
        <v>250</v>
      </c>
    </row>
    <row r="813" spans="1:8" x14ac:dyDescent="0.25">
      <c r="A813" t="s">
        <v>336</v>
      </c>
      <c r="B813">
        <v>5724</v>
      </c>
      <c r="C813" s="4">
        <v>1681.25</v>
      </c>
      <c r="D813" s="5">
        <v>44586</v>
      </c>
      <c r="E813" t="str">
        <f>"202201138337"</f>
        <v>202201138337</v>
      </c>
      <c r="F813" t="str">
        <f>"57-895"</f>
        <v>57-895</v>
      </c>
      <c r="G813" t="str">
        <f>"57-895"</f>
        <v>57-895</v>
      </c>
      <c r="H813" s="4">
        <v>250</v>
      </c>
    </row>
    <row r="814" spans="1:8" x14ac:dyDescent="0.25">
      <c r="E814" t="str">
        <f>"202201138338"</f>
        <v>202201138338</v>
      </c>
      <c r="F814" t="str">
        <f>"57-938"</f>
        <v>57-938</v>
      </c>
      <c r="G814" t="str">
        <f>"57-938"</f>
        <v>57-938</v>
      </c>
      <c r="H814" s="4">
        <v>250</v>
      </c>
    </row>
    <row r="815" spans="1:8" x14ac:dyDescent="0.25">
      <c r="E815" t="str">
        <f>"202201188459"</f>
        <v>202201188459</v>
      </c>
      <c r="F815" t="str">
        <f>"20-20215"</f>
        <v>20-20215</v>
      </c>
      <c r="G815" t="str">
        <f>"20-20215"</f>
        <v>20-20215</v>
      </c>
      <c r="H815" s="4">
        <v>718.75</v>
      </c>
    </row>
    <row r="816" spans="1:8" x14ac:dyDescent="0.25">
      <c r="E816" t="str">
        <f>"202201188460"</f>
        <v>202201188460</v>
      </c>
      <c r="F816" t="str">
        <f>"21-20840"</f>
        <v>21-20840</v>
      </c>
      <c r="G816" t="str">
        <f>"21-20840"</f>
        <v>21-20840</v>
      </c>
      <c r="H816" s="4">
        <v>462.5</v>
      </c>
    </row>
    <row r="817" spans="1:8" x14ac:dyDescent="0.25">
      <c r="A817" t="s">
        <v>337</v>
      </c>
      <c r="B817">
        <v>5723</v>
      </c>
      <c r="C817" s="4">
        <v>1631.01</v>
      </c>
      <c r="D817" s="5">
        <v>44586</v>
      </c>
      <c r="E817" t="str">
        <f>"3314951322"</f>
        <v>3314951322</v>
      </c>
      <c r="F817" t="str">
        <f>"ACCT#0011198047/TAX OFFICE"</f>
        <v>ACCT#0011198047/TAX OFFICE</v>
      </c>
      <c r="G817" t="str">
        <f>"ACCT#0011198047/TAX OFFICE"</f>
        <v>ACCT#0011198047/TAX OFFICE</v>
      </c>
      <c r="H817" s="4">
        <v>1631.01</v>
      </c>
    </row>
    <row r="818" spans="1:8" x14ac:dyDescent="0.25">
      <c r="A818" t="s">
        <v>338</v>
      </c>
      <c r="B818">
        <v>5686</v>
      </c>
      <c r="C818" s="4">
        <v>4818.75</v>
      </c>
      <c r="D818" s="5">
        <v>44586</v>
      </c>
      <c r="E818" t="str">
        <f>"202201138324"</f>
        <v>202201138324</v>
      </c>
      <c r="F818" t="str">
        <f>"57864"</f>
        <v>57864</v>
      </c>
      <c r="G818" t="str">
        <f>"57864"</f>
        <v>57864</v>
      </c>
      <c r="H818" s="4">
        <v>250</v>
      </c>
    </row>
    <row r="819" spans="1:8" x14ac:dyDescent="0.25">
      <c r="E819" t="str">
        <f>"202201138325"</f>
        <v>202201138325</v>
      </c>
      <c r="F819" t="str">
        <f>"20-20056"</f>
        <v>20-20056</v>
      </c>
      <c r="G819" t="str">
        <f>"20-20056"</f>
        <v>20-20056</v>
      </c>
      <c r="H819" s="4">
        <v>4568.75</v>
      </c>
    </row>
    <row r="820" spans="1:8" x14ac:dyDescent="0.25">
      <c r="A820" t="s">
        <v>339</v>
      </c>
      <c r="B820">
        <v>5698</v>
      </c>
      <c r="C820" s="4">
        <v>157.88</v>
      </c>
      <c r="D820" s="5">
        <v>44586</v>
      </c>
      <c r="E820" t="str">
        <f>"202201198503"</f>
        <v>202201198503</v>
      </c>
      <c r="F820" t="str">
        <f>"ACCT#5/PCT#4"</f>
        <v>ACCT#5/PCT#4</v>
      </c>
      <c r="G820" t="str">
        <f>"ACCT#5/PCT#4"</f>
        <v>ACCT#5/PCT#4</v>
      </c>
      <c r="H820" s="4">
        <v>157.88</v>
      </c>
    </row>
    <row r="821" spans="1:8" x14ac:dyDescent="0.25">
      <c r="A821" t="s">
        <v>340</v>
      </c>
      <c r="B821">
        <v>138835</v>
      </c>
      <c r="C821" s="4">
        <v>1415</v>
      </c>
      <c r="D821" s="5">
        <v>44585</v>
      </c>
      <c r="E821" t="str">
        <f>"200019364"</f>
        <v>200019364</v>
      </c>
      <c r="F821" t="str">
        <f>"TRAVEL EXPO 2022"</f>
        <v>TRAVEL EXPO 2022</v>
      </c>
      <c r="G821" t="str">
        <f>"TRAVEL EXPO 2022"</f>
        <v>TRAVEL EXPO 2022</v>
      </c>
      <c r="H821" s="4">
        <v>540</v>
      </c>
    </row>
    <row r="822" spans="1:8" x14ac:dyDescent="0.25">
      <c r="E822" t="str">
        <f>"200019365"</f>
        <v>200019365</v>
      </c>
      <c r="F822" t="str">
        <f>"TTC/FRAN HUNTER"</f>
        <v>TTC/FRAN HUNTER</v>
      </c>
      <c r="G822" t="str">
        <f>"TTC/FRAN HUNTER"</f>
        <v>TTC/FRAN HUNTER</v>
      </c>
      <c r="H822" s="4">
        <v>875</v>
      </c>
    </row>
    <row r="823" spans="1:8" x14ac:dyDescent="0.25">
      <c r="A823" t="s">
        <v>341</v>
      </c>
      <c r="B823">
        <v>138636</v>
      </c>
      <c r="C823" s="4">
        <v>625</v>
      </c>
      <c r="D823" s="5">
        <v>44571</v>
      </c>
      <c r="E823" t="str">
        <f>"179164"</f>
        <v>179164</v>
      </c>
      <c r="F823" t="str">
        <f>"WO#117416/PCT#1"</f>
        <v>WO#117416/PCT#1</v>
      </c>
      <c r="G823" t="str">
        <f>"WO#117416/PCT#1"</f>
        <v>WO#117416/PCT#1</v>
      </c>
      <c r="H823" s="4">
        <v>375</v>
      </c>
    </row>
    <row r="824" spans="1:8" x14ac:dyDescent="0.25">
      <c r="E824" t="str">
        <f>"179165"</f>
        <v>179165</v>
      </c>
      <c r="F824" t="str">
        <f>"WO#117417/PCT#1"</f>
        <v>WO#117417/PCT#1</v>
      </c>
      <c r="G824" t="str">
        <f>"WO#117417/PCT#1"</f>
        <v>WO#117417/PCT#1</v>
      </c>
      <c r="H824" s="4">
        <v>250</v>
      </c>
    </row>
    <row r="825" spans="1:8" x14ac:dyDescent="0.25">
      <c r="A825" t="s">
        <v>342</v>
      </c>
      <c r="B825">
        <v>138836</v>
      </c>
      <c r="C825" s="4">
        <v>100</v>
      </c>
      <c r="D825" s="5">
        <v>44585</v>
      </c>
      <c r="E825" t="str">
        <f>"16-181/12/1/21"</f>
        <v>16-181/12/1/21</v>
      </c>
      <c r="F825" t="str">
        <f>"RESTITUTION-COY FERRIS"</f>
        <v>RESTITUTION-COY FERRIS</v>
      </c>
      <c r="G825" t="str">
        <f>"RESTITUTION-COY FERRIS"</f>
        <v>RESTITUTION-COY FERRIS</v>
      </c>
      <c r="H825" s="4">
        <v>100</v>
      </c>
    </row>
    <row r="826" spans="1:8" x14ac:dyDescent="0.25">
      <c r="A826" t="s">
        <v>343</v>
      </c>
      <c r="B826">
        <v>138637</v>
      </c>
      <c r="C826" s="4">
        <v>1385</v>
      </c>
      <c r="D826" s="5">
        <v>44571</v>
      </c>
      <c r="E826" t="str">
        <f>"202201058164"</f>
        <v>202201058164</v>
      </c>
      <c r="F826" t="str">
        <f>"TRANSPORT/M.MORENO"</f>
        <v>TRANSPORT/M.MORENO</v>
      </c>
      <c r="G826" t="str">
        <f>"TRANSPORT/M.MORENO"</f>
        <v>TRANSPORT/M.MORENO</v>
      </c>
      <c r="H826" s="4">
        <v>395</v>
      </c>
    </row>
    <row r="827" spans="1:8" x14ac:dyDescent="0.25">
      <c r="E827" t="str">
        <f>"202201058188"</f>
        <v>202201058188</v>
      </c>
      <c r="F827" t="str">
        <f>"TRANSPORT/L.CEBALLOS"</f>
        <v>TRANSPORT/L.CEBALLOS</v>
      </c>
      <c r="G827" t="str">
        <f>"TRANSPORT/L.CEBALLOS"</f>
        <v>TRANSPORT/L.CEBALLOS</v>
      </c>
      <c r="H827" s="4">
        <v>595</v>
      </c>
    </row>
    <row r="828" spans="1:8" x14ac:dyDescent="0.25">
      <c r="E828" t="str">
        <f>"202201058189"</f>
        <v>202201058189</v>
      </c>
      <c r="F828" t="str">
        <f>"TRANSPORT/J.CAZARES"</f>
        <v>TRANSPORT/J.CAZARES</v>
      </c>
      <c r="G828" t="str">
        <f>"TRANSPORT/J.CAZARES"</f>
        <v>TRANSPORT/J.CAZARES</v>
      </c>
      <c r="H828" s="4">
        <v>395</v>
      </c>
    </row>
    <row r="829" spans="1:8" x14ac:dyDescent="0.25">
      <c r="A829" t="s">
        <v>344</v>
      </c>
      <c r="B829">
        <v>5726</v>
      </c>
      <c r="C829" s="4">
        <v>1135</v>
      </c>
      <c r="D829" s="5">
        <v>44586</v>
      </c>
      <c r="E829" t="str">
        <f>"213107"</f>
        <v>213107</v>
      </c>
      <c r="F829" t="str">
        <f>"INV 213107"</f>
        <v>INV 213107</v>
      </c>
      <c r="G829" t="str">
        <f>"INV 213107"</f>
        <v>INV 213107</v>
      </c>
      <c r="H829" s="4">
        <v>1135</v>
      </c>
    </row>
    <row r="830" spans="1:8" x14ac:dyDescent="0.25">
      <c r="A830" t="s">
        <v>345</v>
      </c>
      <c r="B830">
        <v>138638</v>
      </c>
      <c r="C830" s="4">
        <v>3081</v>
      </c>
      <c r="D830" s="5">
        <v>44571</v>
      </c>
      <c r="E830" t="str">
        <f>"215277"</f>
        <v>215277</v>
      </c>
      <c r="F830" t="str">
        <f>"INV 215277"</f>
        <v>INV 215277</v>
      </c>
      <c r="G830" t="str">
        <f>"INV 215277"</f>
        <v>INV 215277</v>
      </c>
      <c r="H830" s="4">
        <v>3081</v>
      </c>
    </row>
    <row r="831" spans="1:8" x14ac:dyDescent="0.25">
      <c r="A831" t="s">
        <v>346</v>
      </c>
      <c r="B831">
        <v>5673</v>
      </c>
      <c r="C831" s="4">
        <v>128.93</v>
      </c>
      <c r="D831" s="5">
        <v>44586</v>
      </c>
      <c r="E831" t="str">
        <f>"12A0121569859"</f>
        <v>12A0121569859</v>
      </c>
      <c r="F831" t="str">
        <f>"ACCT#0121569859/JP4"</f>
        <v>ACCT#0121569859/JP4</v>
      </c>
      <c r="G831" t="str">
        <f>"ACCT#0121569859/JP4"</f>
        <v>ACCT#0121569859/JP4</v>
      </c>
      <c r="H831" s="4">
        <v>15</v>
      </c>
    </row>
    <row r="832" spans="1:8" x14ac:dyDescent="0.25">
      <c r="E832" t="str">
        <f>"12A0121587851"</f>
        <v>12A0121587851</v>
      </c>
      <c r="F832" t="str">
        <f>"ACCT#0121587851/PCT#4"</f>
        <v>ACCT#0121587851/PCT#4</v>
      </c>
      <c r="G832" t="str">
        <f>"ACCT#0121587851/PCT#4"</f>
        <v>ACCT#0121587851/PCT#4</v>
      </c>
      <c r="H832" s="4">
        <v>113.93</v>
      </c>
    </row>
    <row r="833" spans="1:8" x14ac:dyDescent="0.25">
      <c r="A833" t="s">
        <v>347</v>
      </c>
      <c r="B833">
        <v>138639</v>
      </c>
      <c r="C833" s="4">
        <v>200</v>
      </c>
      <c r="D833" s="5">
        <v>44571</v>
      </c>
      <c r="E833" t="str">
        <f>"202201047987"</f>
        <v>202201047987</v>
      </c>
      <c r="F833" t="str">
        <f>"CLEANING/REBECCA WEATHERLY"</f>
        <v>CLEANING/REBECCA WEATHERLY</v>
      </c>
      <c r="G833" t="str">
        <f>"CLEANING/REBECCA WEATHERLY"</f>
        <v>CLEANING/REBECCA WEATHERLY</v>
      </c>
      <c r="H833" s="4">
        <v>200</v>
      </c>
    </row>
    <row r="834" spans="1:8" x14ac:dyDescent="0.25">
      <c r="A834" t="s">
        <v>347</v>
      </c>
      <c r="B834">
        <v>138837</v>
      </c>
      <c r="C834" s="4">
        <v>200</v>
      </c>
      <c r="D834" s="5">
        <v>44585</v>
      </c>
      <c r="E834" t="str">
        <f>"202201138443"</f>
        <v>202201138443</v>
      </c>
      <c r="F834" t="str">
        <f>"CLEANING/REBECA WEATHERLY"</f>
        <v>CLEANING/REBECA WEATHERLY</v>
      </c>
      <c r="G834" t="str">
        <f>"CLEANING/REBECA WEATHERLY"</f>
        <v>CLEANING/REBECA WEATHERLY</v>
      </c>
      <c r="H834" s="4">
        <v>200</v>
      </c>
    </row>
    <row r="835" spans="1:8" x14ac:dyDescent="0.25">
      <c r="A835" t="s">
        <v>348</v>
      </c>
      <c r="B835">
        <v>5633</v>
      </c>
      <c r="C835" s="4">
        <v>3000</v>
      </c>
      <c r="D835" s="5">
        <v>44572</v>
      </c>
      <c r="E835" t="str">
        <f>"102"</f>
        <v>102</v>
      </c>
      <c r="F835" t="str">
        <f>"SPAY/NEUTER SERVICE"</f>
        <v>SPAY/NEUTER SERVICE</v>
      </c>
      <c r="G835" t="str">
        <f>"SPAY/NEUTER SERVICE"</f>
        <v>SPAY/NEUTER SERVICE</v>
      </c>
      <c r="H835" s="4">
        <v>2000</v>
      </c>
    </row>
    <row r="836" spans="1:8" x14ac:dyDescent="0.25">
      <c r="E836" t="str">
        <f>"104"</f>
        <v>104</v>
      </c>
      <c r="F836" t="str">
        <f>"SPAY/NEUTER SERVICE"</f>
        <v>SPAY/NEUTER SERVICE</v>
      </c>
      <c r="G836" t="str">
        <f>"SPAY/NEUTER SERVICE"</f>
        <v>SPAY/NEUTER SERVICE</v>
      </c>
      <c r="H836" s="4">
        <v>1000</v>
      </c>
    </row>
    <row r="837" spans="1:8" x14ac:dyDescent="0.25">
      <c r="A837" t="s">
        <v>348</v>
      </c>
      <c r="B837">
        <v>5702</v>
      </c>
      <c r="C837" s="4">
        <v>2000</v>
      </c>
      <c r="D837" s="5">
        <v>44586</v>
      </c>
      <c r="E837" t="str">
        <f>"200"</f>
        <v>200</v>
      </c>
      <c r="F837" t="str">
        <f>"SPAY/NEUTER JAN 2022"</f>
        <v>SPAY/NEUTER JAN 2022</v>
      </c>
      <c r="G837" t="str">
        <f>"SPAY/NEUTER JAN 2022"</f>
        <v>SPAY/NEUTER JAN 2022</v>
      </c>
      <c r="H837" s="4">
        <v>2000</v>
      </c>
    </row>
    <row r="838" spans="1:8" x14ac:dyDescent="0.25">
      <c r="A838" t="s">
        <v>349</v>
      </c>
      <c r="B838">
        <v>138838</v>
      </c>
      <c r="C838" s="4">
        <v>373.57</v>
      </c>
      <c r="D838" s="5">
        <v>44585</v>
      </c>
      <c r="E838" t="str">
        <f>"202201188457"</f>
        <v>202201188457</v>
      </c>
      <c r="F838" t="str">
        <f>"CUST#19610"</f>
        <v>CUST#19610</v>
      </c>
      <c r="G838" t="str">
        <f>"CUST#19610"</f>
        <v>CUST#19610</v>
      </c>
      <c r="H838" s="4">
        <v>128.79</v>
      </c>
    </row>
    <row r="839" spans="1:8" x14ac:dyDescent="0.25">
      <c r="E839" t="str">
        <f>""</f>
        <v/>
      </c>
      <c r="F839" t="str">
        <f>""</f>
        <v/>
      </c>
      <c r="G839" t="str">
        <f>"CUST#19610"</f>
        <v>CUST#19610</v>
      </c>
      <c r="H839" s="4">
        <v>244.78</v>
      </c>
    </row>
    <row r="840" spans="1:8" x14ac:dyDescent="0.25">
      <c r="A840" t="s">
        <v>350</v>
      </c>
      <c r="B840">
        <v>138569</v>
      </c>
      <c r="C840" s="4">
        <v>1388.54</v>
      </c>
      <c r="D840" s="5">
        <v>44568</v>
      </c>
      <c r="E840" t="str">
        <f>"303 003 134 976 8"</f>
        <v>303 003 134 976 8</v>
      </c>
      <c r="F840" t="str">
        <f>"ACCT#15 069 451-1 / 12302021"</f>
        <v>ACCT#15 069 451-1 / 12302021</v>
      </c>
      <c r="G840" t="str">
        <f>"NRG ENERGY INC"</f>
        <v>NRG ENERGY INC</v>
      </c>
      <c r="H840" s="4">
        <v>389.92</v>
      </c>
    </row>
    <row r="841" spans="1:8" x14ac:dyDescent="0.25">
      <c r="E841" t="str">
        <f>"305 001 044 635 1"</f>
        <v>305 001 044 635 1</v>
      </c>
      <c r="F841" t="str">
        <f>"ACCT#15 070 712-3 / 12302021"</f>
        <v>ACCT#15 070 712-3 / 12302021</v>
      </c>
      <c r="G841" t="str">
        <f>"NRG ENERGY INC"</f>
        <v>NRG ENERGY INC</v>
      </c>
      <c r="H841" s="4">
        <v>18.47</v>
      </c>
    </row>
    <row r="842" spans="1:8" x14ac:dyDescent="0.25">
      <c r="E842" t="str">
        <f>"305 001 044 636 9"</f>
        <v>305 001 044 636 9</v>
      </c>
      <c r="F842" t="str">
        <f>"ACCT#15 070 713-1 / 12302021"</f>
        <v>ACCT#15 070 713-1 / 12302021</v>
      </c>
      <c r="G842" t="str">
        <f>"NRG ENERGY INC"</f>
        <v>NRG ENERGY INC</v>
      </c>
      <c r="H842" s="4">
        <v>22.38</v>
      </c>
    </row>
    <row r="843" spans="1:8" x14ac:dyDescent="0.25">
      <c r="E843" t="str">
        <f>"305 001 044 637 7"</f>
        <v>305 001 044 637 7</v>
      </c>
      <c r="F843" t="str">
        <f>"ACCT#15 072 199-1 / 12302021"</f>
        <v>ACCT#15 072 199-1 / 12302021</v>
      </c>
      <c r="G843" t="str">
        <f>"NRG ENERGY INC"</f>
        <v>NRG ENERGY INC</v>
      </c>
      <c r="H843" s="4">
        <v>108.46</v>
      </c>
    </row>
    <row r="844" spans="1:8" x14ac:dyDescent="0.25">
      <c r="E844" t="str">
        <f>"305 001 044 638 5"</f>
        <v>305 001 044 638 5</v>
      </c>
      <c r="F844" t="str">
        <f>"ACCT#15 072 200-7 / 12302021"</f>
        <v>ACCT#15 072 200-7 / 12302021</v>
      </c>
      <c r="G844" t="str">
        <f>"NRG ENERGY INC"</f>
        <v>NRG ENERGY INC</v>
      </c>
      <c r="H844" s="4">
        <v>233.11</v>
      </c>
    </row>
    <row r="845" spans="1:8" x14ac:dyDescent="0.25">
      <c r="E845" t="str">
        <f>"305 001 044 639 3"</f>
        <v>305 001 044 639 3</v>
      </c>
      <c r="F845" t="str">
        <f>"ACCT#15 072 201-5 / 12302021"</f>
        <v>ACCT#15 072 201-5 / 12302021</v>
      </c>
      <c r="G845" t="str">
        <f>"ACCT#15 072 201-5 / 12302021"</f>
        <v>ACCT#15 072 201-5 / 12302021</v>
      </c>
      <c r="H845" s="4">
        <v>315.86</v>
      </c>
    </row>
    <row r="846" spans="1:8" x14ac:dyDescent="0.25">
      <c r="E846" t="str">
        <f>"305 001 044 640 1"</f>
        <v>305 001 044 640 1</v>
      </c>
      <c r="F846" t="str">
        <f>"ACCT#15 072 202-3 / 12302021"</f>
        <v>ACCT#15 072 202-3 / 12302021</v>
      </c>
      <c r="G846" t="str">
        <f>"ACCT#15 072 202-3 / 12302021"</f>
        <v>ACCT#15 072 202-3 / 12302021</v>
      </c>
      <c r="H846" s="4">
        <v>26.82</v>
      </c>
    </row>
    <row r="847" spans="1:8" x14ac:dyDescent="0.25">
      <c r="E847" t="str">
        <f>"305 001 044 641 9"</f>
        <v>305 001 044 641 9</v>
      </c>
      <c r="F847" t="str">
        <f>"ACCT#15 072 203-1 / 12302021"</f>
        <v>ACCT#15 072 203-1 / 12302021</v>
      </c>
      <c r="G847" t="str">
        <f>"NRG ENERGY INC"</f>
        <v>NRG ENERGY INC</v>
      </c>
      <c r="H847" s="4">
        <v>13.85</v>
      </c>
    </row>
    <row r="848" spans="1:8" x14ac:dyDescent="0.25">
      <c r="E848" t="str">
        <f>"305 001 044 642 7"</f>
        <v>305 001 044 642 7</v>
      </c>
      <c r="F848" t="str">
        <f>"ACCT#15 072 204-9 / 12302021"</f>
        <v>ACCT#15 072 204-9 / 12302021</v>
      </c>
      <c r="G848" t="str">
        <f>"ACCT#15 072 204-9 / 12302021"</f>
        <v>ACCT#15 072 204-9 / 12302021</v>
      </c>
      <c r="H848" s="4">
        <v>259.67</v>
      </c>
    </row>
    <row r="849" spans="1:8" x14ac:dyDescent="0.25">
      <c r="A849" t="s">
        <v>351</v>
      </c>
      <c r="B849">
        <v>5628</v>
      </c>
      <c r="C849" s="4">
        <v>2968.19</v>
      </c>
      <c r="D849" s="5">
        <v>44572</v>
      </c>
      <c r="E849" t="str">
        <f>"20081"</f>
        <v>20081</v>
      </c>
      <c r="F849" t="str">
        <f>"PETERBUILT/PCT#4"</f>
        <v>PETERBUILT/PCT#4</v>
      </c>
      <c r="G849" t="str">
        <f>"PETERBUILT/PCT#4"</f>
        <v>PETERBUILT/PCT#4</v>
      </c>
      <c r="H849" s="4">
        <v>2968.19</v>
      </c>
    </row>
    <row r="850" spans="1:8" x14ac:dyDescent="0.25">
      <c r="A850" t="s">
        <v>352</v>
      </c>
      <c r="B850">
        <v>138839</v>
      </c>
      <c r="C850" s="4">
        <v>9000</v>
      </c>
      <c r="D850" s="5">
        <v>44585</v>
      </c>
      <c r="E850" t="str">
        <f>"202201138301"</f>
        <v>202201138301</v>
      </c>
      <c r="F850" t="str">
        <f>"ACCT#34549337"</f>
        <v>ACCT#34549337</v>
      </c>
      <c r="G850" t="str">
        <f>"ACCT#34549337"</f>
        <v>ACCT#34549337</v>
      </c>
      <c r="H850" s="4">
        <v>9000</v>
      </c>
    </row>
    <row r="851" spans="1:8" x14ac:dyDescent="0.25">
      <c r="A851" t="s">
        <v>353</v>
      </c>
      <c r="B851">
        <v>138840</v>
      </c>
      <c r="C851" s="4">
        <v>9315.17</v>
      </c>
      <c r="D851" s="5">
        <v>44585</v>
      </c>
      <c r="E851" t="str">
        <f>"39155941"</f>
        <v>39155941</v>
      </c>
      <c r="F851" t="str">
        <f>"CUST#2000172616"</f>
        <v>CUST#2000172616</v>
      </c>
      <c r="G851" t="str">
        <f t="shared" ref="G851:G882" si="18">"CUST#2000172616"</f>
        <v>CUST#2000172616</v>
      </c>
      <c r="H851" s="4">
        <v>249.26</v>
      </c>
    </row>
    <row r="852" spans="1:8" x14ac:dyDescent="0.25">
      <c r="E852" t="str">
        <f>""</f>
        <v/>
      </c>
      <c r="F852" t="str">
        <f>""</f>
        <v/>
      </c>
      <c r="G852" t="str">
        <f t="shared" si="18"/>
        <v>CUST#2000172616</v>
      </c>
      <c r="H852" s="4">
        <v>174.17</v>
      </c>
    </row>
    <row r="853" spans="1:8" x14ac:dyDescent="0.25">
      <c r="E853" t="str">
        <f>""</f>
        <v/>
      </c>
      <c r="F853" t="str">
        <f>""</f>
        <v/>
      </c>
      <c r="G853" t="str">
        <f t="shared" si="18"/>
        <v>CUST#2000172616</v>
      </c>
      <c r="H853" s="4">
        <v>95.11</v>
      </c>
    </row>
    <row r="854" spans="1:8" x14ac:dyDescent="0.25">
      <c r="E854" t="str">
        <f>""</f>
        <v/>
      </c>
      <c r="F854" t="str">
        <f>""</f>
        <v/>
      </c>
      <c r="G854" t="str">
        <f t="shared" si="18"/>
        <v>CUST#2000172616</v>
      </c>
      <c r="H854" s="4">
        <v>101.5</v>
      </c>
    </row>
    <row r="855" spans="1:8" x14ac:dyDescent="0.25">
      <c r="E855" t="str">
        <f>""</f>
        <v/>
      </c>
      <c r="F855" t="str">
        <f>""</f>
        <v/>
      </c>
      <c r="G855" t="str">
        <f t="shared" si="18"/>
        <v>CUST#2000172616</v>
      </c>
      <c r="H855" s="4">
        <v>249.26</v>
      </c>
    </row>
    <row r="856" spans="1:8" x14ac:dyDescent="0.25">
      <c r="E856" t="str">
        <f>""</f>
        <v/>
      </c>
      <c r="F856" t="str">
        <f>""</f>
        <v/>
      </c>
      <c r="G856" t="str">
        <f t="shared" si="18"/>
        <v>CUST#2000172616</v>
      </c>
      <c r="H856" s="4">
        <v>95.1</v>
      </c>
    </row>
    <row r="857" spans="1:8" x14ac:dyDescent="0.25">
      <c r="E857" t="str">
        <f>""</f>
        <v/>
      </c>
      <c r="F857" t="str">
        <f>""</f>
        <v/>
      </c>
      <c r="G857" t="str">
        <f t="shared" si="18"/>
        <v>CUST#2000172616</v>
      </c>
      <c r="H857" s="4">
        <v>303.86</v>
      </c>
    </row>
    <row r="858" spans="1:8" x14ac:dyDescent="0.25">
      <c r="E858" t="str">
        <f>""</f>
        <v/>
      </c>
      <c r="F858" t="str">
        <f>""</f>
        <v/>
      </c>
      <c r="G858" t="str">
        <f t="shared" si="18"/>
        <v>CUST#2000172616</v>
      </c>
      <c r="H858" s="4">
        <v>543.30999999999995</v>
      </c>
    </row>
    <row r="859" spans="1:8" x14ac:dyDescent="0.25">
      <c r="E859" t="str">
        <f>""</f>
        <v/>
      </c>
      <c r="F859" t="str">
        <f>""</f>
        <v/>
      </c>
      <c r="G859" t="str">
        <f t="shared" si="18"/>
        <v>CUST#2000172616</v>
      </c>
      <c r="H859" s="4">
        <v>249.26</v>
      </c>
    </row>
    <row r="860" spans="1:8" x14ac:dyDescent="0.25">
      <c r="E860" t="str">
        <f>""</f>
        <v/>
      </c>
      <c r="F860" t="str">
        <f>""</f>
        <v/>
      </c>
      <c r="G860" t="str">
        <f t="shared" si="18"/>
        <v>CUST#2000172616</v>
      </c>
      <c r="H860" s="4">
        <v>201</v>
      </c>
    </row>
    <row r="861" spans="1:8" x14ac:dyDescent="0.25">
      <c r="E861" t="str">
        <f>""</f>
        <v/>
      </c>
      <c r="F861" t="str">
        <f>""</f>
        <v/>
      </c>
      <c r="G861" t="str">
        <f t="shared" si="18"/>
        <v>CUST#2000172616</v>
      </c>
      <c r="H861" s="4">
        <v>80.28</v>
      </c>
    </row>
    <row r="862" spans="1:8" x14ac:dyDescent="0.25">
      <c r="E862" t="str">
        <f>""</f>
        <v/>
      </c>
      <c r="F862" t="str">
        <f>""</f>
        <v/>
      </c>
      <c r="G862" t="str">
        <f t="shared" si="18"/>
        <v>CUST#2000172616</v>
      </c>
      <c r="H862" s="4">
        <v>220.09</v>
      </c>
    </row>
    <row r="863" spans="1:8" x14ac:dyDescent="0.25">
      <c r="E863" t="str">
        <f>""</f>
        <v/>
      </c>
      <c r="F863" t="str">
        <f>""</f>
        <v/>
      </c>
      <c r="G863" t="str">
        <f t="shared" si="18"/>
        <v>CUST#2000172616</v>
      </c>
      <c r="H863" s="4">
        <v>525.66</v>
      </c>
    </row>
    <row r="864" spans="1:8" x14ac:dyDescent="0.25">
      <c r="E864" t="str">
        <f>""</f>
        <v/>
      </c>
      <c r="F864" t="str">
        <f>""</f>
        <v/>
      </c>
      <c r="G864" t="str">
        <f t="shared" si="18"/>
        <v>CUST#2000172616</v>
      </c>
      <c r="H864" s="4">
        <v>249.26</v>
      </c>
    </row>
    <row r="865" spans="5:8" x14ac:dyDescent="0.25">
      <c r="E865" t="str">
        <f>""</f>
        <v/>
      </c>
      <c r="F865" t="str">
        <f>""</f>
        <v/>
      </c>
      <c r="G865" t="str">
        <f t="shared" si="18"/>
        <v>CUST#2000172616</v>
      </c>
      <c r="H865" s="4">
        <v>249.26</v>
      </c>
    </row>
    <row r="866" spans="5:8" x14ac:dyDescent="0.25">
      <c r="E866" t="str">
        <f>""</f>
        <v/>
      </c>
      <c r="F866" t="str">
        <f>""</f>
        <v/>
      </c>
      <c r="G866" t="str">
        <f t="shared" si="18"/>
        <v>CUST#2000172616</v>
      </c>
      <c r="H866" s="4">
        <v>119.57</v>
      </c>
    </row>
    <row r="867" spans="5:8" x14ac:dyDescent="0.25">
      <c r="E867" t="str">
        <f>""</f>
        <v/>
      </c>
      <c r="F867" t="str">
        <f>""</f>
        <v/>
      </c>
      <c r="G867" t="str">
        <f t="shared" si="18"/>
        <v>CUST#2000172616</v>
      </c>
      <c r="H867" s="4">
        <v>338.84</v>
      </c>
    </row>
    <row r="868" spans="5:8" x14ac:dyDescent="0.25">
      <c r="E868" t="str">
        <f>""</f>
        <v/>
      </c>
      <c r="F868" t="str">
        <f>""</f>
        <v/>
      </c>
      <c r="G868" t="str">
        <f t="shared" si="18"/>
        <v>CUST#2000172616</v>
      </c>
      <c r="H868" s="4">
        <v>78.540000000000006</v>
      </c>
    </row>
    <row r="869" spans="5:8" x14ac:dyDescent="0.25">
      <c r="E869" t="str">
        <f>""</f>
        <v/>
      </c>
      <c r="F869" t="str">
        <f>""</f>
        <v/>
      </c>
      <c r="G869" t="str">
        <f t="shared" si="18"/>
        <v>CUST#2000172616</v>
      </c>
      <c r="H869" s="4">
        <v>249.26</v>
      </c>
    </row>
    <row r="870" spans="5:8" x14ac:dyDescent="0.25">
      <c r="E870" t="str">
        <f>""</f>
        <v/>
      </c>
      <c r="F870" t="str">
        <f>""</f>
        <v/>
      </c>
      <c r="G870" t="str">
        <f t="shared" si="18"/>
        <v>CUST#2000172616</v>
      </c>
      <c r="H870" s="4">
        <v>139.51</v>
      </c>
    </row>
    <row r="871" spans="5:8" x14ac:dyDescent="0.25">
      <c r="E871" t="str">
        <f>""</f>
        <v/>
      </c>
      <c r="F871" t="str">
        <f>""</f>
        <v/>
      </c>
      <c r="G871" t="str">
        <f t="shared" si="18"/>
        <v>CUST#2000172616</v>
      </c>
      <c r="H871" s="4">
        <v>303.86</v>
      </c>
    </row>
    <row r="872" spans="5:8" x14ac:dyDescent="0.25">
      <c r="E872" t="str">
        <f>""</f>
        <v/>
      </c>
      <c r="F872" t="str">
        <f>""</f>
        <v/>
      </c>
      <c r="G872" t="str">
        <f t="shared" si="18"/>
        <v>CUST#2000172616</v>
      </c>
      <c r="H872" s="4">
        <v>1267.82</v>
      </c>
    </row>
    <row r="873" spans="5:8" x14ac:dyDescent="0.25">
      <c r="E873" t="str">
        <f>""</f>
        <v/>
      </c>
      <c r="F873" t="str">
        <f>""</f>
        <v/>
      </c>
      <c r="G873" t="str">
        <f t="shared" si="18"/>
        <v>CUST#2000172616</v>
      </c>
      <c r="H873" s="4">
        <v>1244.07</v>
      </c>
    </row>
    <row r="874" spans="5:8" x14ac:dyDescent="0.25">
      <c r="E874" t="str">
        <f>""</f>
        <v/>
      </c>
      <c r="F874" t="str">
        <f>""</f>
        <v/>
      </c>
      <c r="G874" t="str">
        <f t="shared" si="18"/>
        <v>CUST#2000172616</v>
      </c>
      <c r="H874" s="4">
        <v>334.08</v>
      </c>
    </row>
    <row r="875" spans="5:8" x14ac:dyDescent="0.25">
      <c r="E875" t="str">
        <f>""</f>
        <v/>
      </c>
      <c r="F875" t="str">
        <f>""</f>
        <v/>
      </c>
      <c r="G875" t="str">
        <f t="shared" si="18"/>
        <v>CUST#2000172616</v>
      </c>
      <c r="H875" s="4">
        <v>303.86</v>
      </c>
    </row>
    <row r="876" spans="5:8" x14ac:dyDescent="0.25">
      <c r="E876" t="str">
        <f>""</f>
        <v/>
      </c>
      <c r="F876" t="str">
        <f>""</f>
        <v/>
      </c>
      <c r="G876" t="str">
        <f t="shared" si="18"/>
        <v>CUST#2000172616</v>
      </c>
      <c r="H876" s="4">
        <v>303.86</v>
      </c>
    </row>
    <row r="877" spans="5:8" x14ac:dyDescent="0.25">
      <c r="E877" t="str">
        <f>""</f>
        <v/>
      </c>
      <c r="F877" t="str">
        <f>""</f>
        <v/>
      </c>
      <c r="G877" t="str">
        <f t="shared" si="18"/>
        <v>CUST#2000172616</v>
      </c>
      <c r="H877" s="4">
        <v>101.5</v>
      </c>
    </row>
    <row r="878" spans="5:8" x14ac:dyDescent="0.25">
      <c r="E878" t="str">
        <f>""</f>
        <v/>
      </c>
      <c r="F878" t="str">
        <f>""</f>
        <v/>
      </c>
      <c r="G878" t="str">
        <f t="shared" si="18"/>
        <v>CUST#2000172616</v>
      </c>
      <c r="H878" s="4">
        <v>303.86</v>
      </c>
    </row>
    <row r="879" spans="5:8" x14ac:dyDescent="0.25">
      <c r="E879" t="str">
        <f>""</f>
        <v/>
      </c>
      <c r="F879" t="str">
        <f>""</f>
        <v/>
      </c>
      <c r="G879" t="str">
        <f t="shared" si="18"/>
        <v>CUST#2000172616</v>
      </c>
      <c r="H879" s="4">
        <v>70.58</v>
      </c>
    </row>
    <row r="880" spans="5:8" x14ac:dyDescent="0.25">
      <c r="E880" t="str">
        <f>""</f>
        <v/>
      </c>
      <c r="F880" t="str">
        <f>""</f>
        <v/>
      </c>
      <c r="G880" t="str">
        <f t="shared" si="18"/>
        <v>CUST#2000172616</v>
      </c>
      <c r="H880" s="4">
        <v>70.58</v>
      </c>
    </row>
    <row r="881" spans="1:8" x14ac:dyDescent="0.25">
      <c r="E881" t="str">
        <f>""</f>
        <v/>
      </c>
      <c r="F881" t="str">
        <f>""</f>
        <v/>
      </c>
      <c r="G881" t="str">
        <f t="shared" si="18"/>
        <v>CUST#2000172616</v>
      </c>
      <c r="H881" s="4">
        <v>428.42</v>
      </c>
    </row>
    <row r="882" spans="1:8" x14ac:dyDescent="0.25">
      <c r="E882" t="str">
        <f>""</f>
        <v/>
      </c>
      <c r="F882" t="str">
        <f>""</f>
        <v/>
      </c>
      <c r="G882" t="str">
        <f t="shared" si="18"/>
        <v>CUST#2000172616</v>
      </c>
      <c r="H882" s="4">
        <v>70.58</v>
      </c>
    </row>
    <row r="883" spans="1:8" x14ac:dyDescent="0.25">
      <c r="A883" t="s">
        <v>354</v>
      </c>
      <c r="B883">
        <v>138640</v>
      </c>
      <c r="C883" s="4">
        <v>22</v>
      </c>
      <c r="D883" s="5">
        <v>44571</v>
      </c>
      <c r="E883" t="str">
        <f>"13939"</f>
        <v>13939</v>
      </c>
      <c r="F883" t="str">
        <f>"TIRE/MIKE DAVIS/PCT#2"</f>
        <v>TIRE/MIKE DAVIS/PCT#2</v>
      </c>
      <c r="G883" t="str">
        <f>"TIRE/MIKE DAVIS/PCT#2"</f>
        <v>TIRE/MIKE DAVIS/PCT#2</v>
      </c>
      <c r="H883" s="4">
        <v>22</v>
      </c>
    </row>
    <row r="884" spans="1:8" x14ac:dyDescent="0.25">
      <c r="A884" t="s">
        <v>354</v>
      </c>
      <c r="B884">
        <v>138841</v>
      </c>
      <c r="C884" s="4">
        <v>25</v>
      </c>
      <c r="D884" s="5">
        <v>44585</v>
      </c>
      <c r="E884" t="str">
        <f>"13996"</f>
        <v>13996</v>
      </c>
      <c r="F884" t="str">
        <f>"TIRES/MIKE DAVIS"</f>
        <v>TIRES/MIKE DAVIS</v>
      </c>
      <c r="G884" t="str">
        <f>"TIRES/MIKE DAVIS"</f>
        <v>TIRES/MIKE DAVIS</v>
      </c>
      <c r="H884" s="4">
        <v>25</v>
      </c>
    </row>
    <row r="885" spans="1:8" x14ac:dyDescent="0.25">
      <c r="A885" t="s">
        <v>355</v>
      </c>
      <c r="B885">
        <v>138842</v>
      </c>
      <c r="C885" s="4">
        <v>225</v>
      </c>
      <c r="D885" s="5">
        <v>44585</v>
      </c>
      <c r="E885" t="str">
        <f>"202201138451"</f>
        <v>202201138451</v>
      </c>
      <c r="F885" t="str">
        <f>"PER DIEM"</f>
        <v>PER DIEM</v>
      </c>
      <c r="G885" t="str">
        <f>"PER DIEM"</f>
        <v>PER DIEM</v>
      </c>
      <c r="H885" s="4">
        <v>225</v>
      </c>
    </row>
    <row r="886" spans="1:8" x14ac:dyDescent="0.25">
      <c r="A886" t="s">
        <v>356</v>
      </c>
      <c r="B886">
        <v>138641</v>
      </c>
      <c r="C886" s="4">
        <v>18</v>
      </c>
      <c r="D886" s="5">
        <v>44571</v>
      </c>
      <c r="E886" t="str">
        <f>"103140125"</f>
        <v>103140125</v>
      </c>
      <c r="F886" t="str">
        <f>"FRIGHT/PCT#2"</f>
        <v>FRIGHT/PCT#2</v>
      </c>
      <c r="G886" t="str">
        <f>"FRIGHT/PCT#1"</f>
        <v>FRIGHT/PCT#1</v>
      </c>
      <c r="H886" s="4">
        <v>18</v>
      </c>
    </row>
    <row r="887" spans="1:8" x14ac:dyDescent="0.25">
      <c r="A887" t="s">
        <v>357</v>
      </c>
      <c r="B887">
        <v>138844</v>
      </c>
      <c r="C887" s="4">
        <v>109.94</v>
      </c>
      <c r="D887" s="5">
        <v>44585</v>
      </c>
      <c r="E887" t="str">
        <f>"CVCS71835"</f>
        <v>CVCS71835</v>
      </c>
      <c r="F887" t="str">
        <f>"CUST#9486/PCT#4"</f>
        <v>CUST#9486/PCT#4</v>
      </c>
      <c r="G887" t="str">
        <f>"CUST#9486/PCT#4"</f>
        <v>CUST#9486/PCT#4</v>
      </c>
      <c r="H887" s="4">
        <v>109.94</v>
      </c>
    </row>
    <row r="888" spans="1:8" x14ac:dyDescent="0.25">
      <c r="A888" t="s">
        <v>358</v>
      </c>
      <c r="B888">
        <v>138845</v>
      </c>
      <c r="C888" s="4">
        <v>350.92</v>
      </c>
      <c r="D888" s="5">
        <v>44585</v>
      </c>
      <c r="E888" t="str">
        <f>"202201138327"</f>
        <v>202201138327</v>
      </c>
      <c r="F888" t="str">
        <f>"17318/16104"</f>
        <v>17318/16104</v>
      </c>
      <c r="G888" t="str">
        <f>"17318/16104"</f>
        <v>17318/16104</v>
      </c>
      <c r="H888" s="4">
        <v>350.92</v>
      </c>
    </row>
    <row r="889" spans="1:8" x14ac:dyDescent="0.25">
      <c r="A889" t="s">
        <v>359</v>
      </c>
      <c r="B889">
        <v>5725</v>
      </c>
      <c r="C889" s="4">
        <v>33.950000000000003</v>
      </c>
      <c r="D889" s="5">
        <v>44586</v>
      </c>
      <c r="E889" t="str">
        <f>"202201198485"</f>
        <v>202201198485</v>
      </c>
      <c r="F889" t="str">
        <f>"INDIGENT HEALTH"</f>
        <v>INDIGENT HEALTH</v>
      </c>
      <c r="G889" t="str">
        <f>"INDIGENT HEALTH"</f>
        <v>INDIGENT HEALTH</v>
      </c>
      <c r="H889" s="4">
        <v>33.950000000000003</v>
      </c>
    </row>
    <row r="890" spans="1:8" x14ac:dyDescent="0.25">
      <c r="A890" t="s">
        <v>360</v>
      </c>
      <c r="B890">
        <v>138846</v>
      </c>
      <c r="C890" s="4">
        <v>3400</v>
      </c>
      <c r="D890" s="5">
        <v>44585</v>
      </c>
      <c r="E890" t="str">
        <f>"202201188470"</f>
        <v>202201188470</v>
      </c>
      <c r="F890" t="str">
        <f>"PRESCRIPTION ASSISTANCE"</f>
        <v>PRESCRIPTION ASSISTANCE</v>
      </c>
      <c r="G890" t="str">
        <f>"PRESCRIPTION ASSISTANCE"</f>
        <v>PRESCRIPTION ASSISTANCE</v>
      </c>
      <c r="H890" s="4">
        <v>3400</v>
      </c>
    </row>
    <row r="891" spans="1:8" x14ac:dyDescent="0.25">
      <c r="A891" t="s">
        <v>361</v>
      </c>
      <c r="B891">
        <v>138847</v>
      </c>
      <c r="C891" s="4">
        <v>50</v>
      </c>
      <c r="D891" s="5">
        <v>44585</v>
      </c>
      <c r="E891" t="str">
        <f>"14-962/12/28/21"</f>
        <v>14-962/12/28/21</v>
      </c>
      <c r="F891" t="str">
        <f>"RESTITUTION-SHARON HANCOCK"</f>
        <v>RESTITUTION-SHARON HANCOCK</v>
      </c>
      <c r="G891" t="str">
        <f>"RESTITUTION-SHARON HANCOCK"</f>
        <v>RESTITUTION-SHARON HANCOCK</v>
      </c>
      <c r="H891" s="4">
        <v>50</v>
      </c>
    </row>
    <row r="892" spans="1:8" x14ac:dyDescent="0.25">
      <c r="A892" t="s">
        <v>362</v>
      </c>
      <c r="B892">
        <v>138848</v>
      </c>
      <c r="C892" s="4">
        <v>243.37</v>
      </c>
      <c r="D892" s="5">
        <v>44585</v>
      </c>
      <c r="E892" t="str">
        <f>"5006726389"</f>
        <v>5006726389</v>
      </c>
      <c r="F892" t="str">
        <f>"ACCT#120020173/SIGN SHOP"</f>
        <v>ACCT#120020173/SIGN SHOP</v>
      </c>
      <c r="G892" t="str">
        <f>"ACCT#120020173/SIGN SHOP"</f>
        <v>ACCT#120020173/SIGN SHOP</v>
      </c>
      <c r="H892" s="4">
        <v>243.37</v>
      </c>
    </row>
    <row r="893" spans="1:8" x14ac:dyDescent="0.25">
      <c r="A893" t="s">
        <v>363</v>
      </c>
      <c r="B893">
        <v>138642</v>
      </c>
      <c r="C893" s="4">
        <v>31751.32</v>
      </c>
      <c r="D893" s="5">
        <v>44571</v>
      </c>
      <c r="E893" t="str">
        <f>"202201048140"</f>
        <v>202201048140</v>
      </c>
      <c r="F893" t="str">
        <f>"VSGI Courtroom SHI"</f>
        <v>VSGI Courtroom SHI</v>
      </c>
      <c r="G893" t="str">
        <f>"VSGI Courtroom"</f>
        <v>VSGI Courtroom</v>
      </c>
      <c r="H893" s="4">
        <v>18205.32</v>
      </c>
    </row>
    <row r="894" spans="1:8" x14ac:dyDescent="0.25">
      <c r="E894" t="str">
        <f>"202201048145"</f>
        <v>202201048145</v>
      </c>
      <c r="F894" t="str">
        <f>"Headset Indigent Health"</f>
        <v>Headset Indigent Health</v>
      </c>
      <c r="G894" t="str">
        <f>"Cisco 562 Wireless"</f>
        <v>Cisco 562 Wireless</v>
      </c>
      <c r="H894" s="4">
        <v>226</v>
      </c>
    </row>
    <row r="895" spans="1:8" x14ac:dyDescent="0.25">
      <c r="E895" t="str">
        <f>"202201048151"</f>
        <v>202201048151</v>
      </c>
      <c r="F895" t="str">
        <f>"SHI Forcepoint Renewal"</f>
        <v>SHI Forcepoint Renewal</v>
      </c>
      <c r="G895" t="str">
        <f>"WBSA-2-CP12-C-R"</f>
        <v>WBSA-2-CP12-C-R</v>
      </c>
      <c r="H895" s="4">
        <v>11375</v>
      </c>
    </row>
    <row r="896" spans="1:8" x14ac:dyDescent="0.25">
      <c r="E896" t="str">
        <f>""</f>
        <v/>
      </c>
      <c r="F896" t="str">
        <f>""</f>
        <v/>
      </c>
      <c r="G896" t="str">
        <f>"ESESPT-2-CP12-X-R"</f>
        <v>ESESPT-2-CP12-X-R</v>
      </c>
      <c r="H896" s="4">
        <v>1945</v>
      </c>
    </row>
    <row r="897" spans="1:8" x14ac:dyDescent="0.25">
      <c r="A897" t="s">
        <v>363</v>
      </c>
      <c r="B897">
        <v>138849</v>
      </c>
      <c r="C897" s="4">
        <v>265</v>
      </c>
      <c r="D897" s="5">
        <v>44585</v>
      </c>
      <c r="E897" t="str">
        <f>"202201138445"</f>
        <v>202201138445</v>
      </c>
      <c r="F897" t="str">
        <f>"SHI GOVERNMENT SOLUTIONS INC."</f>
        <v>SHI GOVERNMENT SOLUTIONS INC.</v>
      </c>
      <c r="G897" t="str">
        <f>"Digi Anywhere"</f>
        <v>Digi Anywhere</v>
      </c>
      <c r="H897" s="4">
        <v>265</v>
      </c>
    </row>
    <row r="898" spans="1:8" x14ac:dyDescent="0.25">
      <c r="A898" t="s">
        <v>364</v>
      </c>
      <c r="B898">
        <v>138643</v>
      </c>
      <c r="C898" s="4">
        <v>342.58</v>
      </c>
      <c r="D898" s="5">
        <v>44571</v>
      </c>
      <c r="E898" t="str">
        <f>"1401046"</f>
        <v>1401046</v>
      </c>
      <c r="F898" t="str">
        <f>"ACCT#550615/PCT#2"</f>
        <v>ACCT#550615/PCT#2</v>
      </c>
      <c r="G898" t="str">
        <f>"ACCT#550615/PCT#2"</f>
        <v>ACCT#550615/PCT#2</v>
      </c>
      <c r="H898" s="4">
        <v>342.58</v>
      </c>
    </row>
    <row r="899" spans="1:8" x14ac:dyDescent="0.25">
      <c r="A899" t="s">
        <v>365</v>
      </c>
      <c r="B899">
        <v>138644</v>
      </c>
      <c r="C899" s="4">
        <v>75.08</v>
      </c>
      <c r="D899" s="5">
        <v>44571</v>
      </c>
      <c r="E899" t="str">
        <f>"8000694724"</f>
        <v>8000694724</v>
      </c>
      <c r="F899" t="str">
        <f>"CUST#1000374545/JP4"</f>
        <v>CUST#1000374545/JP4</v>
      </c>
      <c r="G899" t="str">
        <f>"CUST#1000374545/JP4"</f>
        <v>CUST#1000374545/JP4</v>
      </c>
      <c r="H899" s="4">
        <v>75.08</v>
      </c>
    </row>
    <row r="900" spans="1:8" x14ac:dyDescent="0.25">
      <c r="A900" t="s">
        <v>365</v>
      </c>
      <c r="B900">
        <v>138850</v>
      </c>
      <c r="C900" s="4">
        <v>535.38</v>
      </c>
      <c r="D900" s="5">
        <v>44585</v>
      </c>
      <c r="E900" t="str">
        <f>"1000373184"</f>
        <v>1000373184</v>
      </c>
      <c r="F900" t="str">
        <f>"INV 1000373184"</f>
        <v>INV 1000373184</v>
      </c>
      <c r="G900" t="str">
        <f>"INV 1000373184 - LE"</f>
        <v>INV 1000373184 - LE</v>
      </c>
      <c r="H900" s="4">
        <v>88.92</v>
      </c>
    </row>
    <row r="901" spans="1:8" x14ac:dyDescent="0.25">
      <c r="E901" t="str">
        <f>""</f>
        <v/>
      </c>
      <c r="F901" t="str">
        <f>""</f>
        <v/>
      </c>
      <c r="G901" t="str">
        <f>"INV 1000373184 - JAI"</f>
        <v>INV 1000373184 - JAI</v>
      </c>
      <c r="H901" s="4">
        <v>88.92</v>
      </c>
    </row>
    <row r="902" spans="1:8" x14ac:dyDescent="0.25">
      <c r="E902" t="str">
        <f>"202201138309"</f>
        <v>202201138309</v>
      </c>
      <c r="F902" t="str">
        <f>"CUST#1000374050/OEM/IT"</f>
        <v>CUST#1000374050/OEM/IT</v>
      </c>
      <c r="G902" t="str">
        <f>"CUST#1000374050/OEM/IT"</f>
        <v>CUST#1000374050/OEM/IT</v>
      </c>
      <c r="H902" s="4">
        <v>27.38</v>
      </c>
    </row>
    <row r="903" spans="1:8" x14ac:dyDescent="0.25">
      <c r="E903" t="str">
        <f>""</f>
        <v/>
      </c>
      <c r="F903" t="str">
        <f>""</f>
        <v/>
      </c>
      <c r="G903" t="str">
        <f>"CUST#1000374050/OEM/IT"</f>
        <v>CUST#1000374050/OEM/IT</v>
      </c>
      <c r="H903" s="4">
        <v>27.37</v>
      </c>
    </row>
    <row r="904" spans="1:8" x14ac:dyDescent="0.25">
      <c r="E904" t="str">
        <f>"8000727516"</f>
        <v>8000727516</v>
      </c>
      <c r="F904" t="str">
        <f>"CUST#3000355513"</f>
        <v>CUST#3000355513</v>
      </c>
      <c r="G904" t="str">
        <f t="shared" ref="G904:G910" si="19">"CUST#3000355513"</f>
        <v>CUST#3000355513</v>
      </c>
      <c r="H904" s="4">
        <v>22.52</v>
      </c>
    </row>
    <row r="905" spans="1:8" x14ac:dyDescent="0.25">
      <c r="E905" t="str">
        <f>""</f>
        <v/>
      </c>
      <c r="F905" t="str">
        <f>""</f>
        <v/>
      </c>
      <c r="G905" t="str">
        <f t="shared" si="19"/>
        <v>CUST#3000355513</v>
      </c>
      <c r="H905" s="4">
        <v>22.52</v>
      </c>
    </row>
    <row r="906" spans="1:8" x14ac:dyDescent="0.25">
      <c r="E906" t="str">
        <f>""</f>
        <v/>
      </c>
      <c r="F906" t="str">
        <f>""</f>
        <v/>
      </c>
      <c r="G906" t="str">
        <f t="shared" si="19"/>
        <v>CUST#3000355513</v>
      </c>
      <c r="H906" s="4">
        <v>22.52</v>
      </c>
    </row>
    <row r="907" spans="1:8" x14ac:dyDescent="0.25">
      <c r="E907" t="str">
        <f>""</f>
        <v/>
      </c>
      <c r="F907" t="str">
        <f>""</f>
        <v/>
      </c>
      <c r="G907" t="str">
        <f t="shared" si="19"/>
        <v>CUST#3000355513</v>
      </c>
      <c r="H907" s="4">
        <v>37.549999999999997</v>
      </c>
    </row>
    <row r="908" spans="1:8" x14ac:dyDescent="0.25">
      <c r="E908" t="str">
        <f>""</f>
        <v/>
      </c>
      <c r="F908" t="str">
        <f>""</f>
        <v/>
      </c>
      <c r="G908" t="str">
        <f t="shared" si="19"/>
        <v>CUST#3000355513</v>
      </c>
      <c r="H908" s="4">
        <v>22.52</v>
      </c>
    </row>
    <row r="909" spans="1:8" x14ac:dyDescent="0.25">
      <c r="E909" t="str">
        <f>""</f>
        <v/>
      </c>
      <c r="F909" t="str">
        <f>""</f>
        <v/>
      </c>
      <c r="G909" t="str">
        <f t="shared" si="19"/>
        <v>CUST#3000355513</v>
      </c>
      <c r="H909" s="4">
        <v>22.52</v>
      </c>
    </row>
    <row r="910" spans="1:8" x14ac:dyDescent="0.25">
      <c r="E910" t="str">
        <f>""</f>
        <v/>
      </c>
      <c r="F910" t="str">
        <f>""</f>
        <v/>
      </c>
      <c r="G910" t="str">
        <f t="shared" si="19"/>
        <v>CUST#3000355513</v>
      </c>
      <c r="H910" s="4">
        <v>152.63999999999999</v>
      </c>
    </row>
    <row r="911" spans="1:8" x14ac:dyDescent="0.25">
      <c r="A911" t="s">
        <v>366</v>
      </c>
      <c r="B911">
        <v>5706</v>
      </c>
      <c r="C911" s="4">
        <v>300</v>
      </c>
      <c r="D911" s="5">
        <v>44586</v>
      </c>
      <c r="E911" t="str">
        <f>"377346"</f>
        <v>377346</v>
      </c>
      <c r="F911" t="str">
        <f>"PUMP SEPTIC/CEDAR CREEK"</f>
        <v>PUMP SEPTIC/CEDAR CREEK</v>
      </c>
      <c r="G911" t="str">
        <f>"PUMP SEPTIC/CEDAR CREEK"</f>
        <v>PUMP SEPTIC/CEDAR CREEK</v>
      </c>
      <c r="H911" s="4">
        <v>300</v>
      </c>
    </row>
    <row r="912" spans="1:8" x14ac:dyDescent="0.25">
      <c r="A912" t="s">
        <v>367</v>
      </c>
      <c r="B912">
        <v>138645</v>
      </c>
      <c r="C912" s="4">
        <v>282.27</v>
      </c>
      <c r="D912" s="5">
        <v>44571</v>
      </c>
      <c r="E912" t="str">
        <f>"202201058159"</f>
        <v>202201058159</v>
      </c>
      <c r="F912" t="str">
        <f>"JAIL MEDICAL"</f>
        <v>JAIL MEDICAL</v>
      </c>
      <c r="G912" t="str">
        <f>"JAIL MEDICAL"</f>
        <v>JAIL MEDICAL</v>
      </c>
      <c r="H912" s="4">
        <v>282.27</v>
      </c>
    </row>
    <row r="913" spans="1:8" x14ac:dyDescent="0.25">
      <c r="A913" t="s">
        <v>368</v>
      </c>
      <c r="B913">
        <v>138851</v>
      </c>
      <c r="C913" s="4">
        <v>14879.61</v>
      </c>
      <c r="D913" s="5">
        <v>44585</v>
      </c>
      <c r="E913" t="str">
        <f>"38357"</f>
        <v>38357</v>
      </c>
      <c r="F913" t="str">
        <f>"SUPPLIES/PCT#1"</f>
        <v>SUPPLIES/PCT#1</v>
      </c>
      <c r="G913" t="str">
        <f>"SUPPLIES/PCT#1"</f>
        <v>SUPPLIES/PCT#1</v>
      </c>
      <c r="H913" s="4">
        <v>13551.1</v>
      </c>
    </row>
    <row r="914" spans="1:8" x14ac:dyDescent="0.25">
      <c r="E914" t="str">
        <f>"38358"</f>
        <v>38358</v>
      </c>
      <c r="F914" t="str">
        <f>"SUPPLIES/PCT#2"</f>
        <v>SUPPLIES/PCT#2</v>
      </c>
      <c r="G914" t="str">
        <f>"SUPPLIES/PCT#2"</f>
        <v>SUPPLIES/PCT#2</v>
      </c>
      <c r="H914" s="4">
        <v>1328.51</v>
      </c>
    </row>
    <row r="915" spans="1:8" x14ac:dyDescent="0.25">
      <c r="A915" t="s">
        <v>369</v>
      </c>
      <c r="B915">
        <v>138646</v>
      </c>
      <c r="C915" s="4">
        <v>1773.37</v>
      </c>
      <c r="D915" s="5">
        <v>44571</v>
      </c>
      <c r="E915" t="str">
        <f>"202201058177"</f>
        <v>202201058177</v>
      </c>
      <c r="F915" t="str">
        <f>"ACCT#260/PCT#2"</f>
        <v>ACCT#260/PCT#2</v>
      </c>
      <c r="G915" t="str">
        <f>"ACCT#260/PCT#2"</f>
        <v>ACCT#260/PCT#2</v>
      </c>
      <c r="H915" s="4">
        <v>1773.37</v>
      </c>
    </row>
    <row r="916" spans="1:8" x14ac:dyDescent="0.25">
      <c r="A916" t="s">
        <v>370</v>
      </c>
      <c r="B916">
        <v>138852</v>
      </c>
      <c r="C916" s="4">
        <v>2063.33</v>
      </c>
      <c r="D916" s="5">
        <v>44585</v>
      </c>
      <c r="E916" t="str">
        <f>"22T-621"</f>
        <v>22T-621</v>
      </c>
      <c r="F916" t="str">
        <f>"PERMIT NOW SOFTWARE"</f>
        <v>PERMIT NOW SOFTWARE</v>
      </c>
      <c r="G916" t="str">
        <f>"PERMIT NOW SOFTWARE"</f>
        <v>PERMIT NOW SOFTWARE</v>
      </c>
      <c r="H916" s="4">
        <v>2063.33</v>
      </c>
    </row>
    <row r="917" spans="1:8" x14ac:dyDescent="0.25">
      <c r="A917" t="s">
        <v>371</v>
      </c>
      <c r="B917">
        <v>138647</v>
      </c>
      <c r="C917" s="4">
        <v>486.02</v>
      </c>
      <c r="D917" s="5">
        <v>44571</v>
      </c>
      <c r="E917" t="str">
        <f>"202201048149"</f>
        <v>202201048149</v>
      </c>
      <c r="F917" t="str">
        <f>"SOUTHERN COMPUTER WAREHOUSE IN"</f>
        <v>SOUTHERN COMPUTER WAREHOUSE IN</v>
      </c>
      <c r="G917" t="str">
        <f>"HP Color Laser Jet"</f>
        <v>HP Color Laser Jet</v>
      </c>
      <c r="H917" s="4">
        <v>486.02</v>
      </c>
    </row>
    <row r="918" spans="1:8" x14ac:dyDescent="0.25">
      <c r="A918" t="s">
        <v>372</v>
      </c>
      <c r="B918">
        <v>138648</v>
      </c>
      <c r="C918" s="4">
        <v>1251.3599999999999</v>
      </c>
      <c r="D918" s="5">
        <v>44571</v>
      </c>
      <c r="E918" t="str">
        <f>"4240037094"</f>
        <v>4240037094</v>
      </c>
      <c r="F918" t="str">
        <f>"INV 4240037094"</f>
        <v>INV 4240037094</v>
      </c>
      <c r="G918" t="str">
        <f>"INV 4240037094"</f>
        <v>INV 4240037094</v>
      </c>
      <c r="H918" s="4">
        <v>1251.3599999999999</v>
      </c>
    </row>
    <row r="919" spans="1:8" x14ac:dyDescent="0.25">
      <c r="A919" t="s">
        <v>372</v>
      </c>
      <c r="B919">
        <v>138853</v>
      </c>
      <c r="C919" s="4">
        <v>1900.68</v>
      </c>
      <c r="D919" s="5">
        <v>44585</v>
      </c>
      <c r="E919" t="str">
        <f>"4650101404"</f>
        <v>4650101404</v>
      </c>
      <c r="F919" t="str">
        <f>"CUST#0052157/PCT#4"</f>
        <v>CUST#0052157/PCT#4</v>
      </c>
      <c r="G919" t="str">
        <f>"CUST#0052157/PCT#4"</f>
        <v>CUST#0052157/PCT#4</v>
      </c>
      <c r="H919" s="4">
        <v>1900.68</v>
      </c>
    </row>
    <row r="920" spans="1:8" x14ac:dyDescent="0.25">
      <c r="A920" t="s">
        <v>373</v>
      </c>
      <c r="B920">
        <v>138854</v>
      </c>
      <c r="C920" s="4">
        <v>89.35</v>
      </c>
      <c r="D920" s="5">
        <v>44585</v>
      </c>
      <c r="E920" t="str">
        <f>"9604456-123021"</f>
        <v>9604456-123021</v>
      </c>
      <c r="F920" t="str">
        <f>"CUST#46668439604456/JP#2"</f>
        <v>CUST#46668439604456/JP#2</v>
      </c>
      <c r="G920" t="str">
        <f>"CUST#46668439604456/JP#2"</f>
        <v>CUST#46668439604456/JP#2</v>
      </c>
      <c r="H920" s="4">
        <v>89.35</v>
      </c>
    </row>
    <row r="921" spans="1:8" x14ac:dyDescent="0.25">
      <c r="A921" t="s">
        <v>374</v>
      </c>
      <c r="B921">
        <v>138649</v>
      </c>
      <c r="C921" s="4">
        <v>115.01</v>
      </c>
      <c r="D921" s="5">
        <v>44571</v>
      </c>
      <c r="E921" t="str">
        <f>"202201058160"</f>
        <v>202201058160</v>
      </c>
      <c r="F921" t="str">
        <f>"JAIL MEDICAL"</f>
        <v>JAIL MEDICAL</v>
      </c>
      <c r="G921" t="str">
        <f>"JAIL MEDICAL"</f>
        <v>JAIL MEDICAL</v>
      </c>
      <c r="H921" s="4">
        <v>115.01</v>
      </c>
    </row>
    <row r="922" spans="1:8" x14ac:dyDescent="0.25">
      <c r="A922" t="s">
        <v>375</v>
      </c>
      <c r="B922">
        <v>138650</v>
      </c>
      <c r="C922" s="4">
        <v>4515.38</v>
      </c>
      <c r="D922" s="5">
        <v>44571</v>
      </c>
      <c r="E922" t="str">
        <f>"8064590181"</f>
        <v>8064590181</v>
      </c>
      <c r="F922" t="str">
        <f>"STAPLES  INC."</f>
        <v>STAPLES  INC.</v>
      </c>
      <c r="G922" t="str">
        <f>"3495191870"</f>
        <v>3495191870</v>
      </c>
      <c r="H922" s="4">
        <v>186.35</v>
      </c>
    </row>
    <row r="923" spans="1:8" x14ac:dyDescent="0.25">
      <c r="E923" t="str">
        <f>""</f>
        <v/>
      </c>
      <c r="F923" t="str">
        <f>""</f>
        <v/>
      </c>
      <c r="G923" t="str">
        <f>"3495191867"</f>
        <v>3495191867</v>
      </c>
      <c r="H923" s="4">
        <v>74.489999999999995</v>
      </c>
    </row>
    <row r="924" spans="1:8" x14ac:dyDescent="0.25">
      <c r="E924" t="str">
        <f>""</f>
        <v/>
      </c>
      <c r="F924" t="str">
        <f>""</f>
        <v/>
      </c>
      <c r="G924" t="str">
        <f>"3495191865"</f>
        <v>3495191865</v>
      </c>
      <c r="H924" s="4">
        <v>31.54</v>
      </c>
    </row>
    <row r="925" spans="1:8" x14ac:dyDescent="0.25">
      <c r="E925" t="str">
        <f>""</f>
        <v/>
      </c>
      <c r="F925" t="str">
        <f>""</f>
        <v/>
      </c>
      <c r="G925" t="str">
        <f>"3495191866"</f>
        <v>3495191866</v>
      </c>
      <c r="H925" s="4">
        <v>26.93</v>
      </c>
    </row>
    <row r="926" spans="1:8" x14ac:dyDescent="0.25">
      <c r="E926" t="str">
        <f>""</f>
        <v/>
      </c>
      <c r="F926" t="str">
        <f>""</f>
        <v/>
      </c>
      <c r="G926" t="str">
        <f>"3495191867"</f>
        <v>3495191867</v>
      </c>
      <c r="H926" s="4">
        <v>87.06</v>
      </c>
    </row>
    <row r="927" spans="1:8" x14ac:dyDescent="0.25">
      <c r="E927" t="str">
        <f>""</f>
        <v/>
      </c>
      <c r="F927" t="str">
        <f>""</f>
        <v/>
      </c>
      <c r="G927" t="str">
        <f>"3495191872"</f>
        <v>3495191872</v>
      </c>
      <c r="H927" s="4">
        <v>374.08</v>
      </c>
    </row>
    <row r="928" spans="1:8" x14ac:dyDescent="0.25">
      <c r="E928" t="str">
        <f>""</f>
        <v/>
      </c>
      <c r="F928" t="str">
        <f>""</f>
        <v/>
      </c>
      <c r="G928" t="str">
        <f>"3495191869"</f>
        <v>3495191869</v>
      </c>
      <c r="H928" s="4">
        <v>491.35</v>
      </c>
    </row>
    <row r="929" spans="5:8" x14ac:dyDescent="0.25">
      <c r="E929" t="str">
        <f>""</f>
        <v/>
      </c>
      <c r="F929" t="str">
        <f>""</f>
        <v/>
      </c>
      <c r="G929" t="str">
        <f>"3495191868"</f>
        <v>3495191868</v>
      </c>
      <c r="H929" s="4">
        <v>93.34</v>
      </c>
    </row>
    <row r="930" spans="5:8" x14ac:dyDescent="0.25">
      <c r="E930" t="str">
        <f>""</f>
        <v/>
      </c>
      <c r="F930" t="str">
        <f>""</f>
        <v/>
      </c>
      <c r="G930" t="str">
        <f>"3495191877"</f>
        <v>3495191877</v>
      </c>
      <c r="H930" s="4">
        <v>81.260000000000005</v>
      </c>
    </row>
    <row r="931" spans="5:8" x14ac:dyDescent="0.25">
      <c r="E931" t="str">
        <f>""</f>
        <v/>
      </c>
      <c r="F931" t="str">
        <f>""</f>
        <v/>
      </c>
      <c r="G931" t="str">
        <f>"3495191871"</f>
        <v>3495191871</v>
      </c>
      <c r="H931" s="4">
        <v>53.08</v>
      </c>
    </row>
    <row r="932" spans="5:8" x14ac:dyDescent="0.25">
      <c r="E932" t="str">
        <f>""</f>
        <v/>
      </c>
      <c r="F932" t="str">
        <f>""</f>
        <v/>
      </c>
      <c r="G932" t="str">
        <f>"3495191873"</f>
        <v>3495191873</v>
      </c>
      <c r="H932" s="4">
        <v>137.06</v>
      </c>
    </row>
    <row r="933" spans="5:8" x14ac:dyDescent="0.25">
      <c r="E933" t="str">
        <f>""</f>
        <v/>
      </c>
      <c r="F933" t="str">
        <f>""</f>
        <v/>
      </c>
      <c r="G933" t="str">
        <f>"3495191874"</f>
        <v>3495191874</v>
      </c>
      <c r="H933" s="4">
        <v>667.82</v>
      </c>
    </row>
    <row r="934" spans="5:8" x14ac:dyDescent="0.25">
      <c r="E934" t="str">
        <f>""</f>
        <v/>
      </c>
      <c r="F934" t="str">
        <f>""</f>
        <v/>
      </c>
      <c r="G934" t="str">
        <f>"3495191875"</f>
        <v>3495191875</v>
      </c>
      <c r="H934" s="4">
        <v>81.22</v>
      </c>
    </row>
    <row r="935" spans="5:8" x14ac:dyDescent="0.25">
      <c r="E935" t="str">
        <f>""</f>
        <v/>
      </c>
      <c r="F935" t="str">
        <f>""</f>
        <v/>
      </c>
      <c r="G935" t="str">
        <f>"3495191876"</f>
        <v>3495191876</v>
      </c>
      <c r="H935" s="4">
        <v>203.32</v>
      </c>
    </row>
    <row r="936" spans="5:8" x14ac:dyDescent="0.25">
      <c r="E936" t="str">
        <f>""</f>
        <v/>
      </c>
      <c r="F936" t="str">
        <f>""</f>
        <v/>
      </c>
      <c r="G936" t="str">
        <f>"3495191878"</f>
        <v>3495191878</v>
      </c>
      <c r="H936" s="4">
        <v>93.21</v>
      </c>
    </row>
    <row r="937" spans="5:8" x14ac:dyDescent="0.25">
      <c r="E937" t="str">
        <f>""</f>
        <v/>
      </c>
      <c r="F937" t="str">
        <f>""</f>
        <v/>
      </c>
      <c r="G937" t="str">
        <f>"3495191867"</f>
        <v>3495191867</v>
      </c>
      <c r="H937" s="4">
        <v>49.67</v>
      </c>
    </row>
    <row r="938" spans="5:8" x14ac:dyDescent="0.25">
      <c r="E938" t="str">
        <f>"8064769523"</f>
        <v>8064769523</v>
      </c>
      <c r="F938" t="str">
        <f>"Staples"</f>
        <v>Staples</v>
      </c>
      <c r="G938" t="str">
        <f>"3496601057"</f>
        <v>3496601057</v>
      </c>
      <c r="H938" s="4">
        <v>50.54</v>
      </c>
    </row>
    <row r="939" spans="5:8" x14ac:dyDescent="0.25">
      <c r="E939" t="str">
        <f>""</f>
        <v/>
      </c>
      <c r="F939" t="str">
        <f>""</f>
        <v/>
      </c>
      <c r="G939" t="str">
        <f>"3496601058"</f>
        <v>3496601058</v>
      </c>
      <c r="H939" s="4">
        <v>50.54</v>
      </c>
    </row>
    <row r="940" spans="5:8" x14ac:dyDescent="0.25">
      <c r="E940" t="str">
        <f>""</f>
        <v/>
      </c>
      <c r="F940" t="str">
        <f>""</f>
        <v/>
      </c>
      <c r="G940" t="str">
        <f>"3496601067"</f>
        <v>3496601067</v>
      </c>
      <c r="H940" s="4">
        <v>97.62</v>
      </c>
    </row>
    <row r="941" spans="5:8" x14ac:dyDescent="0.25">
      <c r="E941" t="str">
        <f>""</f>
        <v/>
      </c>
      <c r="F941" t="str">
        <f>""</f>
        <v/>
      </c>
      <c r="G941" t="str">
        <f>"3496601055"</f>
        <v>3496601055</v>
      </c>
      <c r="H941" s="4">
        <v>529.08000000000004</v>
      </c>
    </row>
    <row r="942" spans="5:8" x14ac:dyDescent="0.25">
      <c r="E942" t="str">
        <f>""</f>
        <v/>
      </c>
      <c r="F942" t="str">
        <f>""</f>
        <v/>
      </c>
      <c r="G942" t="str">
        <f>"3496601053"</f>
        <v>3496601053</v>
      </c>
      <c r="H942" s="4">
        <v>218.9</v>
      </c>
    </row>
    <row r="943" spans="5:8" x14ac:dyDescent="0.25">
      <c r="E943" t="str">
        <f>""</f>
        <v/>
      </c>
      <c r="F943" t="str">
        <f>""</f>
        <v/>
      </c>
      <c r="G943" t="str">
        <f>"3496601060"</f>
        <v>3496601060</v>
      </c>
      <c r="H943" s="4">
        <v>-62.03</v>
      </c>
    </row>
    <row r="944" spans="5:8" x14ac:dyDescent="0.25">
      <c r="E944" t="str">
        <f>""</f>
        <v/>
      </c>
      <c r="F944" t="str">
        <f>""</f>
        <v/>
      </c>
      <c r="G944" t="str">
        <f>"3496601061"</f>
        <v>3496601061</v>
      </c>
      <c r="H944" s="4">
        <v>119.89</v>
      </c>
    </row>
    <row r="945" spans="1:8" x14ac:dyDescent="0.25">
      <c r="E945" t="str">
        <f>""</f>
        <v/>
      </c>
      <c r="F945" t="str">
        <f>""</f>
        <v/>
      </c>
      <c r="G945" t="str">
        <f>"3496601062"</f>
        <v>3496601062</v>
      </c>
      <c r="H945" s="4">
        <v>679.94</v>
      </c>
    </row>
    <row r="946" spans="1:8" x14ac:dyDescent="0.25">
      <c r="E946" t="str">
        <f>""</f>
        <v/>
      </c>
      <c r="F946" t="str">
        <f>""</f>
        <v/>
      </c>
      <c r="G946" t="str">
        <f>"3496601064"</f>
        <v>3496601064</v>
      </c>
      <c r="H946" s="4">
        <v>47.14</v>
      </c>
    </row>
    <row r="947" spans="1:8" x14ac:dyDescent="0.25">
      <c r="E947" t="str">
        <f>""</f>
        <v/>
      </c>
      <c r="F947" t="str">
        <f>""</f>
        <v/>
      </c>
      <c r="G947" t="str">
        <f>"3496601065"</f>
        <v>3496601065</v>
      </c>
      <c r="H947" s="4">
        <v>32.99</v>
      </c>
    </row>
    <row r="948" spans="1:8" x14ac:dyDescent="0.25">
      <c r="E948" t="str">
        <f>""</f>
        <v/>
      </c>
      <c r="F948" t="str">
        <f>""</f>
        <v/>
      </c>
      <c r="G948" t="str">
        <f>"3496601066"</f>
        <v>3496601066</v>
      </c>
      <c r="H948" s="4">
        <v>18.989999999999998</v>
      </c>
    </row>
    <row r="949" spans="1:8" x14ac:dyDescent="0.25">
      <c r="A949" t="s">
        <v>376</v>
      </c>
      <c r="B949">
        <v>138855</v>
      </c>
      <c r="C949" s="4">
        <v>480</v>
      </c>
      <c r="D949" s="5">
        <v>44585</v>
      </c>
      <c r="E949" t="str">
        <f>"202201198507"</f>
        <v>202201198507</v>
      </c>
      <c r="F949" t="str">
        <f>"DECEMBER 2021"</f>
        <v>DECEMBER 2021</v>
      </c>
      <c r="G949" t="str">
        <f>"DECEMBER 2021"</f>
        <v>DECEMBER 2021</v>
      </c>
      <c r="H949" s="4">
        <v>480</v>
      </c>
    </row>
    <row r="950" spans="1:8" x14ac:dyDescent="0.25">
      <c r="A950" t="s">
        <v>377</v>
      </c>
      <c r="B950">
        <v>138856</v>
      </c>
      <c r="C950" s="4">
        <v>2000</v>
      </c>
      <c r="D950" s="5">
        <v>44585</v>
      </c>
      <c r="E950" t="str">
        <f>"1999"</f>
        <v>1999</v>
      </c>
      <c r="F950" t="str">
        <f>"MODIFY WATER LINE/GENERAL SVS"</f>
        <v>MODIFY WATER LINE/GENERAL SVS</v>
      </c>
      <c r="G950" t="str">
        <f>"MODIFY WATER LINE/GENERAL SVS"</f>
        <v>MODIFY WATER LINE/GENERAL SVS</v>
      </c>
      <c r="H950" s="4">
        <v>2000</v>
      </c>
    </row>
    <row r="951" spans="1:8" x14ac:dyDescent="0.25">
      <c r="A951" t="s">
        <v>378</v>
      </c>
      <c r="B951">
        <v>138651</v>
      </c>
      <c r="C951" s="4">
        <v>874.93</v>
      </c>
      <c r="D951" s="5">
        <v>44571</v>
      </c>
      <c r="E951" t="str">
        <f>"4010626358"</f>
        <v>4010626358</v>
      </c>
      <c r="F951" t="str">
        <f>"INV 4010626358"</f>
        <v>INV 4010626358</v>
      </c>
      <c r="G951" t="str">
        <f>"INV 4010626358"</f>
        <v>INV 4010626358</v>
      </c>
      <c r="H951" s="4">
        <v>874.93</v>
      </c>
    </row>
    <row r="952" spans="1:8" x14ac:dyDescent="0.25">
      <c r="A952" t="s">
        <v>378</v>
      </c>
      <c r="B952">
        <v>138857</v>
      </c>
      <c r="C952" s="4">
        <v>93.3</v>
      </c>
      <c r="D952" s="5">
        <v>44585</v>
      </c>
      <c r="E952" t="str">
        <f>"8000694662"</f>
        <v>8000694662</v>
      </c>
      <c r="F952" t="str">
        <f>"ACCT#1000374390/TAX OFFICE"</f>
        <v>ACCT#1000374390/TAX OFFICE</v>
      </c>
      <c r="G952" t="str">
        <f>"ACCT#1000374390/TAX OFFICE"</f>
        <v>ACCT#1000374390/TAX OFFICE</v>
      </c>
      <c r="H952" s="4">
        <v>93.3</v>
      </c>
    </row>
    <row r="953" spans="1:8" x14ac:dyDescent="0.25">
      <c r="A953" t="s">
        <v>379</v>
      </c>
      <c r="B953">
        <v>5681</v>
      </c>
      <c r="C953" s="4">
        <v>169</v>
      </c>
      <c r="D953" s="5">
        <v>44586</v>
      </c>
      <c r="E953" t="str">
        <f>"202201198499"</f>
        <v>202201198499</v>
      </c>
      <c r="F953" t="str">
        <f>"TRASH REMOVAL/STEVE GRANADO"</f>
        <v>TRASH REMOVAL/STEVE GRANADO</v>
      </c>
      <c r="G953" t="str">
        <f>"TRASH REMOVAL/STEVE GRANADO"</f>
        <v>TRASH REMOVAL/STEVE GRANADO</v>
      </c>
      <c r="H953" s="4">
        <v>169</v>
      </c>
    </row>
    <row r="954" spans="1:8" x14ac:dyDescent="0.25">
      <c r="A954" t="s">
        <v>380</v>
      </c>
      <c r="B954">
        <v>138858</v>
      </c>
      <c r="C954" s="4">
        <v>2154</v>
      </c>
      <c r="D954" s="5">
        <v>44585</v>
      </c>
      <c r="E954" t="str">
        <f>"8032"</f>
        <v>8032</v>
      </c>
      <c r="F954" t="str">
        <f>"INV 8032"</f>
        <v>INV 8032</v>
      </c>
      <c r="G954" t="str">
        <f>"INV 8032"</f>
        <v>INV 8032</v>
      </c>
      <c r="H954" s="4">
        <v>2154</v>
      </c>
    </row>
    <row r="955" spans="1:8" x14ac:dyDescent="0.25">
      <c r="A955" t="s">
        <v>381</v>
      </c>
      <c r="B955">
        <v>5634</v>
      </c>
      <c r="C955" s="4">
        <v>5328.54</v>
      </c>
      <c r="D955" s="5">
        <v>44572</v>
      </c>
      <c r="E955" t="str">
        <f>"96305444"</f>
        <v>96305444</v>
      </c>
      <c r="F955" t="str">
        <f>"ACCT#10187930/PCT#2"</f>
        <v>ACCT#10187930/PCT#2</v>
      </c>
      <c r="G955" t="str">
        <f>"ACCT#10187930/PCT#2"</f>
        <v>ACCT#10187930/PCT#2</v>
      </c>
      <c r="H955" s="4">
        <v>5328.54</v>
      </c>
    </row>
    <row r="956" spans="1:8" x14ac:dyDescent="0.25">
      <c r="A956" t="s">
        <v>381</v>
      </c>
      <c r="B956">
        <v>5703</v>
      </c>
      <c r="C956" s="4">
        <v>11682.9</v>
      </c>
      <c r="D956" s="5">
        <v>44586</v>
      </c>
      <c r="E956" t="str">
        <f>"96322148"</f>
        <v>96322148</v>
      </c>
      <c r="F956" t="str">
        <f>"CUST#10187718/PCT#2"</f>
        <v>CUST#10187718/PCT#2</v>
      </c>
      <c r="G956" t="str">
        <f>"CUST#10187718/PCT#2"</f>
        <v>CUST#10187718/PCT#2</v>
      </c>
      <c r="H956" s="4">
        <v>4068.62</v>
      </c>
    </row>
    <row r="957" spans="1:8" x14ac:dyDescent="0.25">
      <c r="E957" t="str">
        <f>"96328638"</f>
        <v>96328638</v>
      </c>
      <c r="F957" t="str">
        <f>"ACCT#10187718/PCT#2"</f>
        <v>ACCT#10187718/PCT#2</v>
      </c>
      <c r="G957" t="str">
        <f>"ACCT#10187718/PCT#2"</f>
        <v>ACCT#10187718/PCT#2</v>
      </c>
      <c r="H957" s="4">
        <v>7614.28</v>
      </c>
    </row>
    <row r="958" spans="1:8" x14ac:dyDescent="0.25">
      <c r="A958" t="s">
        <v>382</v>
      </c>
      <c r="B958">
        <v>5637</v>
      </c>
      <c r="C958" s="4">
        <v>3135</v>
      </c>
      <c r="D958" s="5">
        <v>44572</v>
      </c>
      <c r="E958" t="str">
        <f>"8123"</f>
        <v>8123</v>
      </c>
      <c r="F958" t="str">
        <f>"CITRUS CLEAN/PCT#2"</f>
        <v>CITRUS CLEAN/PCT#2</v>
      </c>
      <c r="G958" t="str">
        <f>"CITRUS CLEAN/PCT#2"</f>
        <v>CITRUS CLEAN/PCT#2</v>
      </c>
      <c r="H958" s="4">
        <v>3135</v>
      </c>
    </row>
    <row r="959" spans="1:8" x14ac:dyDescent="0.25">
      <c r="A959" t="s">
        <v>383</v>
      </c>
      <c r="B959">
        <v>5623</v>
      </c>
      <c r="C959" s="4">
        <v>57.49</v>
      </c>
      <c r="D959" s="5">
        <v>44572</v>
      </c>
      <c r="E959" t="str">
        <f>"22010301"</f>
        <v>22010301</v>
      </c>
      <c r="F959" t="str">
        <f>"SERVICE CONTRACT/COUNTY CLRK"</f>
        <v>SERVICE CONTRACT/COUNTY CLRK</v>
      </c>
      <c r="G959" t="str">
        <f>"SERVICE CONTRACT/COUNTY CLRK"</f>
        <v>SERVICE CONTRACT/COUNTY CLRK</v>
      </c>
      <c r="H959" s="4">
        <v>57.49</v>
      </c>
    </row>
    <row r="960" spans="1:8" x14ac:dyDescent="0.25">
      <c r="A960" t="s">
        <v>384</v>
      </c>
      <c r="B960">
        <v>5654</v>
      </c>
      <c r="C960" s="4">
        <v>197.29</v>
      </c>
      <c r="D960" s="5">
        <v>44572</v>
      </c>
      <c r="E960" t="str">
        <f>"202201048005"</f>
        <v>202201048005</v>
      </c>
      <c r="F960" t="str">
        <f>"CUST#BASC01/PCT#1"</f>
        <v>CUST#BASC01/PCT#1</v>
      </c>
      <c r="G960" t="str">
        <f>"CUST#BASC01/PCT#1"</f>
        <v>CUST#BASC01/PCT#1</v>
      </c>
      <c r="H960" s="4">
        <v>197.29</v>
      </c>
    </row>
    <row r="961" spans="1:8" x14ac:dyDescent="0.25">
      <c r="A961" t="s">
        <v>385</v>
      </c>
      <c r="B961">
        <v>138652</v>
      </c>
      <c r="C961" s="4">
        <v>4243.57</v>
      </c>
      <c r="D961" s="5">
        <v>44571</v>
      </c>
      <c r="E961" t="str">
        <f>"1163172-IN"</f>
        <v>1163172-IN</v>
      </c>
      <c r="F961" t="str">
        <f>"ACCT#01-0112917/PCT#3"</f>
        <v>ACCT#01-0112917/PCT#3</v>
      </c>
      <c r="G961" t="str">
        <f>"ACCT#01-0112917/PCT#3"</f>
        <v>ACCT#01-0112917/PCT#3</v>
      </c>
      <c r="H961" s="4">
        <v>4243.57</v>
      </c>
    </row>
    <row r="962" spans="1:8" x14ac:dyDescent="0.25">
      <c r="A962" t="s">
        <v>385</v>
      </c>
      <c r="B962">
        <v>138859</v>
      </c>
      <c r="C962" s="4">
        <v>15477.97</v>
      </c>
      <c r="D962" s="5">
        <v>44585</v>
      </c>
      <c r="E962" t="str">
        <f>"1166786-IN"</f>
        <v>1166786-IN</v>
      </c>
      <c r="F962" t="str">
        <f>"ACCT#01-0112917/PCT#3"</f>
        <v>ACCT#01-0112917/PCT#3</v>
      </c>
      <c r="G962" t="str">
        <f>"ACCT#01-0112917/PCT#3"</f>
        <v>ACCT#01-0112917/PCT#3</v>
      </c>
      <c r="H962" s="4">
        <v>3200.23</v>
      </c>
    </row>
    <row r="963" spans="1:8" x14ac:dyDescent="0.25">
      <c r="E963" t="str">
        <f>"1170108-IN"</f>
        <v>1170108-IN</v>
      </c>
      <c r="F963" t="str">
        <f>"ACCT#01-0112917/PCT#1"</f>
        <v>ACCT#01-0112917/PCT#1</v>
      </c>
      <c r="G963" t="str">
        <f>"ACCT#01-0112917/PCT#1"</f>
        <v>ACCT#01-0112917/PCT#1</v>
      </c>
      <c r="H963" s="4">
        <v>6341.42</v>
      </c>
    </row>
    <row r="964" spans="1:8" x14ac:dyDescent="0.25">
      <c r="E964" t="str">
        <f>"1170126-IN"</f>
        <v>1170126-IN</v>
      </c>
      <c r="F964" t="str">
        <f>"ACCT#01-0112917/PCT#1"</f>
        <v>ACCT#01-0112917/PCT#1</v>
      </c>
      <c r="G964" t="str">
        <f>"ACCT#01-0112917/PCT#1"</f>
        <v>ACCT#01-0112917/PCT#1</v>
      </c>
      <c r="H964" s="4">
        <v>255.6</v>
      </c>
    </row>
    <row r="965" spans="1:8" x14ac:dyDescent="0.25">
      <c r="E965" t="str">
        <f>"1170362-IN"</f>
        <v>1170362-IN</v>
      </c>
      <c r="F965" t="str">
        <f>"ACCT#01-0112917/PCT#3"</f>
        <v>ACCT#01-0112917/PCT#3</v>
      </c>
      <c r="G965" t="str">
        <f>"ACCT#01-0112917/PCT#3"</f>
        <v>ACCT#01-0112917/PCT#3</v>
      </c>
      <c r="H965" s="4">
        <v>5680.72</v>
      </c>
    </row>
    <row r="966" spans="1:8" x14ac:dyDescent="0.25">
      <c r="A966" t="s">
        <v>386</v>
      </c>
      <c r="B966">
        <v>5737</v>
      </c>
      <c r="C966" s="4">
        <v>21578.05</v>
      </c>
      <c r="D966" s="5">
        <v>44586</v>
      </c>
      <c r="E966" t="str">
        <f>"14200"</f>
        <v>14200</v>
      </c>
      <c r="F966" t="str">
        <f>"GRAVEL/PCT#1"</f>
        <v>GRAVEL/PCT#1</v>
      </c>
      <c r="G966" t="str">
        <f>"GRAVEL/PCT#1"</f>
        <v>GRAVEL/PCT#1</v>
      </c>
      <c r="H966" s="4">
        <v>1181.7</v>
      </c>
    </row>
    <row r="967" spans="1:8" x14ac:dyDescent="0.25">
      <c r="E967" t="str">
        <f>"14224"</f>
        <v>14224</v>
      </c>
      <c r="F967" t="str">
        <f>"GRAVEL/PCT#1"</f>
        <v>GRAVEL/PCT#1</v>
      </c>
      <c r="G967" t="str">
        <f>"GRAVEL/PCT#1"</f>
        <v>GRAVEL/PCT#1</v>
      </c>
      <c r="H967" s="4">
        <v>1768.05</v>
      </c>
    </row>
    <row r="968" spans="1:8" x14ac:dyDescent="0.25">
      <c r="E968" t="str">
        <f>"14271"</f>
        <v>14271</v>
      </c>
      <c r="F968" t="str">
        <f>"RIP RAP/PCT#1"</f>
        <v>RIP RAP/PCT#1</v>
      </c>
      <c r="G968" t="str">
        <f>"RIP RAP/PCT#1"</f>
        <v>RIP RAP/PCT#1</v>
      </c>
      <c r="H968" s="4">
        <v>5054</v>
      </c>
    </row>
    <row r="969" spans="1:8" x14ac:dyDescent="0.25">
      <c r="E969" t="str">
        <f>"14295"</f>
        <v>14295</v>
      </c>
      <c r="F969" t="str">
        <f>"RIP RAP/GRAVEL/PCT#1"</f>
        <v>RIP RAP/GRAVEL/PCT#1</v>
      </c>
      <c r="G969" t="str">
        <f>"RIP RAP/GRAVEL/PCT#1"</f>
        <v>RIP RAP/GRAVEL/PCT#1</v>
      </c>
      <c r="H969" s="4">
        <v>7422.1</v>
      </c>
    </row>
    <row r="970" spans="1:8" x14ac:dyDescent="0.25">
      <c r="E970" t="str">
        <f>"14318"</f>
        <v>14318</v>
      </c>
      <c r="F970" t="str">
        <f>"RIP RAP/PCT#1"</f>
        <v>RIP RAP/PCT#1</v>
      </c>
      <c r="G970" t="str">
        <f>"RIP RAP/PCT#1"</f>
        <v>RIP RAP/PCT#1</v>
      </c>
      <c r="H970" s="4">
        <v>5618.2</v>
      </c>
    </row>
    <row r="971" spans="1:8" x14ac:dyDescent="0.25">
      <c r="E971" t="str">
        <f>"14388"</f>
        <v>14388</v>
      </c>
      <c r="F971" t="str">
        <f>"GRAVEL/PCT#1"</f>
        <v>GRAVEL/PCT#1</v>
      </c>
      <c r="G971" t="str">
        <f>"GRAVEL/PCT#1"</f>
        <v>GRAVEL/PCT#1</v>
      </c>
      <c r="H971" s="4">
        <v>534</v>
      </c>
    </row>
    <row r="972" spans="1:8" x14ac:dyDescent="0.25">
      <c r="A972" t="s">
        <v>387</v>
      </c>
      <c r="B972">
        <v>138653</v>
      </c>
      <c r="C972" s="4">
        <v>71</v>
      </c>
      <c r="D972" s="5">
        <v>44571</v>
      </c>
      <c r="E972" t="str">
        <f>"7771"</f>
        <v>7771</v>
      </c>
      <c r="F972" t="str">
        <f>"INV 7771"</f>
        <v>INV 7771</v>
      </c>
      <c r="G972" t="str">
        <f>"INV 7771"</f>
        <v>INV 7771</v>
      </c>
      <c r="H972" s="4">
        <v>71</v>
      </c>
    </row>
    <row r="973" spans="1:8" x14ac:dyDescent="0.25">
      <c r="A973" t="s">
        <v>387</v>
      </c>
      <c r="B973">
        <v>138860</v>
      </c>
      <c r="C973" s="4">
        <v>480.03</v>
      </c>
      <c r="D973" s="5">
        <v>44585</v>
      </c>
      <c r="E973" t="str">
        <f>"7880"</f>
        <v>7880</v>
      </c>
      <c r="F973" t="str">
        <f>"INV 7880"</f>
        <v>INV 7880</v>
      </c>
      <c r="G973" t="str">
        <f>"INV 7880"</f>
        <v>INV 7880</v>
      </c>
      <c r="H973" s="4">
        <v>50</v>
      </c>
    </row>
    <row r="974" spans="1:8" x14ac:dyDescent="0.25">
      <c r="E974" t="str">
        <f>"7905"</f>
        <v>7905</v>
      </c>
      <c r="F974" t="str">
        <f>"ACCT#BASTCOU-08"</f>
        <v>ACCT#BASTCOU-08</v>
      </c>
      <c r="G974" t="str">
        <f>"ACCT#BASTCOU-08"</f>
        <v>ACCT#BASTCOU-08</v>
      </c>
      <c r="H974" s="4">
        <v>430.03</v>
      </c>
    </row>
    <row r="975" spans="1:8" x14ac:dyDescent="0.25">
      <c r="A975" t="s">
        <v>388</v>
      </c>
      <c r="B975">
        <v>138654</v>
      </c>
      <c r="C975" s="4">
        <v>1360</v>
      </c>
      <c r="D975" s="5">
        <v>44571</v>
      </c>
      <c r="E975" t="str">
        <f>"202201058176"</f>
        <v>202201058176</v>
      </c>
      <c r="F975" t="str">
        <f>"MEMBERSHIP/J.BOMAR"</f>
        <v>MEMBERSHIP/J.BOMAR</v>
      </c>
      <c r="G975" t="str">
        <f>"MEMBERSHIP/J.BOMAR"</f>
        <v>MEMBERSHIP/J.BOMAR</v>
      </c>
      <c r="H975" s="4">
        <v>295</v>
      </c>
    </row>
    <row r="976" spans="1:8" x14ac:dyDescent="0.25">
      <c r="E976" t="str">
        <f>"240641-240641"</f>
        <v>240641-240641</v>
      </c>
      <c r="F976" t="str">
        <f>"MEMBERSHIP/DENA TINER"</f>
        <v>MEMBERSHIP/DENA TINER</v>
      </c>
      <c r="G976" t="str">
        <f>"MEMBERSHIP/DENA TINER"</f>
        <v>MEMBERSHIP/DENA TINER</v>
      </c>
      <c r="H976" s="4">
        <v>35</v>
      </c>
    </row>
    <row r="977" spans="1:8" x14ac:dyDescent="0.25">
      <c r="E977" t="str">
        <f>"249224/249224"</f>
        <v>249224/249224</v>
      </c>
      <c r="F977" t="str">
        <f>"MEMBERSHIP/CINDY ALLEN"</f>
        <v>MEMBERSHIP/CINDY ALLEN</v>
      </c>
      <c r="G977" t="str">
        <f>"MEMBERSHIP/CINDY ALLEN"</f>
        <v>MEMBERSHIP/CINDY ALLEN</v>
      </c>
      <c r="H977" s="4">
        <v>60</v>
      </c>
    </row>
    <row r="978" spans="1:8" x14ac:dyDescent="0.25">
      <c r="E978" t="str">
        <f>"250078/250078"</f>
        <v>250078/250078</v>
      </c>
      <c r="F978" t="str">
        <f>"MEMBERSHIP/DIANE MONTOYA"</f>
        <v>MEMBERSHIP/DIANE MONTOYA</v>
      </c>
      <c r="G978" t="str">
        <f>"MEMBERSHIP/DIANE MONTOYA"</f>
        <v>MEMBERSHIP/DIANE MONTOYA</v>
      </c>
      <c r="H978" s="4">
        <v>35</v>
      </c>
    </row>
    <row r="979" spans="1:8" x14ac:dyDescent="0.25">
      <c r="E979" t="str">
        <f>"259151"</f>
        <v>259151</v>
      </c>
      <c r="F979" t="str">
        <f>"BILL#259151/R.ETHEREDGE"</f>
        <v>BILL#259151/R.ETHEREDGE</v>
      </c>
      <c r="G979" t="str">
        <f>"BILL#259151/R.ETHEREDGE"</f>
        <v>BILL#259151/R.ETHEREDGE</v>
      </c>
      <c r="H979" s="4">
        <v>125</v>
      </c>
    </row>
    <row r="980" spans="1:8" x14ac:dyDescent="0.25">
      <c r="E980" t="str">
        <f>"259841-259841"</f>
        <v>259841-259841</v>
      </c>
      <c r="F980" t="str">
        <f>"MEMBERSHIP/KRYSTAL STABENO"</f>
        <v>MEMBERSHIP/KRYSTAL STABENO</v>
      </c>
      <c r="G980" t="str">
        <f>"MEMBERSHIP/KRYSTAL STABENO"</f>
        <v>MEMBERSHIP/KRYSTAL STABENO</v>
      </c>
      <c r="H980" s="4">
        <v>60</v>
      </c>
    </row>
    <row r="981" spans="1:8" x14ac:dyDescent="0.25">
      <c r="E981" t="str">
        <f>"322183"</f>
        <v>322183</v>
      </c>
      <c r="F981" t="str">
        <f>"BILLL ID#259762/DEANNA CARTER"</f>
        <v>BILLL ID#259762/DEANNA CARTER</v>
      </c>
      <c r="G981" t="str">
        <f>"BILLL ID#259762/DEANNA CARTER"</f>
        <v>BILLL ID#259762/DEANNA CARTER</v>
      </c>
      <c r="H981" s="4">
        <v>125</v>
      </c>
    </row>
    <row r="982" spans="1:8" x14ac:dyDescent="0.25">
      <c r="E982" t="str">
        <f>"322184"</f>
        <v>322184</v>
      </c>
      <c r="F982" t="str">
        <f>"BILL#259763/M.KINCAID"</f>
        <v>BILL#259763/M.KINCAID</v>
      </c>
      <c r="G982" t="str">
        <f>"BILL#259763/M.KINCAID"</f>
        <v>BILL#259763/M.KINCAID</v>
      </c>
      <c r="H982" s="4">
        <v>125</v>
      </c>
    </row>
    <row r="983" spans="1:8" x14ac:dyDescent="0.25">
      <c r="E983" t="str">
        <f>"322185"</f>
        <v>322185</v>
      </c>
      <c r="F983" t="str">
        <f>"BILL ID#203296/LISA SMITH"</f>
        <v>BILL ID#203296/LISA SMITH</v>
      </c>
      <c r="G983" t="str">
        <f>"BILL ID#203296/LISA SMITH"</f>
        <v>BILL ID#203296/LISA SMITH</v>
      </c>
      <c r="H983" s="4">
        <v>125</v>
      </c>
    </row>
    <row r="984" spans="1:8" x14ac:dyDescent="0.25">
      <c r="E984" t="str">
        <f>"322193"</f>
        <v>322193</v>
      </c>
      <c r="F984" t="str">
        <f>"BILL ID#237381/J.PACHECO"</f>
        <v>BILL ID#237381/J.PACHECO</v>
      </c>
      <c r="G984" t="str">
        <f>"BILL ID#237381/J.PACHECO"</f>
        <v>BILL ID#237381/J.PACHECO</v>
      </c>
      <c r="H984" s="4">
        <v>125</v>
      </c>
    </row>
    <row r="985" spans="1:8" x14ac:dyDescent="0.25">
      <c r="E985" t="str">
        <f>"322198"</f>
        <v>322198</v>
      </c>
      <c r="F985" t="str">
        <f>"BILL ID#259766/BROOKE EXNER"</f>
        <v>BILL ID#259766/BROOKE EXNER</v>
      </c>
      <c r="G985" t="str">
        <f>"BILL ID#259766/BROOKE EXNER"</f>
        <v>BILL ID#259766/BROOKE EXNER</v>
      </c>
      <c r="H985" s="4">
        <v>125</v>
      </c>
    </row>
    <row r="986" spans="1:8" x14ac:dyDescent="0.25">
      <c r="E986" t="str">
        <f>"322217"</f>
        <v>322217</v>
      </c>
      <c r="F986" t="str">
        <f>"BILL#246644/A.QUINLEY"</f>
        <v>BILL#246644/A.QUINLEY</v>
      </c>
      <c r="G986" t="str">
        <f>"BILL#246644/A.QUINLEY"</f>
        <v>BILL#246644/A.QUINLEY</v>
      </c>
      <c r="H986" s="4">
        <v>125</v>
      </c>
    </row>
    <row r="987" spans="1:8" x14ac:dyDescent="0.25">
      <c r="A987" t="s">
        <v>388</v>
      </c>
      <c r="B987">
        <v>138655</v>
      </c>
      <c r="C987" s="4">
        <v>7054.13</v>
      </c>
      <c r="D987" s="5">
        <v>44571</v>
      </c>
      <c r="E987" t="str">
        <f>"D-2022-1-0110"</f>
        <v>D-2022-1-0110</v>
      </c>
      <c r="F987" t="str">
        <f>"UNEMPLOYMENT QTR END 12/31/21"</f>
        <v>UNEMPLOYMENT QTR END 12/31/21</v>
      </c>
      <c r="G987" t="str">
        <f t="shared" ref="G987:G1024" si="20">"UNEMPLOYMENT QTR END 12/31/21"</f>
        <v>UNEMPLOYMENT QTR END 12/31/21</v>
      </c>
      <c r="H987" s="4">
        <v>29.4</v>
      </c>
    </row>
    <row r="988" spans="1:8" x14ac:dyDescent="0.25">
      <c r="E988" t="str">
        <f>""</f>
        <v/>
      </c>
      <c r="F988" t="str">
        <f>""</f>
        <v/>
      </c>
      <c r="G988" t="str">
        <f t="shared" si="20"/>
        <v>UNEMPLOYMENT QTR END 12/31/21</v>
      </c>
      <c r="H988" s="4">
        <v>132.54</v>
      </c>
    </row>
    <row r="989" spans="1:8" x14ac:dyDescent="0.25">
      <c r="E989" t="str">
        <f>""</f>
        <v/>
      </c>
      <c r="F989" t="str">
        <f>""</f>
        <v/>
      </c>
      <c r="G989" t="str">
        <f t="shared" si="20"/>
        <v>UNEMPLOYMENT QTR END 12/31/21</v>
      </c>
      <c r="H989" s="4">
        <v>44.11</v>
      </c>
    </row>
    <row r="990" spans="1:8" x14ac:dyDescent="0.25">
      <c r="E990" t="str">
        <f>""</f>
        <v/>
      </c>
      <c r="F990" t="str">
        <f>""</f>
        <v/>
      </c>
      <c r="G990" t="str">
        <f t="shared" si="20"/>
        <v>UNEMPLOYMENT QTR END 12/31/21</v>
      </c>
      <c r="H990" s="4">
        <v>16.03</v>
      </c>
    </row>
    <row r="991" spans="1:8" x14ac:dyDescent="0.25">
      <c r="E991" t="str">
        <f>""</f>
        <v/>
      </c>
      <c r="F991" t="str">
        <f>""</f>
        <v/>
      </c>
      <c r="G991" t="str">
        <f t="shared" si="20"/>
        <v>UNEMPLOYMENT QTR END 12/31/21</v>
      </c>
      <c r="H991" s="4">
        <v>104.72</v>
      </c>
    </row>
    <row r="992" spans="1:8" x14ac:dyDescent="0.25">
      <c r="E992" t="str">
        <f>""</f>
        <v/>
      </c>
      <c r="F992" t="str">
        <f>""</f>
        <v/>
      </c>
      <c r="G992" t="str">
        <f t="shared" si="20"/>
        <v>UNEMPLOYMENT QTR END 12/31/21</v>
      </c>
      <c r="H992" s="4">
        <v>310.13</v>
      </c>
    </row>
    <row r="993" spans="5:8" x14ac:dyDescent="0.25">
      <c r="E993" t="str">
        <f>""</f>
        <v/>
      </c>
      <c r="F993" t="str">
        <f>""</f>
        <v/>
      </c>
      <c r="G993" t="str">
        <f t="shared" si="20"/>
        <v>UNEMPLOYMENT QTR END 12/31/21</v>
      </c>
      <c r="H993" s="4">
        <v>57.2</v>
      </c>
    </row>
    <row r="994" spans="5:8" x14ac:dyDescent="0.25">
      <c r="E994" t="str">
        <f>""</f>
        <v/>
      </c>
      <c r="F994" t="str">
        <f>""</f>
        <v/>
      </c>
      <c r="G994" t="str">
        <f t="shared" si="20"/>
        <v>UNEMPLOYMENT QTR END 12/31/21</v>
      </c>
      <c r="H994" s="4">
        <v>122.5</v>
      </c>
    </row>
    <row r="995" spans="5:8" x14ac:dyDescent="0.25">
      <c r="E995" t="str">
        <f>""</f>
        <v/>
      </c>
      <c r="F995" t="str">
        <f>""</f>
        <v/>
      </c>
      <c r="G995" t="str">
        <f t="shared" si="20"/>
        <v>UNEMPLOYMENT QTR END 12/31/21</v>
      </c>
      <c r="H995" s="4">
        <v>179.69</v>
      </c>
    </row>
    <row r="996" spans="5:8" x14ac:dyDescent="0.25">
      <c r="E996" t="str">
        <f>""</f>
        <v/>
      </c>
      <c r="F996" t="str">
        <f>""</f>
        <v/>
      </c>
      <c r="G996" t="str">
        <f t="shared" si="20"/>
        <v>UNEMPLOYMENT QTR END 12/31/21</v>
      </c>
      <c r="H996" s="4">
        <v>36.19</v>
      </c>
    </row>
    <row r="997" spans="5:8" x14ac:dyDescent="0.25">
      <c r="E997" t="str">
        <f>""</f>
        <v/>
      </c>
      <c r="F997" t="str">
        <f>""</f>
        <v/>
      </c>
      <c r="G997" t="str">
        <f t="shared" si="20"/>
        <v>UNEMPLOYMENT QTR END 12/31/21</v>
      </c>
      <c r="H997" s="4">
        <v>50.46</v>
      </c>
    </row>
    <row r="998" spans="5:8" x14ac:dyDescent="0.25">
      <c r="E998" t="str">
        <f>""</f>
        <v/>
      </c>
      <c r="F998" t="str">
        <f>""</f>
        <v/>
      </c>
      <c r="G998" t="str">
        <f t="shared" si="20"/>
        <v>UNEMPLOYMENT QTR END 12/31/21</v>
      </c>
      <c r="H998" s="4">
        <v>32.090000000000003</v>
      </c>
    </row>
    <row r="999" spans="5:8" x14ac:dyDescent="0.25">
      <c r="E999" t="str">
        <f>""</f>
        <v/>
      </c>
      <c r="F999" t="str">
        <f>""</f>
        <v/>
      </c>
      <c r="G999" t="str">
        <f t="shared" si="20"/>
        <v>UNEMPLOYMENT QTR END 12/31/21</v>
      </c>
      <c r="H999" s="4">
        <v>34.19</v>
      </c>
    </row>
    <row r="1000" spans="5:8" x14ac:dyDescent="0.25">
      <c r="E1000" t="str">
        <f>""</f>
        <v/>
      </c>
      <c r="F1000" t="str">
        <f>""</f>
        <v/>
      </c>
      <c r="G1000" t="str">
        <f t="shared" si="20"/>
        <v>UNEMPLOYMENT QTR END 12/31/21</v>
      </c>
      <c r="H1000" s="4">
        <v>29.2</v>
      </c>
    </row>
    <row r="1001" spans="5:8" x14ac:dyDescent="0.25">
      <c r="E1001" t="str">
        <f>""</f>
        <v/>
      </c>
      <c r="F1001" t="str">
        <f>""</f>
        <v/>
      </c>
      <c r="G1001" t="str">
        <f t="shared" si="20"/>
        <v>UNEMPLOYMENT QTR END 12/31/21</v>
      </c>
      <c r="H1001" s="4">
        <v>337.8</v>
      </c>
    </row>
    <row r="1002" spans="5:8" x14ac:dyDescent="0.25">
      <c r="E1002" t="str">
        <f>""</f>
        <v/>
      </c>
      <c r="F1002" t="str">
        <f>""</f>
        <v/>
      </c>
      <c r="G1002" t="str">
        <f t="shared" si="20"/>
        <v>UNEMPLOYMENT QTR END 12/31/21</v>
      </c>
      <c r="H1002" s="4">
        <v>138.08000000000001</v>
      </c>
    </row>
    <row r="1003" spans="5:8" x14ac:dyDescent="0.25">
      <c r="E1003" t="str">
        <f>""</f>
        <v/>
      </c>
      <c r="F1003" t="str">
        <f>""</f>
        <v/>
      </c>
      <c r="G1003" t="str">
        <f t="shared" si="20"/>
        <v>UNEMPLOYMENT QTR END 12/31/21</v>
      </c>
      <c r="H1003" s="4">
        <v>44.62</v>
      </c>
    </row>
    <row r="1004" spans="5:8" x14ac:dyDescent="0.25">
      <c r="E1004" t="str">
        <f>""</f>
        <v/>
      </c>
      <c r="F1004" t="str">
        <f>""</f>
        <v/>
      </c>
      <c r="G1004" t="str">
        <f t="shared" si="20"/>
        <v>UNEMPLOYMENT QTR END 12/31/21</v>
      </c>
      <c r="H1004" s="4">
        <v>57.1</v>
      </c>
    </row>
    <row r="1005" spans="5:8" x14ac:dyDescent="0.25">
      <c r="E1005" t="str">
        <f>""</f>
        <v/>
      </c>
      <c r="F1005" t="str">
        <f>""</f>
        <v/>
      </c>
      <c r="G1005" t="str">
        <f t="shared" si="20"/>
        <v>UNEMPLOYMENT QTR END 12/31/21</v>
      </c>
      <c r="H1005" s="4">
        <v>166.97</v>
      </c>
    </row>
    <row r="1006" spans="5:8" x14ac:dyDescent="0.25">
      <c r="E1006" t="str">
        <f>""</f>
        <v/>
      </c>
      <c r="F1006" t="str">
        <f>""</f>
        <v/>
      </c>
      <c r="G1006" t="str">
        <f t="shared" si="20"/>
        <v>UNEMPLOYMENT QTR END 12/31/21</v>
      </c>
      <c r="H1006" s="4">
        <v>100.83</v>
      </c>
    </row>
    <row r="1007" spans="5:8" x14ac:dyDescent="0.25">
      <c r="E1007" t="str">
        <f>""</f>
        <v/>
      </c>
      <c r="F1007" t="str">
        <f>""</f>
        <v/>
      </c>
      <c r="G1007" t="str">
        <f t="shared" si="20"/>
        <v>UNEMPLOYMENT QTR END 12/31/21</v>
      </c>
      <c r="H1007" s="4">
        <v>220.09</v>
      </c>
    </row>
    <row r="1008" spans="5:8" x14ac:dyDescent="0.25">
      <c r="E1008" t="str">
        <f>""</f>
        <v/>
      </c>
      <c r="F1008" t="str">
        <f>""</f>
        <v/>
      </c>
      <c r="G1008" t="str">
        <f t="shared" si="20"/>
        <v>UNEMPLOYMENT QTR END 12/31/21</v>
      </c>
      <c r="H1008" s="4">
        <v>142.78</v>
      </c>
    </row>
    <row r="1009" spans="5:8" x14ac:dyDescent="0.25">
      <c r="E1009" t="str">
        <f>""</f>
        <v/>
      </c>
      <c r="F1009" t="str">
        <f>""</f>
        <v/>
      </c>
      <c r="G1009" t="str">
        <f t="shared" si="20"/>
        <v>UNEMPLOYMENT QTR END 12/31/21</v>
      </c>
      <c r="H1009" s="4">
        <v>312.62</v>
      </c>
    </row>
    <row r="1010" spans="5:8" x14ac:dyDescent="0.25">
      <c r="E1010" t="str">
        <f>""</f>
        <v/>
      </c>
      <c r="F1010" t="str">
        <f>""</f>
        <v/>
      </c>
      <c r="G1010" t="str">
        <f t="shared" si="20"/>
        <v>UNEMPLOYMENT QTR END 12/31/21</v>
      </c>
      <c r="H1010" s="4">
        <v>1622.84</v>
      </c>
    </row>
    <row r="1011" spans="5:8" x14ac:dyDescent="0.25">
      <c r="E1011" t="str">
        <f>""</f>
        <v/>
      </c>
      <c r="F1011" t="str">
        <f>""</f>
        <v/>
      </c>
      <c r="G1011" t="str">
        <f t="shared" si="20"/>
        <v>UNEMPLOYMENT QTR END 12/31/21</v>
      </c>
      <c r="H1011" s="4">
        <v>72.73</v>
      </c>
    </row>
    <row r="1012" spans="5:8" x14ac:dyDescent="0.25">
      <c r="E1012" t="str">
        <f>""</f>
        <v/>
      </c>
      <c r="F1012" t="str">
        <f>""</f>
        <v/>
      </c>
      <c r="G1012" t="str">
        <f t="shared" si="20"/>
        <v>UNEMPLOYMENT QTR END 12/31/21</v>
      </c>
      <c r="H1012" s="4">
        <v>1372.12</v>
      </c>
    </row>
    <row r="1013" spans="5:8" x14ac:dyDescent="0.25">
      <c r="E1013" t="str">
        <f>""</f>
        <v/>
      </c>
      <c r="F1013" t="str">
        <f>""</f>
        <v/>
      </c>
      <c r="G1013" t="str">
        <f t="shared" si="20"/>
        <v>UNEMPLOYMENT QTR END 12/31/21</v>
      </c>
      <c r="H1013" s="4">
        <v>205.11</v>
      </c>
    </row>
    <row r="1014" spans="5:8" x14ac:dyDescent="0.25">
      <c r="E1014" t="str">
        <f>""</f>
        <v/>
      </c>
      <c r="F1014" t="str">
        <f>""</f>
        <v/>
      </c>
      <c r="G1014" t="str">
        <f t="shared" si="20"/>
        <v>UNEMPLOYMENT QTR END 12/31/21</v>
      </c>
      <c r="H1014" s="4">
        <v>19.05</v>
      </c>
    </row>
    <row r="1015" spans="5:8" x14ac:dyDescent="0.25">
      <c r="E1015" t="str">
        <f>""</f>
        <v/>
      </c>
      <c r="F1015" t="str">
        <f>""</f>
        <v/>
      </c>
      <c r="G1015" t="str">
        <f t="shared" si="20"/>
        <v>UNEMPLOYMENT QTR END 12/31/21</v>
      </c>
      <c r="H1015" s="4">
        <v>63.66</v>
      </c>
    </row>
    <row r="1016" spans="5:8" x14ac:dyDescent="0.25">
      <c r="E1016" t="str">
        <f>""</f>
        <v/>
      </c>
      <c r="F1016" t="str">
        <f>""</f>
        <v/>
      </c>
      <c r="G1016" t="str">
        <f t="shared" si="20"/>
        <v>UNEMPLOYMENT QTR END 12/31/21</v>
      </c>
      <c r="H1016" s="4">
        <v>41.33</v>
      </c>
    </row>
    <row r="1017" spans="5:8" x14ac:dyDescent="0.25">
      <c r="E1017" t="str">
        <f>""</f>
        <v/>
      </c>
      <c r="F1017" t="str">
        <f>""</f>
        <v/>
      </c>
      <c r="G1017" t="str">
        <f t="shared" si="20"/>
        <v>UNEMPLOYMENT QTR END 12/31/21</v>
      </c>
      <c r="H1017" s="4">
        <v>11.33</v>
      </c>
    </row>
    <row r="1018" spans="5:8" x14ac:dyDescent="0.25">
      <c r="E1018" t="str">
        <f>""</f>
        <v/>
      </c>
      <c r="F1018" t="str">
        <f>""</f>
        <v/>
      </c>
      <c r="G1018" t="str">
        <f t="shared" si="20"/>
        <v>UNEMPLOYMENT QTR END 12/31/21</v>
      </c>
      <c r="H1018" s="4">
        <v>69.66</v>
      </c>
    </row>
    <row r="1019" spans="5:8" x14ac:dyDescent="0.25">
      <c r="E1019" t="str">
        <f>""</f>
        <v/>
      </c>
      <c r="F1019" t="str">
        <f>""</f>
        <v/>
      </c>
      <c r="G1019" t="str">
        <f t="shared" si="20"/>
        <v>UNEMPLOYMENT QTR END 12/31/21</v>
      </c>
      <c r="H1019" s="4">
        <v>37.17</v>
      </c>
    </row>
    <row r="1020" spans="5:8" x14ac:dyDescent="0.25">
      <c r="E1020" t="str">
        <f>""</f>
        <v/>
      </c>
      <c r="F1020" t="str">
        <f>""</f>
        <v/>
      </c>
      <c r="G1020" t="str">
        <f t="shared" si="20"/>
        <v>UNEMPLOYMENT QTR END 12/31/21</v>
      </c>
      <c r="H1020" s="4">
        <v>172.85</v>
      </c>
    </row>
    <row r="1021" spans="5:8" x14ac:dyDescent="0.25">
      <c r="E1021" t="str">
        <f>""</f>
        <v/>
      </c>
      <c r="F1021" t="str">
        <f>""</f>
        <v/>
      </c>
      <c r="G1021" t="str">
        <f t="shared" si="20"/>
        <v>UNEMPLOYMENT QTR END 12/31/21</v>
      </c>
      <c r="H1021" s="4">
        <v>213.97</v>
      </c>
    </row>
    <row r="1022" spans="5:8" x14ac:dyDescent="0.25">
      <c r="E1022" t="str">
        <f>""</f>
        <v/>
      </c>
      <c r="F1022" t="str">
        <f>""</f>
        <v/>
      </c>
      <c r="G1022" t="str">
        <f t="shared" si="20"/>
        <v>UNEMPLOYMENT QTR END 12/31/21</v>
      </c>
      <c r="H1022" s="4">
        <v>188.14</v>
      </c>
    </row>
    <row r="1023" spans="5:8" x14ac:dyDescent="0.25">
      <c r="E1023" t="str">
        <f>""</f>
        <v/>
      </c>
      <c r="F1023" t="str">
        <f>""</f>
        <v/>
      </c>
      <c r="G1023" t="str">
        <f t="shared" si="20"/>
        <v>UNEMPLOYMENT QTR END 12/31/21</v>
      </c>
      <c r="H1023" s="4">
        <v>236.5</v>
      </c>
    </row>
    <row r="1024" spans="5:8" x14ac:dyDescent="0.25">
      <c r="E1024" t="str">
        <f>""</f>
        <v/>
      </c>
      <c r="F1024" t="str">
        <f>""</f>
        <v/>
      </c>
      <c r="G1024" t="str">
        <f t="shared" si="20"/>
        <v>UNEMPLOYMENT QTR END 12/31/21</v>
      </c>
      <c r="H1024" s="4">
        <v>28.33</v>
      </c>
    </row>
    <row r="1025" spans="1:8" x14ac:dyDescent="0.25">
      <c r="A1025" t="s">
        <v>388</v>
      </c>
      <c r="B1025">
        <v>138861</v>
      </c>
      <c r="C1025" s="4">
        <v>920</v>
      </c>
      <c r="D1025" s="5">
        <v>44585</v>
      </c>
      <c r="E1025" t="str">
        <f>"231552 01/01/22"</f>
        <v>231552 01/01/22</v>
      </c>
      <c r="F1025" t="str">
        <f>"MEMBERSHIP/JOICE SCHANHALS"</f>
        <v>MEMBERSHIP/JOICE SCHANHALS</v>
      </c>
      <c r="G1025" t="str">
        <f>"MEMBERSHIP/JOICE SCHANHALS"</f>
        <v>MEMBERSHIP/JOICE SCHANHALS</v>
      </c>
      <c r="H1025" s="4">
        <v>50</v>
      </c>
    </row>
    <row r="1026" spans="1:8" x14ac:dyDescent="0.25">
      <c r="E1026" t="str">
        <f>"255680 01/01/22"</f>
        <v>255680 01/01/22</v>
      </c>
      <c r="F1026" t="str">
        <f>"MEMBERSHIP/ELLEN OWENS"</f>
        <v>MEMBERSHIP/ELLEN OWENS</v>
      </c>
      <c r="G1026" t="str">
        <f>"MEMBERSHIP/ELLEN OWENS"</f>
        <v>MEMBERSHIP/ELLEN OWENS</v>
      </c>
      <c r="H1026" s="4">
        <v>125</v>
      </c>
    </row>
    <row r="1027" spans="1:8" x14ac:dyDescent="0.25">
      <c r="E1027" t="str">
        <f>"256513 01/01/2022"</f>
        <v>256513 01/01/2022</v>
      </c>
      <c r="F1027" t="str">
        <f>"MEMBERSHIP/ESMERALDA OSORIO"</f>
        <v>MEMBERSHIP/ESMERALDA OSORIO</v>
      </c>
      <c r="G1027" t="str">
        <f>"MEMBERSHIP/ESMERALDA OSORIO"</f>
        <v>MEMBERSHIP/ESMERALDA OSORIO</v>
      </c>
      <c r="H1027" s="4">
        <v>50</v>
      </c>
    </row>
    <row r="1028" spans="1:8" x14ac:dyDescent="0.25">
      <c r="E1028" t="str">
        <f>"256514 01/01/2022"</f>
        <v>256514 01/01/2022</v>
      </c>
      <c r="F1028" t="str">
        <f>"MEMBERSHIP/PATSY MIRELES"</f>
        <v>MEMBERSHIP/PATSY MIRELES</v>
      </c>
      <c r="G1028" t="str">
        <f>"MEMBERSHIP/PATSY MIRELES"</f>
        <v>MEMBERSHIP/PATSY MIRELES</v>
      </c>
      <c r="H1028" s="4">
        <v>50</v>
      </c>
    </row>
    <row r="1029" spans="1:8" x14ac:dyDescent="0.25">
      <c r="E1029" t="str">
        <f>"259688"</f>
        <v>259688</v>
      </c>
      <c r="F1029" t="str">
        <f>"CDCAT MEMBERSHIP/K.BARTCH"</f>
        <v>CDCAT MEMBERSHIP/K.BARTCH</v>
      </c>
      <c r="G1029" t="str">
        <f>"CDCAT MEMBERSHIP/K.BARTCH"</f>
        <v>CDCAT MEMBERSHIP/K.BARTCH</v>
      </c>
      <c r="H1029" s="4">
        <v>125</v>
      </c>
    </row>
    <row r="1030" spans="1:8" x14ac:dyDescent="0.25">
      <c r="E1030" t="str">
        <f>"322130"</f>
        <v>322130</v>
      </c>
      <c r="F1030" t="str">
        <f>"MEMBER ID#257070/A.VASQUEZ"</f>
        <v>MEMBER ID#257070/A.VASQUEZ</v>
      </c>
      <c r="G1030" t="str">
        <f>"MEMBER ID#257070/A.VASQUEZ"</f>
        <v>MEMBER ID#257070/A.VASQUEZ</v>
      </c>
      <c r="H1030" s="4">
        <v>395</v>
      </c>
    </row>
    <row r="1031" spans="1:8" x14ac:dyDescent="0.25">
      <c r="E1031" t="str">
        <f>"72341"</f>
        <v>72341</v>
      </c>
      <c r="F1031" t="str">
        <f>"ACCT#231974/DISTRICT CLERK"</f>
        <v>ACCT#231974/DISTRICT CLERK</v>
      </c>
      <c r="G1031" t="str">
        <f>"ACCT#231974/DISTRICT CLERK"</f>
        <v>ACCT#231974/DISTRICT CLERK</v>
      </c>
      <c r="H1031" s="4">
        <v>125</v>
      </c>
    </row>
    <row r="1032" spans="1:8" x14ac:dyDescent="0.25">
      <c r="A1032" t="s">
        <v>389</v>
      </c>
      <c r="B1032">
        <v>138862</v>
      </c>
      <c r="C1032" s="4">
        <v>3030</v>
      </c>
      <c r="D1032" s="5">
        <v>44585</v>
      </c>
      <c r="E1032" t="str">
        <f>"202201138300"</f>
        <v>202201138300</v>
      </c>
      <c r="F1032" t="str">
        <f>"ACCT#0620010"</f>
        <v>ACCT#0620010</v>
      </c>
      <c r="G1032" t="str">
        <f>"ACCT#0620010"</f>
        <v>ACCT#0620010</v>
      </c>
      <c r="H1032" s="4">
        <v>3030</v>
      </c>
    </row>
    <row r="1033" spans="1:8" x14ac:dyDescent="0.25">
      <c r="A1033" t="s">
        <v>390</v>
      </c>
      <c r="B1033">
        <v>5638</v>
      </c>
      <c r="C1033" s="4">
        <v>165</v>
      </c>
      <c r="D1033" s="5">
        <v>44572</v>
      </c>
      <c r="E1033" t="str">
        <f>"19475"</f>
        <v>19475</v>
      </c>
      <c r="F1033" t="str">
        <f>"MEDICAL WASTE/ANIMAL SHELTER"</f>
        <v>MEDICAL WASTE/ANIMAL SHELTER</v>
      </c>
      <c r="G1033" t="str">
        <f>"MEDICAL WASTE/ANIMAL SHELTER"</f>
        <v>MEDICAL WASTE/ANIMAL SHELTER</v>
      </c>
      <c r="H1033" s="4">
        <v>165</v>
      </c>
    </row>
    <row r="1034" spans="1:8" x14ac:dyDescent="0.25">
      <c r="A1034" t="s">
        <v>391</v>
      </c>
      <c r="B1034">
        <v>138863</v>
      </c>
      <c r="C1034" s="4">
        <v>3105</v>
      </c>
      <c r="D1034" s="5">
        <v>44585</v>
      </c>
      <c r="E1034" t="str">
        <f>"202201138442"</f>
        <v>202201138442</v>
      </c>
      <c r="F1034" t="str">
        <f>"OVERWEIGHT PERMITS/PCT#2"</f>
        <v>OVERWEIGHT PERMITS/PCT#2</v>
      </c>
      <c r="G1034" t="str">
        <f>"OVERWEIGHT PERMITS/PCT#2"</f>
        <v>OVERWEIGHT PERMITS/PCT#2</v>
      </c>
      <c r="H1034" s="4">
        <v>3105</v>
      </c>
    </row>
    <row r="1035" spans="1:8" x14ac:dyDescent="0.25">
      <c r="A1035" t="s">
        <v>392</v>
      </c>
      <c r="B1035">
        <v>138864</v>
      </c>
      <c r="C1035" s="4">
        <v>25</v>
      </c>
      <c r="D1035" s="5">
        <v>44585</v>
      </c>
      <c r="E1035" t="str">
        <f>"CRS-202110-226386"</f>
        <v>CRS-202110-226386</v>
      </c>
      <c r="F1035" t="str">
        <f>"NAME SEARCH/HR"</f>
        <v>NAME SEARCH/HR</v>
      </c>
      <c r="G1035" t="str">
        <f>"NAME SEARCH/HR"</f>
        <v>NAME SEARCH/HR</v>
      </c>
      <c r="H1035" s="4">
        <v>25</v>
      </c>
    </row>
    <row r="1036" spans="1:8" x14ac:dyDescent="0.25">
      <c r="A1036" t="s">
        <v>393</v>
      </c>
      <c r="B1036">
        <v>138656</v>
      </c>
      <c r="C1036" s="4">
        <v>179.18</v>
      </c>
      <c r="D1036" s="5">
        <v>44571</v>
      </c>
      <c r="E1036" t="str">
        <f>"6348263"</f>
        <v>6348263</v>
      </c>
      <c r="F1036" t="str">
        <f>"CUST#1-238865/TAHITIAN VILLAGE"</f>
        <v>CUST#1-238865/TAHITIAN VILLAGE</v>
      </c>
      <c r="G1036" t="str">
        <f>"CUST#1-238865/TAHITIAN VILLAGE"</f>
        <v>CUST#1-238865/TAHITIAN VILLAGE</v>
      </c>
      <c r="H1036" s="4">
        <v>179.18</v>
      </c>
    </row>
    <row r="1037" spans="1:8" x14ac:dyDescent="0.25">
      <c r="A1037" t="s">
        <v>394</v>
      </c>
      <c r="B1037">
        <v>138657</v>
      </c>
      <c r="C1037" s="4">
        <v>129</v>
      </c>
      <c r="D1037" s="5">
        <v>44571</v>
      </c>
      <c r="E1037" t="str">
        <f>"202201048071"</f>
        <v>202201048071</v>
      </c>
      <c r="F1037" t="str">
        <f>"TRAINING"</f>
        <v>TRAINING</v>
      </c>
      <c r="G1037" t="str">
        <f>"TRAINING"</f>
        <v>TRAINING</v>
      </c>
      <c r="H1037" s="4">
        <v>129</v>
      </c>
    </row>
    <row r="1038" spans="1:8" x14ac:dyDescent="0.25">
      <c r="A1038" t="s">
        <v>395</v>
      </c>
      <c r="B1038">
        <v>138658</v>
      </c>
      <c r="C1038" s="4">
        <v>185</v>
      </c>
      <c r="D1038" s="5">
        <v>44571</v>
      </c>
      <c r="E1038" t="str">
        <f>"61845"</f>
        <v>61845</v>
      </c>
      <c r="F1038" t="str">
        <f>"TRAINING/C.ALLEN"</f>
        <v>TRAINING/C.ALLEN</v>
      </c>
      <c r="G1038" t="str">
        <f>"TRAINING/C.ALLEN"</f>
        <v>TRAINING/C.ALLEN</v>
      </c>
      <c r="H1038" s="4">
        <v>185</v>
      </c>
    </row>
    <row r="1039" spans="1:8" x14ac:dyDescent="0.25">
      <c r="A1039" t="s">
        <v>395</v>
      </c>
      <c r="B1039">
        <v>138659</v>
      </c>
      <c r="C1039" s="4">
        <v>130</v>
      </c>
      <c r="D1039" s="5">
        <v>44571</v>
      </c>
      <c r="E1039" t="str">
        <f>"61846"</f>
        <v>61846</v>
      </c>
      <c r="F1039" t="str">
        <f>"TRAINING/C.ALLEN"</f>
        <v>TRAINING/C.ALLEN</v>
      </c>
      <c r="G1039" t="str">
        <f>"TRAINING/C.ALLEN"</f>
        <v>TRAINING/C.ALLEN</v>
      </c>
      <c r="H1039" s="4">
        <v>130</v>
      </c>
    </row>
    <row r="1040" spans="1:8" x14ac:dyDescent="0.25">
      <c r="A1040" t="s">
        <v>395</v>
      </c>
      <c r="B1040">
        <v>138660</v>
      </c>
      <c r="C1040" s="4">
        <v>185</v>
      </c>
      <c r="D1040" s="5">
        <v>44571</v>
      </c>
      <c r="E1040" t="str">
        <f>"62040"</f>
        <v>62040</v>
      </c>
      <c r="F1040" t="str">
        <f>"TRAINING/RAYMAH DAVIS"</f>
        <v>TRAINING/RAYMAH DAVIS</v>
      </c>
      <c r="G1040" t="str">
        <f>"TRAINING/RAYMAH DAVIS"</f>
        <v>TRAINING/RAYMAH DAVIS</v>
      </c>
      <c r="H1040" s="4">
        <v>185</v>
      </c>
    </row>
    <row r="1041" spans="1:8" x14ac:dyDescent="0.25">
      <c r="A1041" t="s">
        <v>395</v>
      </c>
      <c r="B1041">
        <v>138661</v>
      </c>
      <c r="C1041" s="4">
        <v>220</v>
      </c>
      <c r="D1041" s="5">
        <v>44571</v>
      </c>
      <c r="E1041" t="str">
        <f>"90791"</f>
        <v>90791</v>
      </c>
      <c r="F1041" t="str">
        <f>"TRAINING/KRYSTAL STABENO"</f>
        <v>TRAINING/KRYSTAL STABENO</v>
      </c>
      <c r="G1041" t="str">
        <f>"TRAINING/KRYSTAL STABENO"</f>
        <v>TRAINING/KRYSTAL STABENO</v>
      </c>
      <c r="H1041" s="4">
        <v>220</v>
      </c>
    </row>
    <row r="1042" spans="1:8" x14ac:dyDescent="0.25">
      <c r="A1042" t="s">
        <v>396</v>
      </c>
      <c r="B1042">
        <v>138865</v>
      </c>
      <c r="C1042" s="4">
        <v>8452.2000000000007</v>
      </c>
      <c r="D1042" s="5">
        <v>44585</v>
      </c>
      <c r="E1042" t="str">
        <f>"201026289"</f>
        <v>201026289</v>
      </c>
      <c r="F1042" t="str">
        <f>"CUST#255120/PCT#2"</f>
        <v>CUST#255120/PCT#2</v>
      </c>
      <c r="G1042" t="str">
        <f>"CUST#255120/PCT#2"</f>
        <v>CUST#255120/PCT#2</v>
      </c>
      <c r="H1042" s="4">
        <v>5626.8</v>
      </c>
    </row>
    <row r="1043" spans="1:8" x14ac:dyDescent="0.25">
      <c r="E1043" t="str">
        <f>"201026687"</f>
        <v>201026687</v>
      </c>
      <c r="F1043" t="str">
        <f>"CUST#255120/PCT#2"</f>
        <v>CUST#255120/PCT#2</v>
      </c>
      <c r="G1043" t="str">
        <f>"CUST#255120/PCT#2"</f>
        <v>CUST#255120/PCT#2</v>
      </c>
      <c r="H1043" s="4">
        <v>2825.4</v>
      </c>
    </row>
    <row r="1044" spans="1:8" x14ac:dyDescent="0.25">
      <c r="A1044" t="s">
        <v>397</v>
      </c>
      <c r="B1044">
        <v>138866</v>
      </c>
      <c r="C1044" s="4">
        <v>212.1</v>
      </c>
      <c r="D1044" s="5">
        <v>44585</v>
      </c>
      <c r="E1044" t="str">
        <f>"202201198489"</f>
        <v>202201198489</v>
      </c>
      <c r="F1044" t="str">
        <f>"INDIGENT HEALTH"</f>
        <v>INDIGENT HEALTH</v>
      </c>
      <c r="G1044" t="str">
        <f>"INDIGENT HEALTH"</f>
        <v>INDIGENT HEALTH</v>
      </c>
      <c r="H1044" s="4">
        <v>97.3</v>
      </c>
    </row>
    <row r="1045" spans="1:8" x14ac:dyDescent="0.25">
      <c r="E1045" t="str">
        <f>""</f>
        <v/>
      </c>
      <c r="F1045" t="str">
        <f>""</f>
        <v/>
      </c>
      <c r="G1045" t="str">
        <f>"INDIGENT HEALTH"</f>
        <v>INDIGENT HEALTH</v>
      </c>
      <c r="H1045" s="4">
        <v>114.8</v>
      </c>
    </row>
    <row r="1046" spans="1:8" x14ac:dyDescent="0.25">
      <c r="A1046" t="s">
        <v>398</v>
      </c>
      <c r="B1046">
        <v>138662</v>
      </c>
      <c r="C1046" s="4">
        <v>90</v>
      </c>
      <c r="D1046" s="5">
        <v>44571</v>
      </c>
      <c r="E1046" t="str">
        <f>"202201048072"</f>
        <v>202201048072</v>
      </c>
      <c r="F1046" t="str">
        <f>"TRAINING"</f>
        <v>TRAINING</v>
      </c>
      <c r="G1046" t="str">
        <f>"TRAINING"</f>
        <v>TRAINING</v>
      </c>
      <c r="H1046" s="4">
        <v>90</v>
      </c>
    </row>
    <row r="1047" spans="1:8" x14ac:dyDescent="0.25">
      <c r="A1047" t="s">
        <v>399</v>
      </c>
      <c r="B1047">
        <v>138867</v>
      </c>
      <c r="C1047" s="4">
        <v>80</v>
      </c>
      <c r="D1047" s="5">
        <v>44585</v>
      </c>
      <c r="E1047" t="str">
        <f>"220106"</f>
        <v>220106</v>
      </c>
      <c r="F1047" t="str">
        <f>"INV 220106-WKP-01"</f>
        <v>INV 220106-WKP-01</v>
      </c>
      <c r="G1047" t="str">
        <f>"INV 220106-WKP-01"</f>
        <v>INV 220106-WKP-01</v>
      </c>
      <c r="H1047" s="4">
        <v>80</v>
      </c>
    </row>
    <row r="1048" spans="1:8" x14ac:dyDescent="0.25">
      <c r="A1048" t="s">
        <v>400</v>
      </c>
      <c r="B1048">
        <v>138868</v>
      </c>
      <c r="C1048" s="4">
        <v>3775.5</v>
      </c>
      <c r="D1048" s="5">
        <v>44585</v>
      </c>
      <c r="E1048" t="str">
        <f>"134446"</f>
        <v>134446</v>
      </c>
      <c r="F1048" t="str">
        <f>"DODGE 2500/PCT#1"</f>
        <v>DODGE 2500/PCT#1</v>
      </c>
      <c r="G1048" t="str">
        <f>"DODGE 2500/PCT#1"</f>
        <v>DODGE 2500/PCT#1</v>
      </c>
      <c r="H1048" s="4">
        <v>900</v>
      </c>
    </row>
    <row r="1049" spans="1:8" x14ac:dyDescent="0.25">
      <c r="E1049" t="str">
        <f>"134451"</f>
        <v>134451</v>
      </c>
      <c r="F1049" t="str">
        <f>"TRUCK SUPPLIES/PCT#1"</f>
        <v>TRUCK SUPPLIES/PCT#1</v>
      </c>
      <c r="G1049" t="str">
        <f>"TRUCK SUPPLIES/PCT#1"</f>
        <v>TRUCK SUPPLIES/PCT#1</v>
      </c>
      <c r="H1049" s="4">
        <v>2875.5</v>
      </c>
    </row>
    <row r="1050" spans="1:8" x14ac:dyDescent="0.25">
      <c r="A1050" t="s">
        <v>401</v>
      </c>
      <c r="B1050">
        <v>5704</v>
      </c>
      <c r="C1050" s="4">
        <v>262.95</v>
      </c>
      <c r="D1050" s="5">
        <v>44586</v>
      </c>
      <c r="E1050" t="str">
        <f>"202201198490"</f>
        <v>202201198490</v>
      </c>
      <c r="F1050" t="str">
        <f>"INDIGENT HEALTH"</f>
        <v>INDIGENT HEALTH</v>
      </c>
      <c r="G1050" t="str">
        <f>"INDIGENT HEALTH"</f>
        <v>INDIGENT HEALTH</v>
      </c>
      <c r="H1050" s="4">
        <v>262.95</v>
      </c>
    </row>
    <row r="1051" spans="1:8" x14ac:dyDescent="0.25">
      <c r="A1051" t="s">
        <v>402</v>
      </c>
      <c r="B1051">
        <v>138869</v>
      </c>
      <c r="C1051" s="4">
        <v>40</v>
      </c>
      <c r="D1051" s="5">
        <v>44585</v>
      </c>
      <c r="E1051" t="str">
        <f>"21-R002264-1"</f>
        <v>21-R002264-1</v>
      </c>
      <c r="F1051" t="str">
        <f>"INV 21-R002264-1"</f>
        <v>INV 21-R002264-1</v>
      </c>
      <c r="G1051" t="str">
        <f>"INV 21-R002264-1"</f>
        <v>INV 21-R002264-1</v>
      </c>
      <c r="H1051" s="4">
        <v>40</v>
      </c>
    </row>
    <row r="1052" spans="1:8" x14ac:dyDescent="0.25">
      <c r="A1052" t="s">
        <v>403</v>
      </c>
      <c r="B1052">
        <v>5627</v>
      </c>
      <c r="C1052" s="4">
        <v>1520.5</v>
      </c>
      <c r="D1052" s="5">
        <v>44572</v>
      </c>
      <c r="E1052" t="str">
        <f>"293742"</f>
        <v>293742</v>
      </c>
      <c r="F1052" t="str">
        <f>"ACCT#188757/LBJ BLD."</f>
        <v>ACCT#188757/LBJ BLD.</v>
      </c>
      <c r="G1052" t="str">
        <f>"ACCT#188757/LBJ BLD."</f>
        <v>ACCT#188757/LBJ BLD.</v>
      </c>
      <c r="H1052" s="4">
        <v>69</v>
      </c>
    </row>
    <row r="1053" spans="1:8" x14ac:dyDescent="0.25">
      <c r="E1053" t="str">
        <f>"293777"</f>
        <v>293777</v>
      </c>
      <c r="F1053" t="str">
        <f>"ACCT#188757/PCT#4"</f>
        <v>ACCT#188757/PCT#4</v>
      </c>
      <c r="G1053" t="str">
        <f>"ACCT#188757/PCT#4"</f>
        <v>ACCT#188757/PCT#4</v>
      </c>
      <c r="H1053" s="4">
        <v>95.5</v>
      </c>
    </row>
    <row r="1054" spans="1:8" x14ac:dyDescent="0.25">
      <c r="E1054" t="str">
        <f>"294407"</f>
        <v>294407</v>
      </c>
      <c r="F1054" t="str">
        <f>"ACCT#188757/SIGN SHOP"</f>
        <v>ACCT#188757/SIGN SHOP</v>
      </c>
      <c r="G1054" t="str">
        <f>"ACCT#188757/SIGN SHOP"</f>
        <v>ACCT#188757/SIGN SHOP</v>
      </c>
      <c r="H1054" s="4">
        <v>95</v>
      </c>
    </row>
    <row r="1055" spans="1:8" x14ac:dyDescent="0.25">
      <c r="E1055" t="str">
        <f>"294417"</f>
        <v>294417</v>
      </c>
      <c r="F1055" t="str">
        <f>"ACCT#188757/ANIMAL SHELTER"</f>
        <v>ACCT#188757/ANIMAL SHELTER</v>
      </c>
      <c r="G1055" t="str">
        <f>"ACCT#188757/ANIMAL SHELTER"</f>
        <v>ACCT#188757/ANIMAL SHELTER</v>
      </c>
      <c r="H1055" s="4">
        <v>290</v>
      </c>
    </row>
    <row r="1056" spans="1:8" x14ac:dyDescent="0.25">
      <c r="E1056" t="str">
        <f>"296086"</f>
        <v>296086</v>
      </c>
      <c r="F1056" t="str">
        <f>"ACCT#188757/COURTHOUSE"</f>
        <v>ACCT#188757/COURTHOUSE</v>
      </c>
      <c r="G1056" t="str">
        <f>"ACCT#188757/COURTHOUSE"</f>
        <v>ACCT#188757/COURTHOUSE</v>
      </c>
      <c r="H1056" s="4">
        <v>486</v>
      </c>
    </row>
    <row r="1057" spans="1:8" x14ac:dyDescent="0.25">
      <c r="E1057" t="str">
        <f>"297105"</f>
        <v>297105</v>
      </c>
      <c r="F1057" t="str">
        <f>"ACCT#188757/JUVENILE PROBATION"</f>
        <v>ACCT#188757/JUVENILE PROBATION</v>
      </c>
      <c r="G1057" t="str">
        <f>"ACCT#188757/JUVENILE PROBATION"</f>
        <v>ACCT#188757/JUVENILE PROBATION</v>
      </c>
      <c r="H1057" s="4">
        <v>132</v>
      </c>
    </row>
    <row r="1058" spans="1:8" x14ac:dyDescent="0.25">
      <c r="E1058" t="str">
        <f>"297113"</f>
        <v>297113</v>
      </c>
      <c r="F1058" t="str">
        <f>"ACCT#188757/MIKE FISHER"</f>
        <v>ACCT#188757/MIKE FISHER</v>
      </c>
      <c r="G1058" t="str">
        <f>"ACCT#188757/MIKE FISHER"</f>
        <v>ACCT#188757/MIKE FISHER</v>
      </c>
      <c r="H1058" s="4">
        <v>112</v>
      </c>
    </row>
    <row r="1059" spans="1:8" x14ac:dyDescent="0.25">
      <c r="E1059" t="str">
        <f>"297133"</f>
        <v>297133</v>
      </c>
      <c r="F1059" t="str">
        <f>"ACCT#188757/HISTORIC JAIL"</f>
        <v>ACCT#188757/HISTORIC JAIL</v>
      </c>
      <c r="G1059" t="str">
        <f>"ACCT#188757/HISTORIC JAIL"</f>
        <v>ACCT#188757/HISTORIC JAIL</v>
      </c>
      <c r="H1059" s="4">
        <v>76</v>
      </c>
    </row>
    <row r="1060" spans="1:8" x14ac:dyDescent="0.25">
      <c r="E1060" t="str">
        <f>"297139"</f>
        <v>297139</v>
      </c>
      <c r="F1060" t="str">
        <f>"ACCT#188757/EXTENSION HABITAT"</f>
        <v>ACCT#188757/EXTENSION HABITAT</v>
      </c>
      <c r="G1060" t="str">
        <f>"ACCT#188757/EXTENSION HABITAT"</f>
        <v>ACCT#188757/EXTENSION HABITAT</v>
      </c>
      <c r="H1060" s="4">
        <v>89</v>
      </c>
    </row>
    <row r="1061" spans="1:8" x14ac:dyDescent="0.25">
      <c r="E1061" t="str">
        <f>"297145"</f>
        <v>297145</v>
      </c>
      <c r="F1061" t="str">
        <f>"ACCT#188757/DPS/TDL"</f>
        <v>ACCT#188757/DPS/TDL</v>
      </c>
      <c r="G1061" t="str">
        <f>"ACCT#188757/DPS/TDL"</f>
        <v>ACCT#188757/DPS/TDL</v>
      </c>
      <c r="H1061" s="4">
        <v>76</v>
      </c>
    </row>
    <row r="1062" spans="1:8" x14ac:dyDescent="0.25">
      <c r="A1062" t="s">
        <v>403</v>
      </c>
      <c r="B1062">
        <v>5695</v>
      </c>
      <c r="C1062" s="4">
        <v>512</v>
      </c>
      <c r="D1062" s="5">
        <v>44586</v>
      </c>
      <c r="E1062" t="str">
        <f>"297652"</f>
        <v>297652</v>
      </c>
      <c r="F1062" t="str">
        <f>"ACCT#188757/JP#2"</f>
        <v>ACCT#188757/JP#2</v>
      </c>
      <c r="G1062" t="str">
        <f>"ACCT#188757/JP#2"</f>
        <v>ACCT#188757/JP#2</v>
      </c>
      <c r="H1062" s="4">
        <v>95</v>
      </c>
    </row>
    <row r="1063" spans="1:8" x14ac:dyDescent="0.25">
      <c r="E1063" t="str">
        <f>"297700"</f>
        <v>297700</v>
      </c>
      <c r="F1063" t="str">
        <f>"ACCT#188757/PCT #2 BARN"</f>
        <v>ACCT#188757/PCT #2 BARN</v>
      </c>
      <c r="G1063" t="str">
        <f>"ACCT#188757/PCT #2 BARN"</f>
        <v>ACCT#188757/PCT #2 BARN</v>
      </c>
      <c r="H1063" s="4">
        <v>95</v>
      </c>
    </row>
    <row r="1064" spans="1:8" x14ac:dyDescent="0.25">
      <c r="E1064" t="str">
        <f>"297927"</f>
        <v>297927</v>
      </c>
      <c r="F1064" t="str">
        <f>"ACCT#188757/TAX OFFICE"</f>
        <v>ACCT#188757/TAX OFFICE</v>
      </c>
      <c r="G1064" t="str">
        <f>"ACCT#188757/TAX OFFICE"</f>
        <v>ACCT#188757/TAX OFFICE</v>
      </c>
      <c r="H1064" s="4">
        <v>102</v>
      </c>
    </row>
    <row r="1065" spans="1:8" x14ac:dyDescent="0.25">
      <c r="E1065" t="str">
        <f>"298030"</f>
        <v>298030</v>
      </c>
      <c r="F1065" t="str">
        <f>"ACCT#188757/JP#3"</f>
        <v>ACCT#188757/JP#3</v>
      </c>
      <c r="G1065" t="str">
        <f>"ACCT#188757/JP#3"</f>
        <v>ACCT#188757/JP#3</v>
      </c>
      <c r="H1065" s="4">
        <v>95</v>
      </c>
    </row>
    <row r="1066" spans="1:8" x14ac:dyDescent="0.25">
      <c r="E1066" t="str">
        <f>"298051"</f>
        <v>298051</v>
      </c>
      <c r="F1066" t="str">
        <f>"ACCT#188757/CEDAR CREEK PARK"</f>
        <v>ACCT#188757/CEDAR CREEK PARK</v>
      </c>
      <c r="G1066" t="str">
        <f>"ACCT#188757/CEDAR CREEK PARK"</f>
        <v>ACCT#188757/CEDAR CREEK PARK</v>
      </c>
      <c r="H1066" s="4">
        <v>125</v>
      </c>
    </row>
    <row r="1067" spans="1:8" x14ac:dyDescent="0.25">
      <c r="A1067" t="s">
        <v>404</v>
      </c>
      <c r="B1067">
        <v>138663</v>
      </c>
      <c r="C1067" s="4">
        <v>185</v>
      </c>
      <c r="D1067" s="5">
        <v>44571</v>
      </c>
      <c r="E1067" t="str">
        <f>"382635"</f>
        <v>382635</v>
      </c>
      <c r="F1067" t="str">
        <f>"INV 382635"</f>
        <v>INV 382635</v>
      </c>
      <c r="G1067" t="str">
        <f>"INV 382635"</f>
        <v>INV 382635</v>
      </c>
      <c r="H1067" s="4">
        <v>185</v>
      </c>
    </row>
    <row r="1068" spans="1:8" x14ac:dyDescent="0.25">
      <c r="A1068" t="s">
        <v>405</v>
      </c>
      <c r="B1068">
        <v>138664</v>
      </c>
      <c r="C1068" s="4">
        <v>250</v>
      </c>
      <c r="D1068" s="5">
        <v>44571</v>
      </c>
      <c r="E1068" t="str">
        <f>"EXPO2022"</f>
        <v>EXPO2022</v>
      </c>
      <c r="F1068" t="str">
        <f>"WINTER TEXAN EXPO 2022"</f>
        <v>WINTER TEXAN EXPO 2022</v>
      </c>
      <c r="G1068" t="str">
        <f>"WINTER TEXAN EXPO 2022"</f>
        <v>WINTER TEXAN EXPO 2022</v>
      </c>
      <c r="H1068" s="4">
        <v>250</v>
      </c>
    </row>
    <row r="1069" spans="1:8" x14ac:dyDescent="0.25">
      <c r="A1069" t="s">
        <v>406</v>
      </c>
      <c r="B1069">
        <v>5617</v>
      </c>
      <c r="C1069" s="4">
        <v>1375</v>
      </c>
      <c r="D1069" s="5">
        <v>44572</v>
      </c>
      <c r="E1069" t="str">
        <f>"202201048033"</f>
        <v>202201048033</v>
      </c>
      <c r="F1069" t="str">
        <f>"DCPC-21-126"</f>
        <v>DCPC-21-126</v>
      </c>
      <c r="G1069" t="str">
        <f>"DCPC-21-126"</f>
        <v>DCPC-21-126</v>
      </c>
      <c r="H1069" s="4">
        <v>600</v>
      </c>
    </row>
    <row r="1070" spans="1:8" x14ac:dyDescent="0.25">
      <c r="E1070" t="str">
        <f>"202201048034"</f>
        <v>202201048034</v>
      </c>
      <c r="F1070" t="str">
        <f>"21-20807"</f>
        <v>21-20807</v>
      </c>
      <c r="G1070" t="str">
        <f>"21-20807"</f>
        <v>21-20807</v>
      </c>
      <c r="H1070" s="4">
        <v>275</v>
      </c>
    </row>
    <row r="1071" spans="1:8" x14ac:dyDescent="0.25">
      <c r="E1071" t="str">
        <f>"202201048035"</f>
        <v>202201048035</v>
      </c>
      <c r="F1071" t="str">
        <f>"BC20210812"</f>
        <v>BC20210812</v>
      </c>
      <c r="G1071" t="str">
        <f>"BC20210812"</f>
        <v>BC20210812</v>
      </c>
      <c r="H1071" s="4">
        <v>250</v>
      </c>
    </row>
    <row r="1072" spans="1:8" x14ac:dyDescent="0.25">
      <c r="E1072" t="str">
        <f>"202201048036"</f>
        <v>202201048036</v>
      </c>
      <c r="F1072" t="str">
        <f>"BC20210903"</f>
        <v>BC20210903</v>
      </c>
      <c r="G1072" t="str">
        <f>"BC20210903"</f>
        <v>BC20210903</v>
      </c>
      <c r="H1072" s="4">
        <v>250</v>
      </c>
    </row>
    <row r="1073" spans="1:8" x14ac:dyDescent="0.25">
      <c r="A1073" t="s">
        <v>407</v>
      </c>
      <c r="B1073">
        <v>5732</v>
      </c>
      <c r="C1073" s="4">
        <v>71</v>
      </c>
      <c r="D1073" s="5">
        <v>44586</v>
      </c>
      <c r="E1073" t="str">
        <f>"257030"</f>
        <v>257030</v>
      </c>
      <c r="F1073" t="str">
        <f>"CILENT CODE:BASTRCOU"</f>
        <v>CILENT CODE:BASTRCOU</v>
      </c>
      <c r="G1073" t="str">
        <f>"CILENT CODE:BASTRCOU"</f>
        <v>CILENT CODE:BASTRCOU</v>
      </c>
      <c r="H1073" s="4">
        <v>71</v>
      </c>
    </row>
    <row r="1074" spans="1:8" x14ac:dyDescent="0.25">
      <c r="A1074" t="s">
        <v>408</v>
      </c>
      <c r="B1074">
        <v>138870</v>
      </c>
      <c r="C1074" s="4">
        <v>1936.01</v>
      </c>
      <c r="D1074" s="5">
        <v>44585</v>
      </c>
      <c r="E1074" t="str">
        <f>"845613829"</f>
        <v>845613829</v>
      </c>
      <c r="F1074" t="str">
        <f>"ACCT#1000310962/COUNTY COURT"</f>
        <v>ACCT#1000310962/COUNTY COURT</v>
      </c>
      <c r="G1074" t="str">
        <f>"ACCT#1000310962/COUNTY COURT"</f>
        <v>ACCT#1000310962/COUNTY COURT</v>
      </c>
      <c r="H1074" s="4">
        <v>916</v>
      </c>
    </row>
    <row r="1075" spans="1:8" x14ac:dyDescent="0.25">
      <c r="E1075" t="str">
        <f>"845685278"</f>
        <v>845685278</v>
      </c>
      <c r="F1075" t="str">
        <f>"ACCT#1000648597"</f>
        <v>ACCT#1000648597</v>
      </c>
      <c r="G1075" t="str">
        <f>"ACCT#1000648597"</f>
        <v>ACCT#1000648597</v>
      </c>
      <c r="H1075" s="4">
        <v>600</v>
      </c>
    </row>
    <row r="1076" spans="1:8" x14ac:dyDescent="0.25">
      <c r="E1076" t="str">
        <f>"845707685"</f>
        <v>845707685</v>
      </c>
      <c r="F1076" t="str">
        <f>"ACCT#1000648597/LAW LABRARY"</f>
        <v>ACCT#1000648597/LAW LABRARY</v>
      </c>
      <c r="G1076" t="str">
        <f>"ACCT#1000648597/LAW LABRARY"</f>
        <v>ACCT#1000648597/LAW LABRARY</v>
      </c>
      <c r="H1076" s="4">
        <v>420.01</v>
      </c>
    </row>
    <row r="1077" spans="1:8" x14ac:dyDescent="0.25">
      <c r="A1077" t="s">
        <v>409</v>
      </c>
      <c r="B1077">
        <v>138665</v>
      </c>
      <c r="C1077" s="4">
        <v>635.07000000000005</v>
      </c>
      <c r="D1077" s="5">
        <v>44571</v>
      </c>
      <c r="E1077" t="str">
        <f>"202201048007"</f>
        <v>202201048007</v>
      </c>
      <c r="F1077" t="str">
        <f>"ACCT#8260160170167100"</f>
        <v>ACCT#8260160170167100</v>
      </c>
      <c r="G1077" t="str">
        <f>"ACCT#8260160170167100"</f>
        <v>ACCT#8260160170167100</v>
      </c>
      <c r="H1077" s="4">
        <v>635.07000000000005</v>
      </c>
    </row>
    <row r="1078" spans="1:8" x14ac:dyDescent="0.25">
      <c r="A1078" t="s">
        <v>409</v>
      </c>
      <c r="B1078">
        <v>138871</v>
      </c>
      <c r="C1078" s="4">
        <v>4145.97</v>
      </c>
      <c r="D1078" s="5">
        <v>44585</v>
      </c>
      <c r="E1078" t="str">
        <f>"0164314010922"</f>
        <v>0164314010922</v>
      </c>
      <c r="F1078" t="str">
        <f>"ACCT#8260161110164314"</f>
        <v>ACCT#8260161110164314</v>
      </c>
      <c r="G1078" t="str">
        <f>"ACCT#8260161110164314"</f>
        <v>ACCT#8260161110164314</v>
      </c>
      <c r="H1078" s="4">
        <v>668.43</v>
      </c>
    </row>
    <row r="1079" spans="1:8" x14ac:dyDescent="0.25">
      <c r="E1079" t="str">
        <f>"0194162010622"</f>
        <v>0194162010622</v>
      </c>
      <c r="F1079" t="str">
        <f>"ACCT#8260-16-111-0194162"</f>
        <v>ACCT#8260-16-111-0194162</v>
      </c>
      <c r="G1079" t="str">
        <f>"ACCT#8260-16-111-0194162"</f>
        <v>ACCT#8260-16-111-0194162</v>
      </c>
      <c r="H1079" s="4">
        <v>74.959999999999994</v>
      </c>
    </row>
    <row r="1080" spans="1:8" x14ac:dyDescent="0.25">
      <c r="E1080" t="str">
        <f>"202201138312"</f>
        <v>202201138312</v>
      </c>
      <c r="F1080" t="str">
        <f>"ACCT#8260163000003669"</f>
        <v>ACCT#8260163000003669</v>
      </c>
      <c r="G1080" t="str">
        <f>"ACCT#8260163000003669"</f>
        <v>ACCT#8260163000003669</v>
      </c>
      <c r="H1080" s="4">
        <v>3248.86</v>
      </c>
    </row>
    <row r="1081" spans="1:8" x14ac:dyDescent="0.25">
      <c r="E1081" t="str">
        <f>""</f>
        <v/>
      </c>
      <c r="F1081" t="str">
        <f>""</f>
        <v/>
      </c>
      <c r="G1081" t="str">
        <f>"ACCT#8260163000003669"</f>
        <v>ACCT#8260163000003669</v>
      </c>
      <c r="H1081" s="4">
        <v>153.72</v>
      </c>
    </row>
    <row r="1082" spans="1:8" x14ac:dyDescent="0.25">
      <c r="A1082" t="s">
        <v>410</v>
      </c>
      <c r="B1082">
        <v>138872</v>
      </c>
      <c r="C1082" s="4">
        <v>220</v>
      </c>
      <c r="D1082" s="5">
        <v>44585</v>
      </c>
      <c r="E1082" t="str">
        <f>"12205 11/29/21"</f>
        <v>12205 11/29/21</v>
      </c>
      <c r="F1082" t="str">
        <f t="shared" ref="F1082:G1084" si="21">"SERVICE"</f>
        <v>SERVICE</v>
      </c>
      <c r="G1082" t="str">
        <f t="shared" si="21"/>
        <v>SERVICE</v>
      </c>
      <c r="H1082" s="4">
        <v>60</v>
      </c>
    </row>
    <row r="1083" spans="1:8" x14ac:dyDescent="0.25">
      <c r="E1083" t="str">
        <f>"13610"</f>
        <v>13610</v>
      </c>
      <c r="F1083" t="str">
        <f t="shared" si="21"/>
        <v>SERVICE</v>
      </c>
      <c r="G1083" t="str">
        <f t="shared" si="21"/>
        <v>SERVICE</v>
      </c>
      <c r="H1083" s="4">
        <v>80</v>
      </c>
    </row>
    <row r="1084" spans="1:8" x14ac:dyDescent="0.25">
      <c r="E1084" t="str">
        <f>"13826"</f>
        <v>13826</v>
      </c>
      <c r="F1084" t="str">
        <f t="shared" si="21"/>
        <v>SERVICE</v>
      </c>
      <c r="G1084" t="str">
        <f t="shared" si="21"/>
        <v>SERVICE</v>
      </c>
      <c r="H1084" s="4">
        <v>80</v>
      </c>
    </row>
    <row r="1085" spans="1:8" x14ac:dyDescent="0.25">
      <c r="A1085" t="s">
        <v>411</v>
      </c>
      <c r="B1085">
        <v>138666</v>
      </c>
      <c r="C1085" s="4">
        <v>141.25</v>
      </c>
      <c r="D1085" s="5">
        <v>44571</v>
      </c>
      <c r="E1085" t="str">
        <f>"202201058161"</f>
        <v>202201058161</v>
      </c>
      <c r="F1085" t="str">
        <f>"JAIL MEDICAL"</f>
        <v>JAIL MEDICAL</v>
      </c>
      <c r="G1085" t="str">
        <f>"JAIL MEDICAL"</f>
        <v>JAIL MEDICAL</v>
      </c>
      <c r="H1085" s="4">
        <v>141.25</v>
      </c>
    </row>
    <row r="1086" spans="1:8" x14ac:dyDescent="0.25">
      <c r="A1086" t="s">
        <v>412</v>
      </c>
      <c r="B1086">
        <v>138667</v>
      </c>
      <c r="C1086" s="4">
        <v>8740</v>
      </c>
      <c r="D1086" s="5">
        <v>44571</v>
      </c>
      <c r="E1086" t="str">
        <f>"3300005369"</f>
        <v>3300005369</v>
      </c>
      <c r="F1086" t="str">
        <f>"CUST#100009/R.HERZOG/T.NEELY"</f>
        <v>CUST#100009/R.HERZOG/T.NEELY</v>
      </c>
      <c r="G1086" t="str">
        <f>"CUST#100009/R.HERZOG/T.NEELY"</f>
        <v>CUST#100009/R.HERZOG/T.NEELY</v>
      </c>
      <c r="H1086" s="4">
        <v>6670</v>
      </c>
    </row>
    <row r="1087" spans="1:8" x14ac:dyDescent="0.25">
      <c r="E1087" t="str">
        <f>"330005371"</f>
        <v>330005371</v>
      </c>
      <c r="F1087" t="str">
        <f>"AUTOPSY/S.VANDERVORT/J.TREJO"</f>
        <v>AUTOPSY/S.VANDERVORT/J.TREJO</v>
      </c>
      <c r="G1087" t="str">
        <f>"AUTOPSY/S.VANDERVORT/J.TREJO"</f>
        <v>AUTOPSY/S.VANDERVORT/J.TREJO</v>
      </c>
      <c r="H1087" s="4">
        <v>2070</v>
      </c>
    </row>
    <row r="1088" spans="1:8" x14ac:dyDescent="0.25">
      <c r="A1088" t="s">
        <v>413</v>
      </c>
      <c r="B1088">
        <v>138668</v>
      </c>
      <c r="C1088" s="4">
        <v>1651.4</v>
      </c>
      <c r="D1088" s="5">
        <v>44571</v>
      </c>
      <c r="E1088" t="str">
        <f>"T87715"</f>
        <v>T87715</v>
      </c>
      <c r="F1088" t="str">
        <f t="shared" ref="F1088:G1091" si="22">"PEA GRAVEL/PCT#1"</f>
        <v>PEA GRAVEL/PCT#1</v>
      </c>
      <c r="G1088" t="str">
        <f t="shared" si="22"/>
        <v>PEA GRAVEL/PCT#1</v>
      </c>
      <c r="H1088" s="4">
        <v>331.99</v>
      </c>
    </row>
    <row r="1089" spans="1:8" x14ac:dyDescent="0.25">
      <c r="E1089" t="str">
        <f>"T87774"</f>
        <v>T87774</v>
      </c>
      <c r="F1089" t="str">
        <f t="shared" si="22"/>
        <v>PEA GRAVEL/PCT#1</v>
      </c>
      <c r="G1089" t="str">
        <f t="shared" si="22"/>
        <v>PEA GRAVEL/PCT#1</v>
      </c>
      <c r="H1089" s="4">
        <v>1319.41</v>
      </c>
    </row>
    <row r="1090" spans="1:8" x14ac:dyDescent="0.25">
      <c r="A1090" t="s">
        <v>413</v>
      </c>
      <c r="B1090">
        <v>138873</v>
      </c>
      <c r="C1090" s="4">
        <v>4287.8500000000004</v>
      </c>
      <c r="D1090" s="5">
        <v>44585</v>
      </c>
      <c r="E1090" t="str">
        <f>"T87984"</f>
        <v>T87984</v>
      </c>
      <c r="F1090" t="str">
        <f t="shared" si="22"/>
        <v>PEA GRAVEL/PCT#1</v>
      </c>
      <c r="G1090" t="str">
        <f t="shared" si="22"/>
        <v>PEA GRAVEL/PCT#1</v>
      </c>
      <c r="H1090" s="4">
        <v>4047.15</v>
      </c>
    </row>
    <row r="1091" spans="1:8" x14ac:dyDescent="0.25">
      <c r="E1091" t="str">
        <f>"T88055"</f>
        <v>T88055</v>
      </c>
      <c r="F1091" t="str">
        <f t="shared" si="22"/>
        <v>PEA GRAVEL/PCT#1</v>
      </c>
      <c r="G1091" t="str">
        <f t="shared" si="22"/>
        <v>PEA GRAVEL/PCT#1</v>
      </c>
      <c r="H1091" s="4">
        <v>240.7</v>
      </c>
    </row>
    <row r="1092" spans="1:8" x14ac:dyDescent="0.25">
      <c r="A1092" t="s">
        <v>414</v>
      </c>
      <c r="B1092">
        <v>138874</v>
      </c>
      <c r="C1092" s="4">
        <v>61</v>
      </c>
      <c r="D1092" s="5">
        <v>44585</v>
      </c>
      <c r="E1092" t="str">
        <f>"202201188464"</f>
        <v>202201188464</v>
      </c>
      <c r="F1092" t="str">
        <f>"REIMBURSEMENT/CASE NO.5216-21"</f>
        <v>REIMBURSEMENT/CASE NO.5216-21</v>
      </c>
      <c r="G1092" t="str">
        <f>"REIMBURSEMENT/CASE NO.5216-21"</f>
        <v>REIMBURSEMENT/CASE NO.5216-21</v>
      </c>
      <c r="H1092" s="4">
        <v>61</v>
      </c>
    </row>
    <row r="1093" spans="1:8" x14ac:dyDescent="0.25">
      <c r="A1093" t="s">
        <v>415</v>
      </c>
      <c r="B1093">
        <v>138669</v>
      </c>
      <c r="C1093" s="4">
        <v>3427.33</v>
      </c>
      <c r="D1093" s="5">
        <v>44571</v>
      </c>
      <c r="E1093" t="str">
        <f>"7027"</f>
        <v>7027</v>
      </c>
      <c r="F1093" t="str">
        <f>"2007 FRIGHTLINER/PCT#3"</f>
        <v>2007 FRIGHTLINER/PCT#3</v>
      </c>
      <c r="G1093" t="str">
        <f>"2007 FRIGHTLINER/PCT#3"</f>
        <v>2007 FRIGHTLINER/PCT#3</v>
      </c>
      <c r="H1093" s="4">
        <v>3427.33</v>
      </c>
    </row>
    <row r="1094" spans="1:8" x14ac:dyDescent="0.25">
      <c r="A1094" t="s">
        <v>416</v>
      </c>
      <c r="B1094">
        <v>138670</v>
      </c>
      <c r="C1094" s="4">
        <v>14171.9</v>
      </c>
      <c r="D1094" s="5">
        <v>44571</v>
      </c>
      <c r="E1094" t="str">
        <f>"5977"</f>
        <v>5977</v>
      </c>
      <c r="F1094" t="str">
        <f>"GUARDIAN AD LITEM"</f>
        <v>GUARDIAN AD LITEM</v>
      </c>
      <c r="G1094" t="str">
        <f>"GUARDIAN AD LITEM"</f>
        <v>GUARDIAN AD LITEM</v>
      </c>
      <c r="H1094" s="4">
        <v>14171.9</v>
      </c>
    </row>
    <row r="1095" spans="1:8" x14ac:dyDescent="0.25">
      <c r="A1095" t="s">
        <v>417</v>
      </c>
      <c r="B1095">
        <v>5736</v>
      </c>
      <c r="C1095" s="4">
        <v>100</v>
      </c>
      <c r="D1095" s="5">
        <v>44586</v>
      </c>
      <c r="E1095" t="str">
        <f>"202201198491"</f>
        <v>202201198491</v>
      </c>
      <c r="F1095" t="str">
        <f>"JP3-310242021A"</f>
        <v>JP3-310242021A</v>
      </c>
      <c r="G1095" t="str">
        <f>"JP3-310242021A"</f>
        <v>JP3-310242021A</v>
      </c>
      <c r="H1095" s="4">
        <v>100</v>
      </c>
    </row>
    <row r="1096" spans="1:8" x14ac:dyDescent="0.25">
      <c r="A1096" t="s">
        <v>418</v>
      </c>
      <c r="B1096">
        <v>138671</v>
      </c>
      <c r="C1096" s="4">
        <v>3599.73</v>
      </c>
      <c r="D1096" s="5">
        <v>44571</v>
      </c>
      <c r="E1096" t="str">
        <f>"020-132282"</f>
        <v>020-132282</v>
      </c>
      <c r="F1096" t="str">
        <f>"CUST#42161/JURY MANAGER"</f>
        <v>CUST#42161/JURY MANAGER</v>
      </c>
      <c r="G1096" t="str">
        <f>"CUST#42161/JURY MANAGER"</f>
        <v>CUST#42161/JURY MANAGER</v>
      </c>
      <c r="H1096" s="4">
        <v>416.25</v>
      </c>
    </row>
    <row r="1097" spans="1:8" x14ac:dyDescent="0.25">
      <c r="E1097" t="str">
        <f>"130-124757"</f>
        <v>130-124757</v>
      </c>
      <c r="F1097" t="str">
        <f>"CUST#42161-11814"</f>
        <v>CUST#42161-11814</v>
      </c>
      <c r="G1097" t="str">
        <f>"CUST#42161-11814"</f>
        <v>CUST#42161-11814</v>
      </c>
      <c r="H1097" s="4">
        <v>3183.48</v>
      </c>
    </row>
    <row r="1098" spans="1:8" x14ac:dyDescent="0.25">
      <c r="A1098" t="s">
        <v>418</v>
      </c>
      <c r="B1098">
        <v>138875</v>
      </c>
      <c r="C1098" s="4">
        <v>380</v>
      </c>
      <c r="D1098" s="5">
        <v>44585</v>
      </c>
      <c r="E1098" t="str">
        <f>"025-361957"</f>
        <v>025-361957</v>
      </c>
      <c r="F1098" t="str">
        <f>"CUST#42161/ORDER#142110"</f>
        <v>CUST#42161/ORDER#142110</v>
      </c>
      <c r="G1098" t="str">
        <f>"CUST#42161/ORDER#142110"</f>
        <v>CUST#42161/ORDER#142110</v>
      </c>
      <c r="H1098" s="4">
        <v>130</v>
      </c>
    </row>
    <row r="1099" spans="1:8" x14ac:dyDescent="0.25">
      <c r="E1099" t="str">
        <f>"025-363546"</f>
        <v>025-363546</v>
      </c>
      <c r="F1099" t="str">
        <f>"CUST#42161/ORDER#142110"</f>
        <v>CUST#42161/ORDER#142110</v>
      </c>
      <c r="G1099" t="str">
        <f>"CUST#42161/ORDER#142110"</f>
        <v>CUST#42161/ORDER#142110</v>
      </c>
      <c r="H1099" s="4">
        <v>250</v>
      </c>
    </row>
    <row r="1100" spans="1:8" x14ac:dyDescent="0.25">
      <c r="A1100" t="s">
        <v>419</v>
      </c>
      <c r="B1100">
        <v>5675</v>
      </c>
      <c r="C1100" s="4">
        <v>1659.38</v>
      </c>
      <c r="D1100" s="5">
        <v>44586</v>
      </c>
      <c r="E1100" t="str">
        <f>"143085375"</f>
        <v>143085375</v>
      </c>
      <c r="F1100" t="str">
        <f>"INV 143085375"</f>
        <v>INV 143085375</v>
      </c>
      <c r="G1100" t="str">
        <f>"INV 143085375"</f>
        <v>INV 143085375</v>
      </c>
      <c r="H1100" s="4">
        <v>1659.38</v>
      </c>
    </row>
    <row r="1101" spans="1:8" x14ac:dyDescent="0.25">
      <c r="A1101" t="s">
        <v>420</v>
      </c>
      <c r="B1101">
        <v>138672</v>
      </c>
      <c r="C1101" s="4">
        <v>1072.5</v>
      </c>
      <c r="D1101" s="5">
        <v>44571</v>
      </c>
      <c r="E1101" t="str">
        <f>"004456"</f>
        <v>004456</v>
      </c>
      <c r="F1101" t="str">
        <f>"CUST#TXBAST"</f>
        <v>CUST#TXBAST</v>
      </c>
      <c r="G1101" t="str">
        <f>"CUST#TXBAST"</f>
        <v>CUST#TXBAST</v>
      </c>
      <c r="H1101" s="4">
        <v>1072.5</v>
      </c>
    </row>
    <row r="1102" spans="1:8" x14ac:dyDescent="0.25">
      <c r="A1102" t="s">
        <v>421</v>
      </c>
      <c r="B1102">
        <v>138876</v>
      </c>
      <c r="C1102" s="4">
        <v>962.06</v>
      </c>
      <c r="D1102" s="5">
        <v>44585</v>
      </c>
      <c r="E1102" t="str">
        <f>"P39184"</f>
        <v>P39184</v>
      </c>
      <c r="F1102" t="str">
        <f>"ORDER#035226/OEM"</f>
        <v>ORDER#035226/OEM</v>
      </c>
      <c r="G1102" t="str">
        <f>"ORDER#035226/OEM"</f>
        <v>ORDER#035226/OEM</v>
      </c>
      <c r="H1102" s="4">
        <v>962.06</v>
      </c>
    </row>
    <row r="1103" spans="1:8" x14ac:dyDescent="0.25">
      <c r="A1103" t="s">
        <v>422</v>
      </c>
      <c r="B1103">
        <v>138673</v>
      </c>
      <c r="C1103" s="4">
        <v>925</v>
      </c>
      <c r="D1103" s="5">
        <v>44571</v>
      </c>
      <c r="E1103" t="str">
        <f>"2148"</f>
        <v>2148</v>
      </c>
      <c r="F1103" t="str">
        <f>"LPD PUMP/GENERAL SVCS"</f>
        <v>LPD PUMP/GENERAL SVCS</v>
      </c>
      <c r="G1103" t="str">
        <f>"LPD PUMP/GENERAL SVCS"</f>
        <v>LPD PUMP/GENERAL SVCS</v>
      </c>
      <c r="H1103" s="4">
        <v>925</v>
      </c>
    </row>
    <row r="1104" spans="1:8" x14ac:dyDescent="0.25">
      <c r="A1104" t="s">
        <v>423</v>
      </c>
      <c r="B1104">
        <v>138877</v>
      </c>
      <c r="C1104" s="4">
        <v>168.36</v>
      </c>
      <c r="D1104" s="5">
        <v>44585</v>
      </c>
      <c r="E1104" t="str">
        <f>"2015166"</f>
        <v>2015166</v>
      </c>
      <c r="F1104" t="str">
        <f>"REMOTE BIRTH ACCESS DEC 2021"</f>
        <v>REMOTE BIRTH ACCESS DEC 2021</v>
      </c>
      <c r="G1104" t="str">
        <f>"REMOTE BIRTH ACCESS DEC 2021"</f>
        <v>REMOTE BIRTH ACCESS DEC 2021</v>
      </c>
      <c r="H1104" s="4">
        <v>168.36</v>
      </c>
    </row>
    <row r="1105" spans="1:8" x14ac:dyDescent="0.25">
      <c r="A1105" t="s">
        <v>424</v>
      </c>
      <c r="B1105">
        <v>5635</v>
      </c>
      <c r="C1105" s="4">
        <v>59382.94</v>
      </c>
      <c r="D1105" s="5">
        <v>44572</v>
      </c>
      <c r="E1105" t="str">
        <f>"8693959212152"</f>
        <v>8693959212152</v>
      </c>
      <c r="F1105" t="str">
        <f>"Statement"</f>
        <v>Statement</v>
      </c>
      <c r="G1105" t="str">
        <f>"rebate"</f>
        <v>rebate</v>
      </c>
      <c r="H1105" s="4">
        <v>-3118.25</v>
      </c>
    </row>
    <row r="1106" spans="1:8" x14ac:dyDescent="0.25">
      <c r="E1106" t="str">
        <f>""</f>
        <v/>
      </c>
      <c r="F1106" t="str">
        <f>""</f>
        <v/>
      </c>
      <c r="G1106" t="str">
        <f>"fuel"</f>
        <v>fuel</v>
      </c>
      <c r="H1106" s="4">
        <v>120.64</v>
      </c>
    </row>
    <row r="1107" spans="1:8" x14ac:dyDescent="0.25">
      <c r="E1107" t="str">
        <f>""</f>
        <v/>
      </c>
      <c r="F1107" t="str">
        <f>""</f>
        <v/>
      </c>
      <c r="G1107" t="str">
        <f>"tax"</f>
        <v>tax</v>
      </c>
      <c r="H1107" s="4">
        <v>-8.18</v>
      </c>
    </row>
    <row r="1108" spans="1:8" x14ac:dyDescent="0.25">
      <c r="E1108" t="str">
        <f>""</f>
        <v/>
      </c>
      <c r="F1108" t="str">
        <f>""</f>
        <v/>
      </c>
      <c r="G1108" t="str">
        <f>"fuel"</f>
        <v>fuel</v>
      </c>
      <c r="H1108" s="4">
        <v>2187.73</v>
      </c>
    </row>
    <row r="1109" spans="1:8" x14ac:dyDescent="0.25">
      <c r="E1109" t="str">
        <f>""</f>
        <v/>
      </c>
      <c r="F1109" t="str">
        <f>""</f>
        <v/>
      </c>
      <c r="G1109" t="str">
        <f>"tax"</f>
        <v>tax</v>
      </c>
      <c r="H1109" s="4">
        <v>-148.9</v>
      </c>
    </row>
    <row r="1110" spans="1:8" x14ac:dyDescent="0.25">
      <c r="E1110" t="str">
        <f>""</f>
        <v/>
      </c>
      <c r="F1110" t="str">
        <f>""</f>
        <v/>
      </c>
      <c r="G1110" t="str">
        <f>"fuel"</f>
        <v>fuel</v>
      </c>
      <c r="H1110" s="4">
        <v>2288.3200000000002</v>
      </c>
    </row>
    <row r="1111" spans="1:8" x14ac:dyDescent="0.25">
      <c r="E1111" t="str">
        <f>""</f>
        <v/>
      </c>
      <c r="F1111" t="str">
        <f>""</f>
        <v/>
      </c>
      <c r="G1111" t="str">
        <f>"tax"</f>
        <v>tax</v>
      </c>
      <c r="H1111" s="4">
        <v>-152.62</v>
      </c>
    </row>
    <row r="1112" spans="1:8" x14ac:dyDescent="0.25">
      <c r="E1112" t="str">
        <f>""</f>
        <v/>
      </c>
      <c r="F1112" t="str">
        <f>""</f>
        <v/>
      </c>
      <c r="G1112" t="str">
        <f>"maintenance"</f>
        <v>maintenance</v>
      </c>
      <c r="H1112" s="4">
        <v>315.16000000000003</v>
      </c>
    </row>
    <row r="1113" spans="1:8" x14ac:dyDescent="0.25">
      <c r="E1113" t="str">
        <f>""</f>
        <v/>
      </c>
      <c r="F1113" t="str">
        <f>""</f>
        <v/>
      </c>
      <c r="G1113" t="str">
        <f>"fuel"</f>
        <v>fuel</v>
      </c>
      <c r="H1113" s="4">
        <v>30761.98</v>
      </c>
    </row>
    <row r="1114" spans="1:8" x14ac:dyDescent="0.25">
      <c r="E1114" t="str">
        <f>""</f>
        <v/>
      </c>
      <c r="F1114" t="str">
        <f>""</f>
        <v/>
      </c>
      <c r="G1114" t="str">
        <f>"tax"</f>
        <v>tax</v>
      </c>
      <c r="H1114" s="4">
        <v>-2100.84</v>
      </c>
    </row>
    <row r="1115" spans="1:8" x14ac:dyDescent="0.25">
      <c r="E1115" t="str">
        <f>""</f>
        <v/>
      </c>
      <c r="F1115" t="str">
        <f>""</f>
        <v/>
      </c>
      <c r="G1115" t="str">
        <f>"maintenance"</f>
        <v>maintenance</v>
      </c>
      <c r="H1115" s="4">
        <v>22870.639999999999</v>
      </c>
    </row>
    <row r="1116" spans="1:8" x14ac:dyDescent="0.25">
      <c r="E1116" t="str">
        <f>""</f>
        <v/>
      </c>
      <c r="F1116" t="str">
        <f>""</f>
        <v/>
      </c>
      <c r="G1116" t="str">
        <f>"fuel"</f>
        <v>fuel</v>
      </c>
      <c r="H1116" s="4">
        <v>1366.63</v>
      </c>
    </row>
    <row r="1117" spans="1:8" x14ac:dyDescent="0.25">
      <c r="E1117" t="str">
        <f>""</f>
        <v/>
      </c>
      <c r="F1117" t="str">
        <f>""</f>
        <v/>
      </c>
      <c r="G1117" t="str">
        <f>"maintenance"</f>
        <v>maintenance</v>
      </c>
      <c r="H1117" s="4">
        <v>412.83</v>
      </c>
    </row>
    <row r="1118" spans="1:8" x14ac:dyDescent="0.25">
      <c r="E1118" t="str">
        <f>""</f>
        <v/>
      </c>
      <c r="F1118" t="str">
        <f>""</f>
        <v/>
      </c>
      <c r="G1118" t="str">
        <f>"fuel"</f>
        <v>fuel</v>
      </c>
      <c r="H1118" s="4">
        <v>1659.24</v>
      </c>
    </row>
    <row r="1119" spans="1:8" x14ac:dyDescent="0.25">
      <c r="E1119" t="str">
        <f>""</f>
        <v/>
      </c>
      <c r="F1119" t="str">
        <f>""</f>
        <v/>
      </c>
      <c r="G1119" t="str">
        <f>"tax"</f>
        <v>tax</v>
      </c>
      <c r="H1119" s="4">
        <v>-107.95</v>
      </c>
    </row>
    <row r="1120" spans="1:8" x14ac:dyDescent="0.25">
      <c r="E1120" t="str">
        <f>""</f>
        <v/>
      </c>
      <c r="F1120" t="str">
        <f>""</f>
        <v/>
      </c>
      <c r="G1120" t="str">
        <f>"maintenance"</f>
        <v>maintenance</v>
      </c>
      <c r="H1120" s="4">
        <v>432.98</v>
      </c>
    </row>
    <row r="1121" spans="1:8" x14ac:dyDescent="0.25">
      <c r="E1121" t="str">
        <f>""</f>
        <v/>
      </c>
      <c r="F1121" t="str">
        <f>""</f>
        <v/>
      </c>
      <c r="G1121" t="str">
        <f>"fuel"</f>
        <v>fuel</v>
      </c>
      <c r="H1121" s="4">
        <v>2108.25</v>
      </c>
    </row>
    <row r="1122" spans="1:8" x14ac:dyDescent="0.25">
      <c r="E1122" t="str">
        <f>""</f>
        <v/>
      </c>
      <c r="F1122" t="str">
        <f>""</f>
        <v/>
      </c>
      <c r="G1122" t="str">
        <f>"tax"</f>
        <v>tax</v>
      </c>
      <c r="H1122" s="4">
        <v>-155.47999999999999</v>
      </c>
    </row>
    <row r="1123" spans="1:8" x14ac:dyDescent="0.25">
      <c r="E1123" t="str">
        <f>""</f>
        <v/>
      </c>
      <c r="F1123" t="str">
        <f>""</f>
        <v/>
      </c>
      <c r="G1123" t="str">
        <f>"fuel"</f>
        <v>fuel</v>
      </c>
      <c r="H1123" s="4">
        <v>113.71</v>
      </c>
    </row>
    <row r="1124" spans="1:8" x14ac:dyDescent="0.25">
      <c r="E1124" t="str">
        <f>""</f>
        <v/>
      </c>
      <c r="F1124" t="str">
        <f>""</f>
        <v/>
      </c>
      <c r="G1124" t="str">
        <f>"tax"</f>
        <v>tax</v>
      </c>
      <c r="H1124" s="4">
        <v>-7.62</v>
      </c>
    </row>
    <row r="1125" spans="1:8" x14ac:dyDescent="0.25">
      <c r="E1125" t="str">
        <f>""</f>
        <v/>
      </c>
      <c r="F1125" t="str">
        <f>""</f>
        <v/>
      </c>
      <c r="G1125" t="str">
        <f>"maintenance"</f>
        <v>maintenance</v>
      </c>
      <c r="H1125" s="4">
        <v>15.69</v>
      </c>
    </row>
    <row r="1126" spans="1:8" x14ac:dyDescent="0.25">
      <c r="E1126" t="str">
        <f>""</f>
        <v/>
      </c>
      <c r="F1126" t="str">
        <f>""</f>
        <v/>
      </c>
      <c r="G1126" t="str">
        <f>"maintenance"</f>
        <v>maintenance</v>
      </c>
      <c r="H1126" s="4">
        <v>7</v>
      </c>
    </row>
    <row r="1127" spans="1:8" x14ac:dyDescent="0.25">
      <c r="E1127" t="str">
        <f>""</f>
        <v/>
      </c>
      <c r="F1127" t="str">
        <f>""</f>
        <v/>
      </c>
      <c r="G1127" t="str">
        <f>"fuel"</f>
        <v>fuel</v>
      </c>
      <c r="H1127" s="4">
        <v>164.24</v>
      </c>
    </row>
    <row r="1128" spans="1:8" x14ac:dyDescent="0.25">
      <c r="E1128" t="str">
        <f>""</f>
        <v/>
      </c>
      <c r="F1128" t="str">
        <f>""</f>
        <v/>
      </c>
      <c r="G1128" t="str">
        <f>"tax"</f>
        <v>tax</v>
      </c>
      <c r="H1128" s="4">
        <v>-10.18</v>
      </c>
    </row>
    <row r="1129" spans="1:8" x14ac:dyDescent="0.25">
      <c r="E1129" t="str">
        <f>""</f>
        <v/>
      </c>
      <c r="F1129" t="str">
        <f>""</f>
        <v/>
      </c>
      <c r="G1129" t="str">
        <f>"maintenance"</f>
        <v>maintenance</v>
      </c>
      <c r="H1129" s="4">
        <v>367.92</v>
      </c>
    </row>
    <row r="1130" spans="1:8" x14ac:dyDescent="0.25">
      <c r="A1130" t="s">
        <v>425</v>
      </c>
      <c r="B1130">
        <v>138674</v>
      </c>
      <c r="C1130" s="4">
        <v>92.47</v>
      </c>
      <c r="D1130" s="5">
        <v>44571</v>
      </c>
      <c r="E1130" t="str">
        <f>"10483343"</f>
        <v>10483343</v>
      </c>
      <c r="F1130" t="str">
        <f>"ACCT#00010699-4/PCT#3"</f>
        <v>ACCT#00010699-4/PCT#3</v>
      </c>
      <c r="G1130" t="str">
        <f>"ACCT#00010699-4/PCT#3"</f>
        <v>ACCT#00010699-4/PCT#3</v>
      </c>
      <c r="H1130" s="4">
        <v>92.47</v>
      </c>
    </row>
    <row r="1131" spans="1:8" x14ac:dyDescent="0.25">
      <c r="A1131" t="s">
        <v>426</v>
      </c>
      <c r="B1131">
        <v>5738</v>
      </c>
      <c r="C1131" s="4">
        <v>4673.1000000000004</v>
      </c>
      <c r="D1131" s="5">
        <v>44586</v>
      </c>
      <c r="E1131" t="str">
        <f>"202201138449"</f>
        <v>202201138449</v>
      </c>
      <c r="F1131" t="str">
        <f>"VULCAN  INC."</f>
        <v>VULCAN  INC.</v>
      </c>
      <c r="G1131" t="str">
        <f>"R1-1080243930SCR"</f>
        <v>R1-1080243930SCR</v>
      </c>
      <c r="H1131" s="4">
        <v>748</v>
      </c>
    </row>
    <row r="1132" spans="1:8" x14ac:dyDescent="0.25">
      <c r="E1132" t="str">
        <f>""</f>
        <v/>
      </c>
      <c r="F1132" t="str">
        <f>""</f>
        <v/>
      </c>
      <c r="G1132" t="str">
        <f>"R11080303930SCR"</f>
        <v>R11080303930SCR</v>
      </c>
      <c r="H1132" s="4">
        <v>876.6</v>
      </c>
    </row>
    <row r="1133" spans="1:8" x14ac:dyDescent="0.25">
      <c r="E1133" t="str">
        <f>""</f>
        <v/>
      </c>
      <c r="F1133" t="str">
        <f>""</f>
        <v/>
      </c>
      <c r="G1133" t="str">
        <f>"R1-1CF243930SCR"</f>
        <v>R1-1CF243930SCR</v>
      </c>
      <c r="H1133" s="4">
        <v>380</v>
      </c>
    </row>
    <row r="1134" spans="1:8" x14ac:dyDescent="0.25">
      <c r="E1134" t="str">
        <f>""</f>
        <v/>
      </c>
      <c r="F1134" t="str">
        <f>""</f>
        <v/>
      </c>
      <c r="G1134" t="str">
        <f>"UCGRN2-10"</f>
        <v>UCGRN2-10</v>
      </c>
      <c r="H1134" s="4">
        <v>1042.5</v>
      </c>
    </row>
    <row r="1135" spans="1:8" x14ac:dyDescent="0.25">
      <c r="E1135" t="str">
        <f>""</f>
        <v/>
      </c>
      <c r="F1135" t="str">
        <f>""</f>
        <v/>
      </c>
      <c r="G1135" t="str">
        <f>"UCGRN2-12"</f>
        <v>UCGRN2-12</v>
      </c>
      <c r="H1135" s="4">
        <v>1251</v>
      </c>
    </row>
    <row r="1136" spans="1:8" x14ac:dyDescent="0.25">
      <c r="E1136" t="str">
        <f>""</f>
        <v/>
      </c>
      <c r="F1136" t="str">
        <f>""</f>
        <v/>
      </c>
      <c r="G1136" t="str">
        <f>"001377"</f>
        <v>001377</v>
      </c>
      <c r="H1136" s="4">
        <v>375</v>
      </c>
    </row>
    <row r="1137" spans="1:8" x14ac:dyDescent="0.25">
      <c r="A1137" t="s">
        <v>427</v>
      </c>
      <c r="B1137">
        <v>138878</v>
      </c>
      <c r="C1137" s="4">
        <v>195.45</v>
      </c>
      <c r="D1137" s="5">
        <v>44585</v>
      </c>
      <c r="E1137" t="str">
        <f>"1221-DR14926"</f>
        <v>1221-DR14926</v>
      </c>
      <c r="F1137" t="str">
        <f>"ID# CXD14926/HR"</f>
        <v>ID# CXD14926/HR</v>
      </c>
      <c r="G1137" t="str">
        <f>"ID# CXD14926/HR"</f>
        <v>ID# CXD14926/HR</v>
      </c>
      <c r="H1137" s="4">
        <v>195.45</v>
      </c>
    </row>
    <row r="1138" spans="1:8" x14ac:dyDescent="0.25">
      <c r="A1138" t="s">
        <v>428</v>
      </c>
      <c r="B1138">
        <v>5621</v>
      </c>
      <c r="C1138" s="4">
        <v>4571.08</v>
      </c>
      <c r="D1138" s="5">
        <v>44572</v>
      </c>
      <c r="E1138" t="str">
        <f>"22294"</f>
        <v>22294</v>
      </c>
      <c r="F1138" t="str">
        <f>"COLD MIX/PCT#3"</f>
        <v>COLD MIX/PCT#3</v>
      </c>
      <c r="G1138" t="str">
        <f>"COLD MIX/PCT#3"</f>
        <v>COLD MIX/PCT#3</v>
      </c>
      <c r="H1138" s="4">
        <v>2805.8</v>
      </c>
    </row>
    <row r="1139" spans="1:8" x14ac:dyDescent="0.25">
      <c r="E1139" t="str">
        <f>"22315"</f>
        <v>22315</v>
      </c>
      <c r="F1139" t="str">
        <f>"COLD MIX/PCT#1"</f>
        <v>COLD MIX/PCT#1</v>
      </c>
      <c r="G1139" t="str">
        <f>"COLD MIX/PCT#1"</f>
        <v>COLD MIX/PCT#1</v>
      </c>
      <c r="H1139" s="4">
        <v>1765.28</v>
      </c>
    </row>
    <row r="1140" spans="1:8" x14ac:dyDescent="0.25">
      <c r="A1140" t="s">
        <v>428</v>
      </c>
      <c r="B1140">
        <v>5688</v>
      </c>
      <c r="C1140" s="4">
        <v>2760.98</v>
      </c>
      <c r="D1140" s="5">
        <v>44586</v>
      </c>
      <c r="E1140" t="str">
        <f>"22336"</f>
        <v>22336</v>
      </c>
      <c r="F1140" t="str">
        <f>"COLD MIX/PCT#4"</f>
        <v>COLD MIX/PCT#4</v>
      </c>
      <c r="G1140" t="str">
        <f>"COLD MIX/PCT#4"</f>
        <v>COLD MIX/PCT#4</v>
      </c>
      <c r="H1140" s="4">
        <v>2760.98</v>
      </c>
    </row>
    <row r="1141" spans="1:8" x14ac:dyDescent="0.25">
      <c r="A1141" t="s">
        <v>429</v>
      </c>
      <c r="B1141">
        <v>138570</v>
      </c>
      <c r="C1141" s="4">
        <v>12423.28</v>
      </c>
      <c r="D1141" s="5">
        <v>44568</v>
      </c>
      <c r="E1141" t="str">
        <f>"11575572"</f>
        <v>11575572</v>
      </c>
      <c r="F1141" t="str">
        <f>"ACCT#5150-005117630 / 01/01/22"</f>
        <v>ACCT#5150-005117630 / 01/01/22</v>
      </c>
      <c r="G1141" t="str">
        <f>"ACCT#5150-005117630 / 01/01/22"</f>
        <v>ACCT#5150-005117630 / 01/01/22</v>
      </c>
      <c r="H1141" s="4">
        <v>275.95</v>
      </c>
    </row>
    <row r="1142" spans="1:8" x14ac:dyDescent="0.25">
      <c r="E1142" t="str">
        <f>"11575579"</f>
        <v>11575579</v>
      </c>
      <c r="F1142" t="str">
        <f>"ACCT#5150-005117766/01/01/22"</f>
        <v>ACCT#5150-005117766/01/01/22</v>
      </c>
      <c r="G1142" t="str">
        <f>"ACCT#5150-005117766/01/01/22"</f>
        <v>ACCT#5150-005117766/01/01/22</v>
      </c>
      <c r="H1142" s="4">
        <v>121.13</v>
      </c>
    </row>
    <row r="1143" spans="1:8" x14ac:dyDescent="0.25">
      <c r="E1143" t="str">
        <f>"11575583"</f>
        <v>11575583</v>
      </c>
      <c r="F1143" t="str">
        <f>"ACCT#5150-005117838/01/01/22"</f>
        <v>ACCT#5150-005117838/01/01/22</v>
      </c>
      <c r="G1143" t="str">
        <f>"ACCT#5150-005117838/01/01/22"</f>
        <v>ACCT#5150-005117838/01/01/22</v>
      </c>
      <c r="H1143" s="4">
        <v>112.1</v>
      </c>
    </row>
    <row r="1144" spans="1:8" x14ac:dyDescent="0.25">
      <c r="E1144" t="str">
        <f>"11575585"</f>
        <v>11575585</v>
      </c>
      <c r="F1144" t="str">
        <f>"ACCT#5150-005117882/01/01/22"</f>
        <v>ACCT#5150-005117882/01/01/22</v>
      </c>
      <c r="G1144" t="str">
        <f>"WASTE CONNECTIONS LONE STAR. I"</f>
        <v>WASTE CONNECTIONS LONE STAR. I</v>
      </c>
      <c r="H1144" s="4">
        <v>151.4</v>
      </c>
    </row>
    <row r="1145" spans="1:8" x14ac:dyDescent="0.25">
      <c r="E1145" t="str">
        <f>"11575593"</f>
        <v>11575593</v>
      </c>
      <c r="F1145" t="str">
        <f>"ACCT#11575593/12312022"</f>
        <v>ACCT#11575593/12312022</v>
      </c>
      <c r="G1145" t="str">
        <f>"WASTE CONNECTIONS LONE STAR. I"</f>
        <v>WASTE CONNECTIONS LONE STAR. I</v>
      </c>
      <c r="H1145" s="4">
        <v>649.91</v>
      </c>
    </row>
    <row r="1146" spans="1:8" x14ac:dyDescent="0.25">
      <c r="E1146" t="str">
        <f>"11575622"</f>
        <v>11575622</v>
      </c>
      <c r="F1146" t="str">
        <f>"ACCT#5150-005129483/01/01/2022"</f>
        <v>ACCT#5150-005129483/01/01/2022</v>
      </c>
      <c r="G1146" t="str">
        <f>"WASTE CONNECTIONS LONE STAR. I"</f>
        <v>WASTE CONNECTIONS LONE STAR. I</v>
      </c>
      <c r="H1146" s="4">
        <v>10994.8</v>
      </c>
    </row>
    <row r="1147" spans="1:8" x14ac:dyDescent="0.25">
      <c r="E1147" t="str">
        <f>"11579531"</f>
        <v>11579531</v>
      </c>
      <c r="F1147" t="str">
        <f>"ACCT#5150-16203415/01/01/22"</f>
        <v>ACCT#5150-16203415/01/01/22</v>
      </c>
      <c r="G1147" t="str">
        <f>"WASTE CONNECTIONS LONE STAR. I"</f>
        <v>WASTE CONNECTIONS LONE STAR. I</v>
      </c>
      <c r="H1147" s="4">
        <v>87.66</v>
      </c>
    </row>
    <row r="1148" spans="1:8" x14ac:dyDescent="0.25">
      <c r="E1148" t="str">
        <f>"11579532"</f>
        <v>11579532</v>
      </c>
      <c r="F1148" t="str">
        <f>"ACCT#5150-16203417/01/01/22"</f>
        <v>ACCT#5150-16203417/01/01/22</v>
      </c>
      <c r="G1148" t="str">
        <f>"WASTE CONNECTIONS LONE STAR. I"</f>
        <v>WASTE CONNECTIONS LONE STAR. I</v>
      </c>
      <c r="H1148" s="4">
        <v>30.33</v>
      </c>
    </row>
    <row r="1149" spans="1:8" x14ac:dyDescent="0.25">
      <c r="A1149" t="s">
        <v>430</v>
      </c>
      <c r="B1149">
        <v>138879</v>
      </c>
      <c r="C1149" s="4">
        <v>8477.65</v>
      </c>
      <c r="D1149" s="5">
        <v>44585</v>
      </c>
      <c r="E1149" t="str">
        <f>"0034379-2161-6"</f>
        <v>0034379-2161-6</v>
      </c>
      <c r="F1149" t="str">
        <f>"CUST#2-57060-55062/PCT#4"</f>
        <v>CUST#2-57060-55062/PCT#4</v>
      </c>
      <c r="G1149" t="str">
        <f>"CUST#2-57060-55062/PCT#4"</f>
        <v>CUST#2-57060-55062/PCT#4</v>
      </c>
      <c r="H1149" s="4">
        <v>6871.46</v>
      </c>
    </row>
    <row r="1150" spans="1:8" x14ac:dyDescent="0.25">
      <c r="E1150" t="str">
        <f>"0136791-2161-9"</f>
        <v>0136791-2161-9</v>
      </c>
      <c r="F1150" t="str">
        <f>"CUST#2-56581-95066/ANIMAL SHEL"</f>
        <v>CUST#2-56581-95066/ANIMAL SHEL</v>
      </c>
      <c r="G1150" t="str">
        <f>"CUST#2-56581-95066/ANIMAL SHEL"</f>
        <v>CUST#2-56581-95066/ANIMAL SHEL</v>
      </c>
      <c r="H1150" s="4">
        <v>558.84</v>
      </c>
    </row>
    <row r="1151" spans="1:8" x14ac:dyDescent="0.25">
      <c r="E1151" t="str">
        <f>"6724525-2161-6"</f>
        <v>6724525-2161-6</v>
      </c>
      <c r="F1151" t="str">
        <f>"CUST#23-90244-23005/PCT#4"</f>
        <v>CUST#23-90244-23005/PCT#4</v>
      </c>
      <c r="G1151" t="str">
        <f>"CUST#23-90244-23005/PCT#4"</f>
        <v>CUST#23-90244-23005/PCT#4</v>
      </c>
      <c r="H1151" s="4">
        <v>1047.3499999999999</v>
      </c>
    </row>
    <row r="1152" spans="1:8" x14ac:dyDescent="0.25">
      <c r="A1152" t="s">
        <v>431</v>
      </c>
      <c r="B1152">
        <v>138675</v>
      </c>
      <c r="C1152" s="4">
        <v>342.56</v>
      </c>
      <c r="D1152" s="5">
        <v>44571</v>
      </c>
      <c r="E1152" t="str">
        <f>"202201048019"</f>
        <v>202201048019</v>
      </c>
      <c r="F1152" t="str">
        <f>"LEYLA YATIM-ALIN/TRANSLATION"</f>
        <v>LEYLA YATIM-ALIN/TRANSLATION</v>
      </c>
      <c r="G1152" t="str">
        <f>"LEYLA YATIM-ALIN/TRANSLATION"</f>
        <v>LEYLA YATIM-ALIN/TRANSLATION</v>
      </c>
      <c r="H1152" s="4">
        <v>342.56</v>
      </c>
    </row>
    <row r="1153" spans="1:8" x14ac:dyDescent="0.25">
      <c r="A1153" t="s">
        <v>431</v>
      </c>
      <c r="B1153">
        <v>138880</v>
      </c>
      <c r="C1153" s="4">
        <v>544.46</v>
      </c>
      <c r="D1153" s="5">
        <v>44585</v>
      </c>
      <c r="E1153" t="str">
        <f>"202201138349"</f>
        <v>202201138349</v>
      </c>
      <c r="F1153" t="str">
        <f>"CAUSE NUMBER 423-7716/21-20887"</f>
        <v>CAUSE NUMBER 423-7716/21-20887</v>
      </c>
      <c r="G1153" t="str">
        <f>"CAUSE NUMBER 423-7716/21-20887"</f>
        <v>CAUSE NUMBER 423-7716/21-20887</v>
      </c>
      <c r="H1153" s="4">
        <v>272.23</v>
      </c>
    </row>
    <row r="1154" spans="1:8" x14ac:dyDescent="0.25">
      <c r="E1154" t="str">
        <f>"22001"</f>
        <v>22001</v>
      </c>
      <c r="F1154" t="str">
        <f>"CASE#423-7716/423/2618/21-2088"</f>
        <v>CASE#423-7716/423/2618/21-2088</v>
      </c>
      <c r="G1154" t="str">
        <f>"CASE#423-7716/423/2618/21-2088"</f>
        <v>CASE#423-7716/423/2618/21-2088</v>
      </c>
      <c r="H1154" s="4">
        <v>272.23</v>
      </c>
    </row>
    <row r="1155" spans="1:8" x14ac:dyDescent="0.25">
      <c r="A1155" t="s">
        <v>432</v>
      </c>
      <c r="B1155">
        <v>5692</v>
      </c>
      <c r="C1155" s="4">
        <v>6320.91</v>
      </c>
      <c r="D1155" s="5">
        <v>44586</v>
      </c>
      <c r="E1155" t="str">
        <f>"30145"</f>
        <v>30145</v>
      </c>
      <c r="F1155" t="str">
        <f>"INV 30145"</f>
        <v>INV 30145</v>
      </c>
      <c r="G1155" t="str">
        <f>"INV 30145"</f>
        <v>INV 30145</v>
      </c>
      <c r="H1155" s="4">
        <v>6320.91</v>
      </c>
    </row>
    <row r="1156" spans="1:8" x14ac:dyDescent="0.25">
      <c r="A1156" t="s">
        <v>433</v>
      </c>
      <c r="B1156">
        <v>138881</v>
      </c>
      <c r="C1156" s="4">
        <v>760</v>
      </c>
      <c r="D1156" s="5">
        <v>44585</v>
      </c>
      <c r="E1156" t="str">
        <f>"202201198510"</f>
        <v>202201198510</v>
      </c>
      <c r="F1156" t="str">
        <f>"CASE#/MH-00757"</f>
        <v>CASE#/MH-00757</v>
      </c>
      <c r="G1156" t="str">
        <f>"CASE#/MH-00757"</f>
        <v>CASE#/MH-00757</v>
      </c>
      <c r="H1156" s="4">
        <v>760</v>
      </c>
    </row>
    <row r="1157" spans="1:8" x14ac:dyDescent="0.25">
      <c r="A1157" t="s">
        <v>434</v>
      </c>
      <c r="B1157">
        <v>138676</v>
      </c>
      <c r="C1157" s="4">
        <v>97</v>
      </c>
      <c r="D1157" s="5">
        <v>44571</v>
      </c>
      <c r="E1157" t="str">
        <f>"202201047986"</f>
        <v>202201047986</v>
      </c>
      <c r="F1157" t="str">
        <f>"REIMBURSE/WILLIAM WATERS"</f>
        <v>REIMBURSE/WILLIAM WATERS</v>
      </c>
      <c r="G1157" t="str">
        <f>"REIMBURSE/WILLIAM WATERS"</f>
        <v>REIMBURSE/WILLIAM WATERS</v>
      </c>
      <c r="H1157" s="4">
        <v>97</v>
      </c>
    </row>
    <row r="1158" spans="1:8" x14ac:dyDescent="0.25">
      <c r="A1158" t="s">
        <v>435</v>
      </c>
      <c r="B1158">
        <v>138882</v>
      </c>
      <c r="C1158" s="4">
        <v>140</v>
      </c>
      <c r="D1158" s="5">
        <v>44585</v>
      </c>
      <c r="E1158" t="str">
        <f>"12205"</f>
        <v>12205</v>
      </c>
      <c r="F1158" t="str">
        <f>"SERVICE"</f>
        <v>SERVICE</v>
      </c>
      <c r="G1158" t="str">
        <f>"SERVICE"</f>
        <v>SERVICE</v>
      </c>
      <c r="H1158" s="4">
        <v>140</v>
      </c>
    </row>
    <row r="1159" spans="1:8" x14ac:dyDescent="0.25">
      <c r="A1159" t="s">
        <v>436</v>
      </c>
      <c r="B1159">
        <v>138883</v>
      </c>
      <c r="C1159" s="4">
        <v>25</v>
      </c>
      <c r="D1159" s="5">
        <v>44585</v>
      </c>
      <c r="E1159" t="str">
        <f>"13-163/12/20/21"</f>
        <v>13-163/12/20/21</v>
      </c>
      <c r="F1159" t="str">
        <f>"RESTITUTION-M.MANZANARES"</f>
        <v>RESTITUTION-M.MANZANARES</v>
      </c>
      <c r="G1159" t="str">
        <f>"RESTITUTION-M.MANZANARES"</f>
        <v>RESTITUTION-M.MANZANARES</v>
      </c>
      <c r="H1159" s="4">
        <v>25</v>
      </c>
    </row>
    <row r="1160" spans="1:8" x14ac:dyDescent="0.25">
      <c r="A1160" t="s">
        <v>8</v>
      </c>
      <c r="B1160">
        <v>5739</v>
      </c>
      <c r="C1160" s="4">
        <v>195000</v>
      </c>
      <c r="D1160" s="5">
        <v>44586</v>
      </c>
      <c r="E1160" t="str">
        <f>"202201208515"</f>
        <v>202201208515</v>
      </c>
      <c r="F1160" t="str">
        <f>"RFB 21BCP05C"</f>
        <v>RFB 21BCP05C</v>
      </c>
      <c r="G1160" t="str">
        <f>"Pay App #1"</f>
        <v>Pay App #1</v>
      </c>
      <c r="H1160" s="4">
        <v>185250</v>
      </c>
    </row>
    <row r="1161" spans="1:8" x14ac:dyDescent="0.25">
      <c r="E1161" t="str">
        <f>""</f>
        <v/>
      </c>
      <c r="F1161" t="str">
        <f>""</f>
        <v/>
      </c>
      <c r="G1161" t="str">
        <f>"Pay App #2 Retainage"</f>
        <v>Pay App #2 Retainage</v>
      </c>
      <c r="H1161" s="4">
        <v>9750</v>
      </c>
    </row>
    <row r="1162" spans="1:8" x14ac:dyDescent="0.25">
      <c r="A1162" t="s">
        <v>23</v>
      </c>
      <c r="B1162">
        <v>138677</v>
      </c>
      <c r="C1162" s="4">
        <v>97.49</v>
      </c>
      <c r="D1162" s="5">
        <v>44571</v>
      </c>
      <c r="E1162" t="str">
        <f>"202201058165"</f>
        <v>202201058165</v>
      </c>
      <c r="F1162" t="str">
        <f>"ACCT#015397/JUVENILE BOOT CAMP"</f>
        <v>ACCT#015397/JUVENILE BOOT CAMP</v>
      </c>
      <c r="G1162" t="str">
        <f>"ACCT#015397/JUVENILE BOOT CAMP"</f>
        <v>ACCT#015397/JUVENILE BOOT CAMP</v>
      </c>
      <c r="H1162" s="4">
        <v>97.49</v>
      </c>
    </row>
    <row r="1163" spans="1:8" x14ac:dyDescent="0.25">
      <c r="A1163" t="s">
        <v>24</v>
      </c>
      <c r="B1163">
        <v>138884</v>
      </c>
      <c r="C1163" s="4">
        <v>7937.5</v>
      </c>
      <c r="D1163" s="5">
        <v>44585</v>
      </c>
      <c r="E1163" t="str">
        <f>"202201198495"</f>
        <v>202201198495</v>
      </c>
      <c r="F1163" t="str">
        <f>"ACCT#2200010819/PCT#3"</f>
        <v>ACCT#2200010819/PCT#3</v>
      </c>
      <c r="G1163" t="str">
        <f>"ACCT#2200010819/PCT#3"</f>
        <v>ACCT#2200010819/PCT#3</v>
      </c>
      <c r="H1163" s="4">
        <v>7937.5</v>
      </c>
    </row>
    <row r="1164" spans="1:8" x14ac:dyDescent="0.25">
      <c r="A1164" t="s">
        <v>51</v>
      </c>
      <c r="B1164">
        <v>138757</v>
      </c>
      <c r="C1164" s="4">
        <v>176.3</v>
      </c>
      <c r="D1164" s="5">
        <v>44575</v>
      </c>
      <c r="E1164" t="str">
        <f>"202201138353"</f>
        <v>202201138353</v>
      </c>
      <c r="F1164" t="str">
        <f>"ACCT#5000057374 / 01042022"</f>
        <v>ACCT#5000057374 / 01042022</v>
      </c>
      <c r="G1164" t="str">
        <f>"ACCT#5000057374 / 01042022"</f>
        <v>ACCT#5000057374 / 01042022</v>
      </c>
      <c r="H1164" s="4">
        <v>176.3</v>
      </c>
    </row>
    <row r="1165" spans="1:8" x14ac:dyDescent="0.25">
      <c r="A1165" t="s">
        <v>63</v>
      </c>
      <c r="B1165">
        <v>138678</v>
      </c>
      <c r="C1165" s="4">
        <v>15454.12</v>
      </c>
      <c r="D1165" s="5">
        <v>44571</v>
      </c>
      <c r="E1165" t="str">
        <f>"30146336"</f>
        <v>30146336</v>
      </c>
      <c r="F1165" t="str">
        <f t="shared" ref="F1165:G1168" si="23">"CUST#BASPCT1/PCT#1"</f>
        <v>CUST#BASPCT1/PCT#1</v>
      </c>
      <c r="G1165" t="str">
        <f t="shared" si="23"/>
        <v>CUST#BASPCT1/PCT#1</v>
      </c>
      <c r="H1165" s="4">
        <v>6115.13</v>
      </c>
    </row>
    <row r="1166" spans="1:8" x14ac:dyDescent="0.25">
      <c r="E1166" t="str">
        <f>"30146366"</f>
        <v>30146366</v>
      </c>
      <c r="F1166" t="str">
        <f t="shared" si="23"/>
        <v>CUST#BASPCT1/PCT#1</v>
      </c>
      <c r="G1166" t="str">
        <f t="shared" si="23"/>
        <v>CUST#BASPCT1/PCT#1</v>
      </c>
      <c r="H1166" s="4">
        <v>2083.25</v>
      </c>
    </row>
    <row r="1167" spans="1:8" x14ac:dyDescent="0.25">
      <c r="E1167" t="str">
        <f>"30146405"</f>
        <v>30146405</v>
      </c>
      <c r="F1167" t="str">
        <f t="shared" si="23"/>
        <v>CUST#BASPCT1/PCT#1</v>
      </c>
      <c r="G1167" t="str">
        <f t="shared" si="23"/>
        <v>CUST#BASPCT1/PCT#1</v>
      </c>
      <c r="H1167" s="4">
        <v>4843.78</v>
      </c>
    </row>
    <row r="1168" spans="1:8" x14ac:dyDescent="0.25">
      <c r="E1168" t="str">
        <f>"30146425"</f>
        <v>30146425</v>
      </c>
      <c r="F1168" t="str">
        <f t="shared" si="23"/>
        <v>CUST#BASPCT1/PCT#1</v>
      </c>
      <c r="G1168" t="str">
        <f t="shared" si="23"/>
        <v>CUST#BASPCT1/PCT#1</v>
      </c>
      <c r="H1168" s="4">
        <v>2411.96</v>
      </c>
    </row>
    <row r="1169" spans="1:8" x14ac:dyDescent="0.25">
      <c r="A1169" t="s">
        <v>71</v>
      </c>
      <c r="B1169">
        <v>1575</v>
      </c>
      <c r="C1169" s="4">
        <v>4054.62</v>
      </c>
      <c r="D1169" s="5">
        <v>44574</v>
      </c>
      <c r="E1169" t="str">
        <f>"202201138299"</f>
        <v>202201138299</v>
      </c>
      <c r="F1169" t="str">
        <f>"ACCT#72-5613 / 0103/2022"</f>
        <v>ACCT#72-5613 / 0103/2022</v>
      </c>
      <c r="G1169" t="str">
        <f>"ACCT#72-5613 / 0103/2022"</f>
        <v>ACCT#72-5613 / 0103/2022</v>
      </c>
      <c r="H1169" s="4">
        <v>4054.62</v>
      </c>
    </row>
    <row r="1170" spans="1:8" x14ac:dyDescent="0.25">
      <c r="A1170" t="s">
        <v>437</v>
      </c>
      <c r="B1170">
        <v>5664</v>
      </c>
      <c r="C1170" s="4">
        <v>172393.82</v>
      </c>
      <c r="D1170" s="5">
        <v>44572</v>
      </c>
      <c r="E1170" t="str">
        <f>"202201048152"</f>
        <v>202201048152</v>
      </c>
      <c r="F1170" t="str">
        <f>"COMPREHENSIVE COMMUNICATION SE"</f>
        <v>COMPREHENSIVE COMMUNICATION SE</v>
      </c>
      <c r="G1170" t="str">
        <f>"Trailer"</f>
        <v>Trailer</v>
      </c>
      <c r="H1170" s="4">
        <v>172393.82</v>
      </c>
    </row>
    <row r="1171" spans="1:8" x14ac:dyDescent="0.25">
      <c r="A1171" t="s">
        <v>438</v>
      </c>
      <c r="B1171">
        <v>138885</v>
      </c>
      <c r="C1171" s="4">
        <v>110</v>
      </c>
      <c r="D1171" s="5">
        <v>44585</v>
      </c>
      <c r="E1171" t="str">
        <f>"96692"</f>
        <v>96692</v>
      </c>
      <c r="F1171" t="str">
        <f>"FACE MASKS"</f>
        <v>FACE MASKS</v>
      </c>
      <c r="G1171" t="str">
        <f>"FACE MASKS"</f>
        <v>FACE MASKS</v>
      </c>
      <c r="H1171" s="4">
        <v>110</v>
      </c>
    </row>
    <row r="1172" spans="1:8" x14ac:dyDescent="0.25">
      <c r="A1172" t="s">
        <v>439</v>
      </c>
      <c r="B1172">
        <v>1543</v>
      </c>
      <c r="C1172" s="4">
        <v>35900</v>
      </c>
      <c r="D1172" s="5">
        <v>44571</v>
      </c>
      <c r="E1172" t="str">
        <f>"202201058166"</f>
        <v>202201058166</v>
      </c>
      <c r="F1172" t="str">
        <f>"DEBT SERIES - 2015"</f>
        <v>DEBT SERIES - 2015</v>
      </c>
      <c r="G1172" t="str">
        <f>"DEBT SERIES - 2015"</f>
        <v>DEBT SERIES - 2015</v>
      </c>
      <c r="H1172" s="4">
        <v>35900</v>
      </c>
    </row>
    <row r="1173" spans="1:8" x14ac:dyDescent="0.25">
      <c r="A1173" t="s">
        <v>439</v>
      </c>
      <c r="B1173">
        <v>1585</v>
      </c>
      <c r="C1173" s="4">
        <v>599576.96</v>
      </c>
      <c r="D1173" s="5">
        <v>44585</v>
      </c>
      <c r="E1173" t="str">
        <f>"1886724"</f>
        <v>1886724</v>
      </c>
      <c r="F1173" t="str">
        <f>"DEBT SERIES PMT - 2017"</f>
        <v>DEBT SERIES PMT - 2017</v>
      </c>
      <c r="G1173" t="str">
        <f>"DEBT SERIES PMT - 2017"</f>
        <v>DEBT SERIES PMT - 2017</v>
      </c>
      <c r="H1173" s="4">
        <v>120975</v>
      </c>
    </row>
    <row r="1174" spans="1:8" x14ac:dyDescent="0.25">
      <c r="E1174" t="str">
        <f>"1886725"</f>
        <v>1886725</v>
      </c>
      <c r="F1174" t="str">
        <f>"DEBT SERIES PMT - 2014"</f>
        <v>DEBT SERIES PMT - 2014</v>
      </c>
      <c r="G1174" t="str">
        <f>"DEBT SERIES PMT - 2014"</f>
        <v>DEBT SERIES PMT - 2014</v>
      </c>
      <c r="H1174" s="4">
        <v>124568.75</v>
      </c>
    </row>
    <row r="1175" spans="1:8" x14ac:dyDescent="0.25">
      <c r="E1175" t="str">
        <f>"1886730"</f>
        <v>1886730</v>
      </c>
      <c r="F1175" t="str">
        <f>"DEBT SERIES PMT - 2018"</f>
        <v>DEBT SERIES PMT - 2018</v>
      </c>
      <c r="G1175" t="str">
        <f>"DEBT SERIES PMT - 2018"</f>
        <v>DEBT SERIES PMT - 2018</v>
      </c>
      <c r="H1175" s="4">
        <v>158218.76</v>
      </c>
    </row>
    <row r="1176" spans="1:8" x14ac:dyDescent="0.25">
      <c r="E1176" t="str">
        <f>"202201198504"</f>
        <v>202201198504</v>
      </c>
      <c r="F1176" t="str">
        <f>"DEBT SERIES PMT - 2020"</f>
        <v>DEBT SERIES PMT - 2020</v>
      </c>
      <c r="G1176" t="str">
        <f>"DEBT SERIES PMT - 2020"</f>
        <v>DEBT SERIES PMT - 2020</v>
      </c>
      <c r="H1176" s="4">
        <v>28751.95</v>
      </c>
    </row>
    <row r="1177" spans="1:8" x14ac:dyDescent="0.25">
      <c r="E1177" t="str">
        <f>"CT2116399"</f>
        <v>CT2116399</v>
      </c>
      <c r="F1177" t="str">
        <f>"DEBT SERIES PMT - 2021"</f>
        <v>DEBT SERIES PMT - 2021</v>
      </c>
      <c r="G1177" t="str">
        <f>"DEBT SERIES PMT - 2021"</f>
        <v>DEBT SERIES PMT - 2021</v>
      </c>
      <c r="H1177" s="4">
        <v>167062.5</v>
      </c>
    </row>
    <row r="1178" spans="1:8" x14ac:dyDescent="0.25">
      <c r="A1178" t="s">
        <v>127</v>
      </c>
      <c r="B1178">
        <v>5665</v>
      </c>
      <c r="C1178" s="4">
        <v>6325.13</v>
      </c>
      <c r="D1178" s="5">
        <v>44572</v>
      </c>
      <c r="E1178" t="str">
        <f>"10064192"</f>
        <v>10064192</v>
      </c>
      <c r="F1178" t="str">
        <f>"JC MADISON SUBDIVISION"</f>
        <v>JC MADISON SUBDIVISION</v>
      </c>
      <c r="G1178" t="str">
        <f>"JC MADISON SUBDIVISION"</f>
        <v>JC MADISON SUBDIVISION</v>
      </c>
      <c r="H1178" s="4">
        <v>6325.13</v>
      </c>
    </row>
    <row r="1179" spans="1:8" x14ac:dyDescent="0.25">
      <c r="A1179" t="s">
        <v>134</v>
      </c>
      <c r="B1179">
        <v>138679</v>
      </c>
      <c r="C1179" s="4">
        <v>117.66</v>
      </c>
      <c r="D1179" s="5">
        <v>44571</v>
      </c>
      <c r="E1179" t="str">
        <f>"2043307"</f>
        <v>2043307</v>
      </c>
      <c r="F1179" t="str">
        <f>"Home Depot"</f>
        <v>Home Depot</v>
      </c>
      <c r="G1179" t="str">
        <f>"2043307"</f>
        <v>2043307</v>
      </c>
      <c r="H1179" s="4">
        <v>117.66</v>
      </c>
    </row>
    <row r="1180" spans="1:8" x14ac:dyDescent="0.25">
      <c r="A1180" t="s">
        <v>331</v>
      </c>
      <c r="B1180">
        <v>5740</v>
      </c>
      <c r="C1180" s="4">
        <v>4911.1899999999996</v>
      </c>
      <c r="D1180" s="5">
        <v>44586</v>
      </c>
      <c r="E1180" t="str">
        <f>"2008502"</f>
        <v>2008502</v>
      </c>
      <c r="F1180" t="str">
        <f>"BA-CNTY-O1/MIKE FISHER BUILD"</f>
        <v>BA-CNTY-O1/MIKE FISHER BUILD</v>
      </c>
      <c r="G1180" t="str">
        <f>"BA-CNTY-O1/MIKE FISHER BUILD"</f>
        <v>BA-CNTY-O1/MIKE FISHER BUILD</v>
      </c>
      <c r="H1180" s="4">
        <v>2041.19</v>
      </c>
    </row>
    <row r="1181" spans="1:8" x14ac:dyDescent="0.25">
      <c r="E1181" t="str">
        <f>"2008503"</f>
        <v>2008503</v>
      </c>
      <c r="F1181" t="str">
        <f>"BA-CNTY-O1/MIKE FISHER BUILD"</f>
        <v>BA-CNTY-O1/MIKE FISHER BUILD</v>
      </c>
      <c r="G1181" t="str">
        <f>"BA-CNTY-O1/MIKE FISHER BUILD"</f>
        <v>BA-CNTY-O1/MIKE FISHER BUILD</v>
      </c>
      <c r="H1181" s="4">
        <v>2870</v>
      </c>
    </row>
    <row r="1182" spans="1:8" x14ac:dyDescent="0.25">
      <c r="A1182" t="s">
        <v>440</v>
      </c>
      <c r="B1182">
        <v>5663</v>
      </c>
      <c r="C1182" s="4">
        <v>2000</v>
      </c>
      <c r="D1182" s="5">
        <v>44572</v>
      </c>
      <c r="E1182" t="str">
        <f>"WA-2802-2021"</f>
        <v>WA-2802-2021</v>
      </c>
      <c r="F1182" t="str">
        <f>"TAHITIAN VILLAGE UNIT 4"</f>
        <v>TAHITIAN VILLAGE UNIT 4</v>
      </c>
      <c r="G1182" t="str">
        <f>"TAHITIAN VILLAGE UNIT 4"</f>
        <v>TAHITIAN VILLAGE UNIT 4</v>
      </c>
      <c r="H1182" s="4">
        <v>2000</v>
      </c>
    </row>
    <row r="1183" spans="1:8" x14ac:dyDescent="0.25">
      <c r="A1183" t="s">
        <v>441</v>
      </c>
      <c r="B1183">
        <v>138888</v>
      </c>
      <c r="C1183" s="4">
        <v>51102.58</v>
      </c>
      <c r="D1183" s="5">
        <v>44587</v>
      </c>
      <c r="E1183" t="str">
        <f>"202201268561"</f>
        <v>202201268561</v>
      </c>
      <c r="F1183" t="str">
        <f>"DR 4029 - PW 905"</f>
        <v>DR 4029 - PW 905</v>
      </c>
      <c r="G1183" t="str">
        <f>"TEXAS DIVISION OF EMERGENCY MA"</f>
        <v>TEXAS DIVISION OF EMERGENCY MA</v>
      </c>
      <c r="H1183" s="4">
        <v>51102.58</v>
      </c>
    </row>
    <row r="1184" spans="1:8" x14ac:dyDescent="0.25">
      <c r="A1184" t="s">
        <v>442</v>
      </c>
      <c r="B1184">
        <v>1588</v>
      </c>
      <c r="C1184" s="4">
        <v>3723.74</v>
      </c>
      <c r="D1184" s="5">
        <v>44588</v>
      </c>
      <c r="E1184" t="str">
        <f>"202201278596"</f>
        <v>202201278596</v>
      </c>
      <c r="F1184" t="str">
        <f>"ADJ - JANUARY 2022"</f>
        <v>ADJ - JANUARY 2022</v>
      </c>
      <c r="G1184" t="str">
        <f>"ADJ - JANUARY 2022"</f>
        <v>ADJ - JANUARY 2022</v>
      </c>
      <c r="H1184" s="4">
        <v>13.57</v>
      </c>
    </row>
    <row r="1185" spans="1:8" x14ac:dyDescent="0.25">
      <c r="E1185" t="str">
        <f>"AS 202201058185"</f>
        <v>AS 202201058185</v>
      </c>
      <c r="F1185" t="str">
        <f t="shared" ref="F1185:G1197" si="24">"ALLSTATE"</f>
        <v>ALLSTATE</v>
      </c>
      <c r="G1185" t="str">
        <f t="shared" si="24"/>
        <v>ALLSTATE</v>
      </c>
      <c r="H1185" s="4">
        <v>333.96</v>
      </c>
    </row>
    <row r="1186" spans="1:8" x14ac:dyDescent="0.25">
      <c r="E1186" t="str">
        <f>"AS 202201058186"</f>
        <v>AS 202201058186</v>
      </c>
      <c r="F1186" t="str">
        <f t="shared" si="24"/>
        <v>ALLSTATE</v>
      </c>
      <c r="G1186" t="str">
        <f t="shared" si="24"/>
        <v>ALLSTATE</v>
      </c>
      <c r="H1186" s="4">
        <v>13.57</v>
      </c>
    </row>
    <row r="1187" spans="1:8" x14ac:dyDescent="0.25">
      <c r="E1187" t="str">
        <f>"AS 202201198473"</f>
        <v>AS 202201198473</v>
      </c>
      <c r="F1187" t="str">
        <f t="shared" si="24"/>
        <v>ALLSTATE</v>
      </c>
      <c r="G1187" t="str">
        <f t="shared" si="24"/>
        <v>ALLSTATE</v>
      </c>
      <c r="H1187" s="4">
        <v>333.96</v>
      </c>
    </row>
    <row r="1188" spans="1:8" x14ac:dyDescent="0.25">
      <c r="E1188" t="str">
        <f>"ASD202201058185"</f>
        <v>ASD202201058185</v>
      </c>
      <c r="F1188" t="str">
        <f t="shared" si="24"/>
        <v>ALLSTATE</v>
      </c>
      <c r="G1188" t="str">
        <f t="shared" si="24"/>
        <v>ALLSTATE</v>
      </c>
      <c r="H1188" s="4">
        <v>156.19999999999999</v>
      </c>
    </row>
    <row r="1189" spans="1:8" x14ac:dyDescent="0.25">
      <c r="E1189" t="str">
        <f>"ASD202201198473"</f>
        <v>ASD202201198473</v>
      </c>
      <c r="F1189" t="str">
        <f t="shared" si="24"/>
        <v>ALLSTATE</v>
      </c>
      <c r="G1189" t="str">
        <f t="shared" si="24"/>
        <v>ALLSTATE</v>
      </c>
      <c r="H1189" s="4">
        <v>156.19999999999999</v>
      </c>
    </row>
    <row r="1190" spans="1:8" x14ac:dyDescent="0.25">
      <c r="E1190" t="str">
        <f>"ASI202201058185"</f>
        <v>ASI202201058185</v>
      </c>
      <c r="F1190" t="str">
        <f t="shared" si="24"/>
        <v>ALLSTATE</v>
      </c>
      <c r="G1190" t="str">
        <f t="shared" si="24"/>
        <v>ALLSTATE</v>
      </c>
      <c r="H1190" s="4">
        <v>430.62</v>
      </c>
    </row>
    <row r="1191" spans="1:8" x14ac:dyDescent="0.25">
      <c r="E1191" t="str">
        <f>"ASI202201058186"</f>
        <v>ASI202201058186</v>
      </c>
      <c r="F1191" t="str">
        <f t="shared" si="24"/>
        <v>ALLSTATE</v>
      </c>
      <c r="G1191" t="str">
        <f t="shared" si="24"/>
        <v>ALLSTATE</v>
      </c>
      <c r="H1191" s="4">
        <v>63.02</v>
      </c>
    </row>
    <row r="1192" spans="1:8" x14ac:dyDescent="0.25">
      <c r="E1192" t="str">
        <f>"ASI202201198473"</f>
        <v>ASI202201198473</v>
      </c>
      <c r="F1192" t="str">
        <f t="shared" si="24"/>
        <v>ALLSTATE</v>
      </c>
      <c r="G1192" t="str">
        <f t="shared" si="24"/>
        <v>ALLSTATE</v>
      </c>
      <c r="H1192" s="4">
        <v>430.62</v>
      </c>
    </row>
    <row r="1193" spans="1:8" x14ac:dyDescent="0.25">
      <c r="E1193" t="str">
        <f>"ASI202201198474"</f>
        <v>ASI202201198474</v>
      </c>
      <c r="F1193" t="str">
        <f t="shared" si="24"/>
        <v>ALLSTATE</v>
      </c>
      <c r="G1193" t="str">
        <f t="shared" si="24"/>
        <v>ALLSTATE</v>
      </c>
      <c r="H1193" s="4">
        <v>63.02</v>
      </c>
    </row>
    <row r="1194" spans="1:8" x14ac:dyDescent="0.25">
      <c r="E1194" t="str">
        <f>"AST202201058185"</f>
        <v>AST202201058185</v>
      </c>
      <c r="F1194" t="str">
        <f t="shared" si="24"/>
        <v>ALLSTATE</v>
      </c>
      <c r="G1194" t="str">
        <f t="shared" si="24"/>
        <v>ALLSTATE</v>
      </c>
      <c r="H1194" s="4">
        <v>853.09</v>
      </c>
    </row>
    <row r="1195" spans="1:8" x14ac:dyDescent="0.25">
      <c r="E1195" t="str">
        <f>"AST202201058186"</f>
        <v>AST202201058186</v>
      </c>
      <c r="F1195" t="str">
        <f t="shared" si="24"/>
        <v>ALLSTATE</v>
      </c>
      <c r="G1195" t="str">
        <f t="shared" si="24"/>
        <v>ALLSTATE</v>
      </c>
      <c r="H1195" s="4">
        <v>11.41</v>
      </c>
    </row>
    <row r="1196" spans="1:8" x14ac:dyDescent="0.25">
      <c r="E1196" t="str">
        <f>"AST202201198473"</f>
        <v>AST202201198473</v>
      </c>
      <c r="F1196" t="str">
        <f t="shared" si="24"/>
        <v>ALLSTATE</v>
      </c>
      <c r="G1196" t="str">
        <f t="shared" si="24"/>
        <v>ALLSTATE</v>
      </c>
      <c r="H1196" s="4">
        <v>853.09</v>
      </c>
    </row>
    <row r="1197" spans="1:8" x14ac:dyDescent="0.25">
      <c r="E1197" t="str">
        <f>"AST202201198474"</f>
        <v>AST202201198474</v>
      </c>
      <c r="F1197" t="str">
        <f t="shared" si="24"/>
        <v>ALLSTATE</v>
      </c>
      <c r="G1197" t="str">
        <f t="shared" si="24"/>
        <v>ALLSTATE</v>
      </c>
      <c r="H1197" s="4">
        <v>11.41</v>
      </c>
    </row>
    <row r="1198" spans="1:8" x14ac:dyDescent="0.25">
      <c r="A1198" t="s">
        <v>443</v>
      </c>
      <c r="B1198">
        <v>1590</v>
      </c>
      <c r="C1198" s="4">
        <v>28254.17</v>
      </c>
      <c r="D1198" s="5">
        <v>44588</v>
      </c>
      <c r="E1198" t="str">
        <f>"202201278595"</f>
        <v>202201278595</v>
      </c>
      <c r="F1198" t="str">
        <f>"RETIREE INS- JANUARY 2022"</f>
        <v>RETIREE INS- JANUARY 2022</v>
      </c>
      <c r="G1198" t="str">
        <f>"RETIREE INS- JANUARY 2022"</f>
        <v>RETIREE INS- JANUARY 2022</v>
      </c>
      <c r="H1198" s="4">
        <v>28254.17</v>
      </c>
    </row>
    <row r="1199" spans="1:8" x14ac:dyDescent="0.25">
      <c r="A1199" t="s">
        <v>444</v>
      </c>
      <c r="B1199">
        <v>1538</v>
      </c>
      <c r="C1199" s="4">
        <v>1946.48</v>
      </c>
      <c r="D1199" s="5">
        <v>44568</v>
      </c>
      <c r="E1199" t="str">
        <f>"DHM202201058187"</f>
        <v>DHM202201058187</v>
      </c>
      <c r="F1199" t="str">
        <f>"AP - DENTAL HMO"</f>
        <v>AP - DENTAL HMO</v>
      </c>
      <c r="G1199" t="str">
        <f>"AP - DENTAL HMO"</f>
        <v>AP - DENTAL HMO</v>
      </c>
      <c r="H1199" s="4">
        <v>9.6</v>
      </c>
    </row>
    <row r="1200" spans="1:8" x14ac:dyDescent="0.25">
      <c r="E1200" t="str">
        <f>"DTX202201058187"</f>
        <v>DTX202201058187</v>
      </c>
      <c r="F1200" t="str">
        <f>"AP - TEXAS DENTAL"</f>
        <v>AP - TEXAS DENTAL</v>
      </c>
      <c r="G1200" t="str">
        <f>"AP - TEXAS DENTAL"</f>
        <v>AP - TEXAS DENTAL</v>
      </c>
      <c r="H1200" s="4">
        <v>474.59</v>
      </c>
    </row>
    <row r="1201" spans="1:8" x14ac:dyDescent="0.25">
      <c r="E1201" t="str">
        <f>"FD 202201058187"</f>
        <v>FD 202201058187</v>
      </c>
      <c r="F1201" t="str">
        <f>"AP - FT DEARBORN PRE-TAX"</f>
        <v>AP - FT DEARBORN PRE-TAX</v>
      </c>
      <c r="G1201" t="str">
        <f>"AP - FT DEARBORN PRE-TAX"</f>
        <v>AP - FT DEARBORN PRE-TAX</v>
      </c>
      <c r="H1201" s="4">
        <v>68.72</v>
      </c>
    </row>
    <row r="1202" spans="1:8" x14ac:dyDescent="0.25">
      <c r="E1202" t="str">
        <f>"FDT202201058187"</f>
        <v>FDT202201058187</v>
      </c>
      <c r="F1202" t="str">
        <f>"AP - FT DEARBORN AFTER TAX"</f>
        <v>AP - FT DEARBORN AFTER TAX</v>
      </c>
      <c r="G1202" t="str">
        <f>"AP - FT DEARBORN AFTER TAX"</f>
        <v>AP - FT DEARBORN AFTER TAX</v>
      </c>
      <c r="H1202" s="4">
        <v>83.12</v>
      </c>
    </row>
    <row r="1203" spans="1:8" x14ac:dyDescent="0.25">
      <c r="E1203" t="str">
        <f>"FLX202201058187"</f>
        <v>FLX202201058187</v>
      </c>
      <c r="F1203" t="str">
        <f>"AP - TEX FLEX"</f>
        <v>AP - TEX FLEX</v>
      </c>
      <c r="G1203" t="str">
        <f>"AP - TEX FLEX"</f>
        <v>AP - TEX FLEX</v>
      </c>
      <c r="H1203" s="4">
        <v>50</v>
      </c>
    </row>
    <row r="1204" spans="1:8" x14ac:dyDescent="0.25">
      <c r="E1204" t="str">
        <f>"MHS202201058187"</f>
        <v>MHS202201058187</v>
      </c>
      <c r="F1204" t="str">
        <f>"AP - HEALTH SELECT MEDICAL"</f>
        <v>AP - HEALTH SELECT MEDICAL</v>
      </c>
      <c r="G1204" t="str">
        <f>"AP - HEALTH SELECT MEDICAL"</f>
        <v>AP - HEALTH SELECT MEDICAL</v>
      </c>
      <c r="H1204" s="4">
        <v>1090.68</v>
      </c>
    </row>
    <row r="1205" spans="1:8" x14ac:dyDescent="0.25">
      <c r="E1205" t="str">
        <f>"MSW202201058187"</f>
        <v>MSW202201058187</v>
      </c>
      <c r="F1205" t="str">
        <f>"AP - SCOTT &amp; WHITE MEDICAL"</f>
        <v>AP - SCOTT &amp; WHITE MEDICAL</v>
      </c>
      <c r="G1205" t="str">
        <f>"AP - SCOTT &amp; WHITE MEDICAL"</f>
        <v>AP - SCOTT &amp; WHITE MEDICAL</v>
      </c>
      <c r="H1205" s="4">
        <v>119.69</v>
      </c>
    </row>
    <row r="1206" spans="1:8" x14ac:dyDescent="0.25">
      <c r="E1206" t="str">
        <f>"SPE202201058187"</f>
        <v>SPE202201058187</v>
      </c>
      <c r="F1206" t="str">
        <f>"AP - STATE VISION"</f>
        <v>AP - STATE VISION</v>
      </c>
      <c r="G1206" t="str">
        <f>"AP - STATE VISION"</f>
        <v>AP - STATE VISION</v>
      </c>
      <c r="H1206" s="4">
        <v>50.08</v>
      </c>
    </row>
    <row r="1207" spans="1:8" x14ac:dyDescent="0.25">
      <c r="A1207" t="s">
        <v>444</v>
      </c>
      <c r="B1207">
        <v>1581</v>
      </c>
      <c r="C1207" s="4">
        <v>1946.48</v>
      </c>
      <c r="D1207" s="5">
        <v>44582</v>
      </c>
      <c r="E1207" t="str">
        <f>"DHM202201198475"</f>
        <v>DHM202201198475</v>
      </c>
      <c r="F1207" t="str">
        <f>"AP - DENTAL HMO"</f>
        <v>AP - DENTAL HMO</v>
      </c>
      <c r="G1207" t="str">
        <f>"AP - DENTAL HMO"</f>
        <v>AP - DENTAL HMO</v>
      </c>
      <c r="H1207" s="4">
        <v>9.6</v>
      </c>
    </row>
    <row r="1208" spans="1:8" x14ac:dyDescent="0.25">
      <c r="E1208" t="str">
        <f>"DTX202201198475"</f>
        <v>DTX202201198475</v>
      </c>
      <c r="F1208" t="str">
        <f>"AP - TEXAS DENTAL"</f>
        <v>AP - TEXAS DENTAL</v>
      </c>
      <c r="G1208" t="str">
        <f>"AP - TEXAS DENTAL"</f>
        <v>AP - TEXAS DENTAL</v>
      </c>
      <c r="H1208" s="4">
        <v>474.59</v>
      </c>
    </row>
    <row r="1209" spans="1:8" x14ac:dyDescent="0.25">
      <c r="E1209" t="str">
        <f>"FD 202201198475"</f>
        <v>FD 202201198475</v>
      </c>
      <c r="F1209" t="str">
        <f>"AP - FT DEARBORN PRE-TAX"</f>
        <v>AP - FT DEARBORN PRE-TAX</v>
      </c>
      <c r="G1209" t="str">
        <f>"AP - FT DEARBORN PRE-TAX"</f>
        <v>AP - FT DEARBORN PRE-TAX</v>
      </c>
      <c r="H1209" s="4">
        <v>68.72</v>
      </c>
    </row>
    <row r="1210" spans="1:8" x14ac:dyDescent="0.25">
      <c r="E1210" t="str">
        <f>"FDT202201198475"</f>
        <v>FDT202201198475</v>
      </c>
      <c r="F1210" t="str">
        <f>"AP - FT DEARBORN AFTER TAX"</f>
        <v>AP - FT DEARBORN AFTER TAX</v>
      </c>
      <c r="G1210" t="str">
        <f>"AP - FT DEARBORN AFTER TAX"</f>
        <v>AP - FT DEARBORN AFTER TAX</v>
      </c>
      <c r="H1210" s="4">
        <v>83.12</v>
      </c>
    </row>
    <row r="1211" spans="1:8" x14ac:dyDescent="0.25">
      <c r="E1211" t="str">
        <f>"FLX202201198475"</f>
        <v>FLX202201198475</v>
      </c>
      <c r="F1211" t="str">
        <f>"AP - TEX FLEX"</f>
        <v>AP - TEX FLEX</v>
      </c>
      <c r="G1211" t="str">
        <f>"AP - TEX FLEX"</f>
        <v>AP - TEX FLEX</v>
      </c>
      <c r="H1211" s="4">
        <v>50</v>
      </c>
    </row>
    <row r="1212" spans="1:8" x14ac:dyDescent="0.25">
      <c r="E1212" t="str">
        <f>"MHS202201198475"</f>
        <v>MHS202201198475</v>
      </c>
      <c r="F1212" t="str">
        <f>"AP - HEALTH SELECT MEDICAL"</f>
        <v>AP - HEALTH SELECT MEDICAL</v>
      </c>
      <c r="G1212" t="str">
        <f>"AP - HEALTH SELECT MEDICAL"</f>
        <v>AP - HEALTH SELECT MEDICAL</v>
      </c>
      <c r="H1212" s="4">
        <v>1090.68</v>
      </c>
    </row>
    <row r="1213" spans="1:8" x14ac:dyDescent="0.25">
      <c r="E1213" t="str">
        <f>"MSW202201198475"</f>
        <v>MSW202201198475</v>
      </c>
      <c r="F1213" t="str">
        <f>"AP - SCOTT &amp; WHITE MEDICAL"</f>
        <v>AP - SCOTT &amp; WHITE MEDICAL</v>
      </c>
      <c r="G1213" t="str">
        <f>"AP - SCOTT &amp; WHITE MEDICAL"</f>
        <v>AP - SCOTT &amp; WHITE MEDICAL</v>
      </c>
      <c r="H1213" s="4">
        <v>119.69</v>
      </c>
    </row>
    <row r="1214" spans="1:8" x14ac:dyDescent="0.25">
      <c r="E1214" t="str">
        <f>"SPE202201198475"</f>
        <v>SPE202201198475</v>
      </c>
      <c r="F1214" t="str">
        <f>"AP - STATE VISION"</f>
        <v>AP - STATE VISION</v>
      </c>
      <c r="G1214" t="str">
        <f>"AP - STATE VISION"</f>
        <v>AP - STATE VISION</v>
      </c>
      <c r="H1214" s="4">
        <v>50.08</v>
      </c>
    </row>
    <row r="1215" spans="1:8" x14ac:dyDescent="0.25">
      <c r="A1215" t="s">
        <v>445</v>
      </c>
      <c r="B1215">
        <v>1589</v>
      </c>
      <c r="C1215" s="4">
        <v>4216.8</v>
      </c>
      <c r="D1215" s="5">
        <v>44588</v>
      </c>
      <c r="E1215" t="str">
        <f>"202201278599"</f>
        <v>202201278599</v>
      </c>
      <c r="F1215" t="str">
        <f>"ADJ - JANUARY 2022"</f>
        <v>ADJ - JANUARY 2022</v>
      </c>
      <c r="G1215" t="str">
        <f>"ADJ - JANUARY 2022"</f>
        <v>ADJ - JANUARY 2022</v>
      </c>
      <c r="H1215" s="4">
        <v>-44.94</v>
      </c>
    </row>
    <row r="1216" spans="1:8" x14ac:dyDescent="0.25">
      <c r="E1216" t="str">
        <f>"202201278597"</f>
        <v>202201278597</v>
      </c>
      <c r="F1216" t="str">
        <f>"ROUNDING - JANUARY 2022"</f>
        <v>ROUNDING - JANUARY 2022</v>
      </c>
      <c r="G1216" t="str">
        <f>"ROUNDING - JANUARY 2022"</f>
        <v>ROUNDING - JANUARY 2022</v>
      </c>
      <c r="H1216" s="4">
        <v>0.38</v>
      </c>
    </row>
    <row r="1217" spans="5:8" x14ac:dyDescent="0.25">
      <c r="E1217" t="str">
        <f>"CL 202201058185"</f>
        <v>CL 202201058185</v>
      </c>
      <c r="F1217" t="str">
        <f t="shared" ref="F1217:G1235" si="25">"COLONIAL"</f>
        <v>COLONIAL</v>
      </c>
      <c r="G1217" t="str">
        <f t="shared" si="25"/>
        <v>COLONIAL</v>
      </c>
      <c r="H1217" s="4">
        <v>517.34</v>
      </c>
    </row>
    <row r="1218" spans="5:8" x14ac:dyDescent="0.25">
      <c r="E1218" t="str">
        <f>"CL 202201058186"</f>
        <v>CL 202201058186</v>
      </c>
      <c r="F1218" t="str">
        <f t="shared" si="25"/>
        <v>COLONIAL</v>
      </c>
      <c r="G1218" t="str">
        <f t="shared" si="25"/>
        <v>COLONIAL</v>
      </c>
      <c r="H1218" s="4">
        <v>14.49</v>
      </c>
    </row>
    <row r="1219" spans="5:8" x14ac:dyDescent="0.25">
      <c r="E1219" t="str">
        <f>"CL 202201198473"</f>
        <v>CL 202201198473</v>
      </c>
      <c r="F1219" t="str">
        <f t="shared" si="25"/>
        <v>COLONIAL</v>
      </c>
      <c r="G1219" t="str">
        <f t="shared" si="25"/>
        <v>COLONIAL</v>
      </c>
      <c r="H1219" s="4">
        <v>517.34</v>
      </c>
    </row>
    <row r="1220" spans="5:8" x14ac:dyDescent="0.25">
      <c r="E1220" t="str">
        <f>"CL 202201198474"</f>
        <v>CL 202201198474</v>
      </c>
      <c r="F1220" t="str">
        <f t="shared" si="25"/>
        <v>COLONIAL</v>
      </c>
      <c r="G1220" t="str">
        <f t="shared" si="25"/>
        <v>COLONIAL</v>
      </c>
      <c r="H1220" s="4">
        <v>14.49</v>
      </c>
    </row>
    <row r="1221" spans="5:8" x14ac:dyDescent="0.25">
      <c r="E1221" t="str">
        <f>"CLC202201058185"</f>
        <v>CLC202201058185</v>
      </c>
      <c r="F1221" t="str">
        <f t="shared" si="25"/>
        <v>COLONIAL</v>
      </c>
      <c r="G1221" t="str">
        <f t="shared" si="25"/>
        <v>COLONIAL</v>
      </c>
      <c r="H1221" s="4">
        <v>33.99</v>
      </c>
    </row>
    <row r="1222" spans="5:8" x14ac:dyDescent="0.25">
      <c r="E1222" t="str">
        <f>"CLC202201198473"</f>
        <v>CLC202201198473</v>
      </c>
      <c r="F1222" t="str">
        <f t="shared" si="25"/>
        <v>COLONIAL</v>
      </c>
      <c r="G1222" t="str">
        <f t="shared" si="25"/>
        <v>COLONIAL</v>
      </c>
      <c r="H1222" s="4">
        <v>33.99</v>
      </c>
    </row>
    <row r="1223" spans="5:8" x14ac:dyDescent="0.25">
      <c r="E1223" t="str">
        <f>"CLI202201058185"</f>
        <v>CLI202201058185</v>
      </c>
      <c r="F1223" t="str">
        <f t="shared" si="25"/>
        <v>COLONIAL</v>
      </c>
      <c r="G1223" t="str">
        <f t="shared" si="25"/>
        <v>COLONIAL</v>
      </c>
      <c r="H1223" s="4">
        <v>574.54</v>
      </c>
    </row>
    <row r="1224" spans="5:8" x14ac:dyDescent="0.25">
      <c r="E1224" t="str">
        <f>"CLI202201198473"</f>
        <v>CLI202201198473</v>
      </c>
      <c r="F1224" t="str">
        <f t="shared" si="25"/>
        <v>COLONIAL</v>
      </c>
      <c r="G1224" t="str">
        <f t="shared" si="25"/>
        <v>COLONIAL</v>
      </c>
      <c r="H1224" s="4">
        <v>574.54</v>
      </c>
    </row>
    <row r="1225" spans="5:8" x14ac:dyDescent="0.25">
      <c r="E1225" t="str">
        <f>"CLK202201058185"</f>
        <v>CLK202201058185</v>
      </c>
      <c r="F1225" t="str">
        <f t="shared" si="25"/>
        <v>COLONIAL</v>
      </c>
      <c r="G1225" t="str">
        <f t="shared" si="25"/>
        <v>COLONIAL</v>
      </c>
      <c r="H1225" s="4">
        <v>6.2</v>
      </c>
    </row>
    <row r="1226" spans="5:8" x14ac:dyDescent="0.25">
      <c r="E1226" t="str">
        <f>"CLK202201198473"</f>
        <v>CLK202201198473</v>
      </c>
      <c r="F1226" t="str">
        <f t="shared" si="25"/>
        <v>COLONIAL</v>
      </c>
      <c r="G1226" t="str">
        <f t="shared" si="25"/>
        <v>COLONIAL</v>
      </c>
      <c r="H1226" s="4">
        <v>6.2</v>
      </c>
    </row>
    <row r="1227" spans="5:8" x14ac:dyDescent="0.25">
      <c r="E1227" t="str">
        <f>"CLS202201058185"</f>
        <v>CLS202201058185</v>
      </c>
      <c r="F1227" t="str">
        <f t="shared" si="25"/>
        <v>COLONIAL</v>
      </c>
      <c r="G1227" t="str">
        <f t="shared" si="25"/>
        <v>COLONIAL</v>
      </c>
      <c r="H1227" s="4">
        <v>270.33</v>
      </c>
    </row>
    <row r="1228" spans="5:8" x14ac:dyDescent="0.25">
      <c r="E1228" t="str">
        <f>"CLS202201198473"</f>
        <v>CLS202201198473</v>
      </c>
      <c r="F1228" t="str">
        <f t="shared" si="25"/>
        <v>COLONIAL</v>
      </c>
      <c r="G1228" t="str">
        <f t="shared" si="25"/>
        <v>COLONIAL</v>
      </c>
      <c r="H1228" s="4">
        <v>270.33</v>
      </c>
    </row>
    <row r="1229" spans="5:8" x14ac:dyDescent="0.25">
      <c r="E1229" t="str">
        <f>"CLS202201198474"</f>
        <v>CLS202201198474</v>
      </c>
      <c r="F1229" t="str">
        <f t="shared" si="25"/>
        <v>COLONIAL</v>
      </c>
      <c r="G1229" t="str">
        <f t="shared" si="25"/>
        <v>COLONIAL</v>
      </c>
      <c r="H1229" s="4">
        <v>89.88</v>
      </c>
    </row>
    <row r="1230" spans="5:8" x14ac:dyDescent="0.25">
      <c r="E1230" t="str">
        <f>"CLT202201058185"</f>
        <v>CLT202201058185</v>
      </c>
      <c r="F1230" t="str">
        <f t="shared" si="25"/>
        <v>COLONIAL</v>
      </c>
      <c r="G1230" t="str">
        <f t="shared" si="25"/>
        <v>COLONIAL</v>
      </c>
      <c r="H1230" s="4">
        <v>349.2</v>
      </c>
    </row>
    <row r="1231" spans="5:8" x14ac:dyDescent="0.25">
      <c r="E1231" t="str">
        <f>"CLT202201198473"</f>
        <v>CLT202201198473</v>
      </c>
      <c r="F1231" t="str">
        <f t="shared" si="25"/>
        <v>COLONIAL</v>
      </c>
      <c r="G1231" t="str">
        <f t="shared" si="25"/>
        <v>COLONIAL</v>
      </c>
      <c r="H1231" s="4">
        <v>349.2</v>
      </c>
    </row>
    <row r="1232" spans="5:8" x14ac:dyDescent="0.25">
      <c r="E1232" t="str">
        <f>"CLU202201058185"</f>
        <v>CLU202201058185</v>
      </c>
      <c r="F1232" t="str">
        <f t="shared" si="25"/>
        <v>COLONIAL</v>
      </c>
      <c r="G1232" t="str">
        <f t="shared" si="25"/>
        <v>COLONIAL</v>
      </c>
      <c r="H1232" s="4">
        <v>61.22</v>
      </c>
    </row>
    <row r="1233" spans="1:8" x14ac:dyDescent="0.25">
      <c r="E1233" t="str">
        <f>"CLU202201198473"</f>
        <v>CLU202201198473</v>
      </c>
      <c r="F1233" t="str">
        <f t="shared" si="25"/>
        <v>COLONIAL</v>
      </c>
      <c r="G1233" t="str">
        <f t="shared" si="25"/>
        <v>COLONIAL</v>
      </c>
      <c r="H1233" s="4">
        <v>61.22</v>
      </c>
    </row>
    <row r="1234" spans="1:8" x14ac:dyDescent="0.25">
      <c r="E1234" t="str">
        <f>"CLW202201058185"</f>
        <v>CLW202201058185</v>
      </c>
      <c r="F1234" t="str">
        <f t="shared" si="25"/>
        <v>COLONIAL</v>
      </c>
      <c r="G1234" t="str">
        <f t="shared" si="25"/>
        <v>COLONIAL</v>
      </c>
      <c r="H1234" s="4">
        <v>258.43</v>
      </c>
    </row>
    <row r="1235" spans="1:8" x14ac:dyDescent="0.25">
      <c r="E1235" t="str">
        <f>"CLW202201198473"</f>
        <v>CLW202201198473</v>
      </c>
      <c r="F1235" t="str">
        <f t="shared" si="25"/>
        <v>COLONIAL</v>
      </c>
      <c r="G1235" t="str">
        <f t="shared" si="25"/>
        <v>COLONIAL</v>
      </c>
      <c r="H1235" s="4">
        <v>258.43</v>
      </c>
    </row>
    <row r="1236" spans="1:8" x14ac:dyDescent="0.25">
      <c r="A1236" t="s">
        <v>446</v>
      </c>
      <c r="B1236">
        <v>1591</v>
      </c>
      <c r="C1236" s="4">
        <v>42475.37</v>
      </c>
      <c r="D1236" s="5">
        <v>44588</v>
      </c>
      <c r="E1236" t="str">
        <f>"202201278592"</f>
        <v>202201278592</v>
      </c>
      <c r="F1236" t="str">
        <f>"RETIREE INS - JANUARY 2022"</f>
        <v>RETIREE INS - JANUARY 2022</v>
      </c>
      <c r="G1236" t="str">
        <f>"RETIREE INS - JANUARY 2022"</f>
        <v>RETIREE INS - JANUARY 2022</v>
      </c>
      <c r="H1236" s="4">
        <v>3663.31</v>
      </c>
    </row>
    <row r="1237" spans="1:8" x14ac:dyDescent="0.25">
      <c r="E1237" t="str">
        <f>"202201278593"</f>
        <v>202201278593</v>
      </c>
      <c r="F1237" t="str">
        <f>"COBRA - JANUARY 2022"</f>
        <v>COBRA - JANUARY 2022</v>
      </c>
      <c r="G1237" t="str">
        <f>"COBRA - JANUARY 2022"</f>
        <v>COBRA - JANUARY 2022</v>
      </c>
      <c r="H1237" s="4">
        <v>87.6</v>
      </c>
    </row>
    <row r="1238" spans="1:8" x14ac:dyDescent="0.25">
      <c r="E1238" t="str">
        <f>"ADC202201058185"</f>
        <v>ADC202201058185</v>
      </c>
      <c r="F1238" t="str">
        <f t="shared" ref="F1238:G1253" si="26">"GUARDIAN"</f>
        <v>GUARDIAN</v>
      </c>
      <c r="G1238" t="str">
        <f t="shared" si="26"/>
        <v>GUARDIAN</v>
      </c>
      <c r="H1238" s="4">
        <v>4.45</v>
      </c>
    </row>
    <row r="1239" spans="1:8" x14ac:dyDescent="0.25">
      <c r="E1239" t="str">
        <f>"ADC202201058186"</f>
        <v>ADC202201058186</v>
      </c>
      <c r="F1239" t="str">
        <f t="shared" si="26"/>
        <v>GUARDIAN</v>
      </c>
      <c r="G1239" t="str">
        <f t="shared" si="26"/>
        <v>GUARDIAN</v>
      </c>
      <c r="H1239" s="4">
        <v>0.16</v>
      </c>
    </row>
    <row r="1240" spans="1:8" x14ac:dyDescent="0.25">
      <c r="E1240" t="str">
        <f>"ADC202201198473"</f>
        <v>ADC202201198473</v>
      </c>
      <c r="F1240" t="str">
        <f t="shared" si="26"/>
        <v>GUARDIAN</v>
      </c>
      <c r="G1240" t="str">
        <f t="shared" si="26"/>
        <v>GUARDIAN</v>
      </c>
      <c r="H1240" s="4">
        <v>4.45</v>
      </c>
    </row>
    <row r="1241" spans="1:8" x14ac:dyDescent="0.25">
      <c r="E1241" t="str">
        <f>"ADC202201198474"</f>
        <v>ADC202201198474</v>
      </c>
      <c r="F1241" t="str">
        <f t="shared" si="26"/>
        <v>GUARDIAN</v>
      </c>
      <c r="G1241" t="str">
        <f t="shared" si="26"/>
        <v>GUARDIAN</v>
      </c>
      <c r="H1241" s="4">
        <v>0.16</v>
      </c>
    </row>
    <row r="1242" spans="1:8" x14ac:dyDescent="0.25">
      <c r="E1242" t="str">
        <f>"ADE202201058185"</f>
        <v>ADE202201058185</v>
      </c>
      <c r="F1242" t="str">
        <f t="shared" si="26"/>
        <v>GUARDIAN</v>
      </c>
      <c r="G1242" t="str">
        <f t="shared" si="26"/>
        <v>GUARDIAN</v>
      </c>
      <c r="H1242" s="4">
        <v>219.83</v>
      </c>
    </row>
    <row r="1243" spans="1:8" x14ac:dyDescent="0.25">
      <c r="E1243" t="str">
        <f>"ADE202201058186"</f>
        <v>ADE202201058186</v>
      </c>
      <c r="F1243" t="str">
        <f t="shared" si="26"/>
        <v>GUARDIAN</v>
      </c>
      <c r="G1243" t="str">
        <f t="shared" si="26"/>
        <v>GUARDIAN</v>
      </c>
      <c r="H1243" s="4">
        <v>2.5499999999999998</v>
      </c>
    </row>
    <row r="1244" spans="1:8" x14ac:dyDescent="0.25">
      <c r="E1244" t="str">
        <f>"ADE202201198473"</f>
        <v>ADE202201198473</v>
      </c>
      <c r="F1244" t="str">
        <f t="shared" si="26"/>
        <v>GUARDIAN</v>
      </c>
      <c r="G1244" t="str">
        <f t="shared" si="26"/>
        <v>GUARDIAN</v>
      </c>
      <c r="H1244" s="4">
        <v>219.83</v>
      </c>
    </row>
    <row r="1245" spans="1:8" x14ac:dyDescent="0.25">
      <c r="E1245" t="str">
        <f>"ADE202201198474"</f>
        <v>ADE202201198474</v>
      </c>
      <c r="F1245" t="str">
        <f t="shared" si="26"/>
        <v>GUARDIAN</v>
      </c>
      <c r="G1245" t="str">
        <f t="shared" si="26"/>
        <v>GUARDIAN</v>
      </c>
      <c r="H1245" s="4">
        <v>2.5499999999999998</v>
      </c>
    </row>
    <row r="1246" spans="1:8" x14ac:dyDescent="0.25">
      <c r="E1246" t="str">
        <f>"ADS202201058185"</f>
        <v>ADS202201058185</v>
      </c>
      <c r="F1246" t="str">
        <f t="shared" si="26"/>
        <v>GUARDIAN</v>
      </c>
      <c r="G1246" t="str">
        <f t="shared" si="26"/>
        <v>GUARDIAN</v>
      </c>
      <c r="H1246" s="4">
        <v>35.71</v>
      </c>
    </row>
    <row r="1247" spans="1:8" x14ac:dyDescent="0.25">
      <c r="E1247" t="str">
        <f>"ADS202201058186"</f>
        <v>ADS202201058186</v>
      </c>
      <c r="F1247" t="str">
        <f t="shared" si="26"/>
        <v>GUARDIAN</v>
      </c>
      <c r="G1247" t="str">
        <f t="shared" si="26"/>
        <v>GUARDIAN</v>
      </c>
      <c r="H1247" s="4">
        <v>0.53</v>
      </c>
    </row>
    <row r="1248" spans="1:8" x14ac:dyDescent="0.25">
      <c r="E1248" t="str">
        <f>"ADS202201198473"</f>
        <v>ADS202201198473</v>
      </c>
      <c r="F1248" t="str">
        <f t="shared" si="26"/>
        <v>GUARDIAN</v>
      </c>
      <c r="G1248" t="str">
        <f t="shared" si="26"/>
        <v>GUARDIAN</v>
      </c>
      <c r="H1248" s="4">
        <v>35.71</v>
      </c>
    </row>
    <row r="1249" spans="5:8" x14ac:dyDescent="0.25">
      <c r="E1249" t="str">
        <f>"ADS202201198474"</f>
        <v>ADS202201198474</v>
      </c>
      <c r="F1249" t="str">
        <f t="shared" si="26"/>
        <v>GUARDIAN</v>
      </c>
      <c r="G1249" t="str">
        <f t="shared" si="26"/>
        <v>GUARDIAN</v>
      </c>
      <c r="H1249" s="4">
        <v>0.53</v>
      </c>
    </row>
    <row r="1250" spans="5:8" x14ac:dyDescent="0.25">
      <c r="E1250" t="str">
        <f>"GDC202201058185"</f>
        <v>GDC202201058185</v>
      </c>
      <c r="F1250" t="str">
        <f t="shared" si="26"/>
        <v>GUARDIAN</v>
      </c>
      <c r="G1250" t="str">
        <f t="shared" si="26"/>
        <v>GUARDIAN</v>
      </c>
      <c r="H1250" s="4">
        <v>15.39</v>
      </c>
    </row>
    <row r="1251" spans="5:8" x14ac:dyDescent="0.25">
      <c r="E1251" t="str">
        <f>""</f>
        <v/>
      </c>
      <c r="F1251" t="str">
        <f>""</f>
        <v/>
      </c>
      <c r="G1251" t="str">
        <f t="shared" si="26"/>
        <v>GUARDIAN</v>
      </c>
      <c r="H1251" s="4">
        <v>14.66</v>
      </c>
    </row>
    <row r="1252" spans="5:8" x14ac:dyDescent="0.25">
      <c r="E1252" t="str">
        <f>""</f>
        <v/>
      </c>
      <c r="F1252" t="str">
        <f>""</f>
        <v/>
      </c>
      <c r="G1252" t="str">
        <f t="shared" si="26"/>
        <v>GUARDIAN</v>
      </c>
      <c r="H1252" s="4">
        <v>30.78</v>
      </c>
    </row>
    <row r="1253" spans="5:8" x14ac:dyDescent="0.25">
      <c r="E1253" t="str">
        <f>""</f>
        <v/>
      </c>
      <c r="F1253" t="str">
        <f>""</f>
        <v/>
      </c>
      <c r="G1253" t="str">
        <f t="shared" si="26"/>
        <v>GUARDIAN</v>
      </c>
      <c r="H1253" s="4">
        <v>46.17</v>
      </c>
    </row>
    <row r="1254" spans="5:8" x14ac:dyDescent="0.25">
      <c r="E1254" t="str">
        <f>""</f>
        <v/>
      </c>
      <c r="F1254" t="str">
        <f>""</f>
        <v/>
      </c>
      <c r="G1254" t="str">
        <f t="shared" ref="G1254:G1317" si="27">"GUARDIAN"</f>
        <v>GUARDIAN</v>
      </c>
      <c r="H1254" s="4">
        <v>13.2</v>
      </c>
    </row>
    <row r="1255" spans="5:8" x14ac:dyDescent="0.25">
      <c r="E1255" t="str">
        <f>""</f>
        <v/>
      </c>
      <c r="F1255" t="str">
        <f>""</f>
        <v/>
      </c>
      <c r="G1255" t="str">
        <f t="shared" si="27"/>
        <v>GUARDIAN</v>
      </c>
      <c r="H1255" s="4">
        <v>15.39</v>
      </c>
    </row>
    <row r="1256" spans="5:8" x14ac:dyDescent="0.25">
      <c r="E1256" t="str">
        <f>""</f>
        <v/>
      </c>
      <c r="F1256" t="str">
        <f>""</f>
        <v/>
      </c>
      <c r="G1256" t="str">
        <f t="shared" si="27"/>
        <v>GUARDIAN</v>
      </c>
      <c r="H1256" s="4">
        <v>30.78</v>
      </c>
    </row>
    <row r="1257" spans="5:8" x14ac:dyDescent="0.25">
      <c r="E1257" t="str">
        <f>""</f>
        <v/>
      </c>
      <c r="F1257" t="str">
        <f>""</f>
        <v/>
      </c>
      <c r="G1257" t="str">
        <f t="shared" si="27"/>
        <v>GUARDIAN</v>
      </c>
      <c r="H1257" s="4">
        <v>15.39</v>
      </c>
    </row>
    <row r="1258" spans="5:8" x14ac:dyDescent="0.25">
      <c r="E1258" t="str">
        <f>""</f>
        <v/>
      </c>
      <c r="F1258" t="str">
        <f>""</f>
        <v/>
      </c>
      <c r="G1258" t="str">
        <f t="shared" si="27"/>
        <v>GUARDIAN</v>
      </c>
      <c r="H1258" s="4">
        <v>30.78</v>
      </c>
    </row>
    <row r="1259" spans="5:8" x14ac:dyDescent="0.25">
      <c r="E1259" t="str">
        <f>""</f>
        <v/>
      </c>
      <c r="F1259" t="str">
        <f>""</f>
        <v/>
      </c>
      <c r="G1259" t="str">
        <f t="shared" si="27"/>
        <v>GUARDIAN</v>
      </c>
      <c r="H1259" s="4">
        <v>45.43</v>
      </c>
    </row>
    <row r="1260" spans="5:8" x14ac:dyDescent="0.25">
      <c r="E1260" t="str">
        <f>""</f>
        <v/>
      </c>
      <c r="F1260" t="str">
        <f>""</f>
        <v/>
      </c>
      <c r="G1260" t="str">
        <f t="shared" si="27"/>
        <v>GUARDIAN</v>
      </c>
      <c r="H1260" s="4">
        <v>61.56</v>
      </c>
    </row>
    <row r="1261" spans="5:8" x14ac:dyDescent="0.25">
      <c r="E1261" t="str">
        <f>""</f>
        <v/>
      </c>
      <c r="F1261" t="str">
        <f>""</f>
        <v/>
      </c>
      <c r="G1261" t="str">
        <f t="shared" si="27"/>
        <v>GUARDIAN</v>
      </c>
      <c r="H1261" s="4">
        <v>15.39</v>
      </c>
    </row>
    <row r="1262" spans="5:8" x14ac:dyDescent="0.25">
      <c r="E1262" t="str">
        <f>""</f>
        <v/>
      </c>
      <c r="F1262" t="str">
        <f>""</f>
        <v/>
      </c>
      <c r="G1262" t="str">
        <f t="shared" si="27"/>
        <v>GUARDIAN</v>
      </c>
      <c r="H1262" s="4">
        <v>61.56</v>
      </c>
    </row>
    <row r="1263" spans="5:8" x14ac:dyDescent="0.25">
      <c r="E1263" t="str">
        <f>""</f>
        <v/>
      </c>
      <c r="F1263" t="str">
        <f>""</f>
        <v/>
      </c>
      <c r="G1263" t="str">
        <f t="shared" si="27"/>
        <v>GUARDIAN</v>
      </c>
      <c r="H1263" s="4">
        <v>15.39</v>
      </c>
    </row>
    <row r="1264" spans="5:8" x14ac:dyDescent="0.25">
      <c r="E1264" t="str">
        <f>""</f>
        <v/>
      </c>
      <c r="F1264" t="str">
        <f>""</f>
        <v/>
      </c>
      <c r="G1264" t="str">
        <f t="shared" si="27"/>
        <v>GUARDIAN</v>
      </c>
      <c r="H1264" s="4">
        <v>30.78</v>
      </c>
    </row>
    <row r="1265" spans="5:8" x14ac:dyDescent="0.25">
      <c r="E1265" t="str">
        <f>""</f>
        <v/>
      </c>
      <c r="F1265" t="str">
        <f>""</f>
        <v/>
      </c>
      <c r="G1265" t="str">
        <f t="shared" si="27"/>
        <v>GUARDIAN</v>
      </c>
      <c r="H1265" s="4">
        <v>15.39</v>
      </c>
    </row>
    <row r="1266" spans="5:8" x14ac:dyDescent="0.25">
      <c r="E1266" t="str">
        <f>""</f>
        <v/>
      </c>
      <c r="F1266" t="str">
        <f>""</f>
        <v/>
      </c>
      <c r="G1266" t="str">
        <f t="shared" si="27"/>
        <v>GUARDIAN</v>
      </c>
      <c r="H1266" s="4">
        <v>61.56</v>
      </c>
    </row>
    <row r="1267" spans="5:8" x14ac:dyDescent="0.25">
      <c r="E1267" t="str">
        <f>""</f>
        <v/>
      </c>
      <c r="F1267" t="str">
        <f>""</f>
        <v/>
      </c>
      <c r="G1267" t="str">
        <f t="shared" si="27"/>
        <v>GUARDIAN</v>
      </c>
      <c r="H1267" s="4">
        <v>15.39</v>
      </c>
    </row>
    <row r="1268" spans="5:8" x14ac:dyDescent="0.25">
      <c r="E1268" t="str">
        <f>""</f>
        <v/>
      </c>
      <c r="F1268" t="str">
        <f>""</f>
        <v/>
      </c>
      <c r="G1268" t="str">
        <f t="shared" si="27"/>
        <v>GUARDIAN</v>
      </c>
      <c r="H1268" s="4">
        <v>248.96</v>
      </c>
    </row>
    <row r="1269" spans="5:8" x14ac:dyDescent="0.25">
      <c r="E1269" t="str">
        <f>""</f>
        <v/>
      </c>
      <c r="F1269" t="str">
        <f>""</f>
        <v/>
      </c>
      <c r="G1269" t="str">
        <f t="shared" si="27"/>
        <v>GUARDIAN</v>
      </c>
      <c r="H1269" s="4">
        <v>14.93</v>
      </c>
    </row>
    <row r="1270" spans="5:8" x14ac:dyDescent="0.25">
      <c r="E1270" t="str">
        <f>""</f>
        <v/>
      </c>
      <c r="F1270" t="str">
        <f>""</f>
        <v/>
      </c>
      <c r="G1270" t="str">
        <f t="shared" si="27"/>
        <v>GUARDIAN</v>
      </c>
      <c r="H1270" s="4">
        <v>213.2</v>
      </c>
    </row>
    <row r="1271" spans="5:8" x14ac:dyDescent="0.25">
      <c r="E1271" t="str">
        <f>""</f>
        <v/>
      </c>
      <c r="F1271" t="str">
        <f>""</f>
        <v/>
      </c>
      <c r="G1271" t="str">
        <f t="shared" si="27"/>
        <v>GUARDIAN</v>
      </c>
      <c r="H1271" s="4">
        <v>15.39</v>
      </c>
    </row>
    <row r="1272" spans="5:8" x14ac:dyDescent="0.25">
      <c r="E1272" t="str">
        <f>""</f>
        <v/>
      </c>
      <c r="F1272" t="str">
        <f>""</f>
        <v/>
      </c>
      <c r="G1272" t="str">
        <f t="shared" si="27"/>
        <v>GUARDIAN</v>
      </c>
      <c r="H1272" s="4">
        <v>15.39</v>
      </c>
    </row>
    <row r="1273" spans="5:8" x14ac:dyDescent="0.25">
      <c r="E1273" t="str">
        <f>""</f>
        <v/>
      </c>
      <c r="F1273" t="str">
        <f>""</f>
        <v/>
      </c>
      <c r="G1273" t="str">
        <f t="shared" si="27"/>
        <v>GUARDIAN</v>
      </c>
      <c r="H1273" s="4">
        <v>15.39</v>
      </c>
    </row>
    <row r="1274" spans="5:8" x14ac:dyDescent="0.25">
      <c r="E1274" t="str">
        <f>""</f>
        <v/>
      </c>
      <c r="F1274" t="str">
        <f>""</f>
        <v/>
      </c>
      <c r="G1274" t="str">
        <f t="shared" si="27"/>
        <v>GUARDIAN</v>
      </c>
      <c r="H1274" s="4">
        <v>15.39</v>
      </c>
    </row>
    <row r="1275" spans="5:8" x14ac:dyDescent="0.25">
      <c r="E1275" t="str">
        <f>""</f>
        <v/>
      </c>
      <c r="F1275" t="str">
        <f>""</f>
        <v/>
      </c>
      <c r="G1275" t="str">
        <f t="shared" si="27"/>
        <v>GUARDIAN</v>
      </c>
      <c r="H1275" s="4">
        <v>15.39</v>
      </c>
    </row>
    <row r="1276" spans="5:8" x14ac:dyDescent="0.25">
      <c r="E1276" t="str">
        <f>""</f>
        <v/>
      </c>
      <c r="F1276" t="str">
        <f>""</f>
        <v/>
      </c>
      <c r="G1276" t="str">
        <f t="shared" si="27"/>
        <v>GUARDIAN</v>
      </c>
      <c r="H1276" s="4">
        <v>0.73</v>
      </c>
    </row>
    <row r="1277" spans="5:8" x14ac:dyDescent="0.25">
      <c r="E1277" t="str">
        <f>""</f>
        <v/>
      </c>
      <c r="F1277" t="str">
        <f>""</f>
        <v/>
      </c>
      <c r="G1277" t="str">
        <f t="shared" si="27"/>
        <v>GUARDIAN</v>
      </c>
      <c r="H1277" s="4">
        <v>15.39</v>
      </c>
    </row>
    <row r="1278" spans="5:8" x14ac:dyDescent="0.25">
      <c r="E1278" t="str">
        <f>""</f>
        <v/>
      </c>
      <c r="F1278" t="str">
        <f>""</f>
        <v/>
      </c>
      <c r="G1278" t="str">
        <f t="shared" si="27"/>
        <v>GUARDIAN</v>
      </c>
      <c r="H1278" s="4">
        <v>46.17</v>
      </c>
    </row>
    <row r="1279" spans="5:8" x14ac:dyDescent="0.25">
      <c r="E1279" t="str">
        <f>""</f>
        <v/>
      </c>
      <c r="F1279" t="str">
        <f>""</f>
        <v/>
      </c>
      <c r="G1279" t="str">
        <f t="shared" si="27"/>
        <v>GUARDIAN</v>
      </c>
      <c r="H1279" s="4">
        <v>15.39</v>
      </c>
    </row>
    <row r="1280" spans="5:8" x14ac:dyDescent="0.25">
      <c r="E1280" t="str">
        <f>""</f>
        <v/>
      </c>
      <c r="F1280" t="str">
        <f>""</f>
        <v/>
      </c>
      <c r="G1280" t="str">
        <f t="shared" si="27"/>
        <v>GUARDIAN</v>
      </c>
      <c r="H1280" s="4">
        <v>0.74</v>
      </c>
    </row>
    <row r="1281" spans="5:8" x14ac:dyDescent="0.25">
      <c r="E1281" t="str">
        <f>""</f>
        <v/>
      </c>
      <c r="F1281" t="str">
        <f>""</f>
        <v/>
      </c>
      <c r="G1281" t="str">
        <f t="shared" si="27"/>
        <v>GUARDIAN</v>
      </c>
      <c r="H1281" s="4">
        <v>2.19</v>
      </c>
    </row>
    <row r="1282" spans="5:8" x14ac:dyDescent="0.25">
      <c r="E1282" t="str">
        <f>""</f>
        <v/>
      </c>
      <c r="F1282" t="str">
        <f>""</f>
        <v/>
      </c>
      <c r="G1282" t="str">
        <f t="shared" si="27"/>
        <v>GUARDIAN</v>
      </c>
      <c r="H1282" s="4">
        <v>1411.32</v>
      </c>
    </row>
    <row r="1283" spans="5:8" x14ac:dyDescent="0.25">
      <c r="E1283" t="str">
        <f>"GDC202201058186"</f>
        <v>GDC202201058186</v>
      </c>
      <c r="F1283" t="str">
        <f>"GUARDIAN"</f>
        <v>GUARDIAN</v>
      </c>
      <c r="G1283" t="str">
        <f t="shared" si="27"/>
        <v>GUARDIAN</v>
      </c>
      <c r="H1283" s="4">
        <v>46.17</v>
      </c>
    </row>
    <row r="1284" spans="5:8" x14ac:dyDescent="0.25">
      <c r="E1284" t="str">
        <f>""</f>
        <v/>
      </c>
      <c r="F1284" t="str">
        <f>""</f>
        <v/>
      </c>
      <c r="G1284" t="str">
        <f t="shared" si="27"/>
        <v>GUARDIAN</v>
      </c>
      <c r="H1284" s="4">
        <v>55.71</v>
      </c>
    </row>
    <row r="1285" spans="5:8" x14ac:dyDescent="0.25">
      <c r="E1285" t="str">
        <f>"GDC202201198473"</f>
        <v>GDC202201198473</v>
      </c>
      <c r="F1285" t="str">
        <f>"GUARDIAN"</f>
        <v>GUARDIAN</v>
      </c>
      <c r="G1285" t="str">
        <f t="shared" si="27"/>
        <v>GUARDIAN</v>
      </c>
      <c r="H1285" s="4">
        <v>15.39</v>
      </c>
    </row>
    <row r="1286" spans="5:8" x14ac:dyDescent="0.25">
      <c r="E1286" t="str">
        <f>""</f>
        <v/>
      </c>
      <c r="F1286" t="str">
        <f>""</f>
        <v/>
      </c>
      <c r="G1286" t="str">
        <f t="shared" si="27"/>
        <v>GUARDIAN</v>
      </c>
      <c r="H1286" s="4">
        <v>14.66</v>
      </c>
    </row>
    <row r="1287" spans="5:8" x14ac:dyDescent="0.25">
      <c r="E1287" t="str">
        <f>""</f>
        <v/>
      </c>
      <c r="F1287" t="str">
        <f>""</f>
        <v/>
      </c>
      <c r="G1287" t="str">
        <f t="shared" si="27"/>
        <v>GUARDIAN</v>
      </c>
      <c r="H1287" s="4">
        <v>30.78</v>
      </c>
    </row>
    <row r="1288" spans="5:8" x14ac:dyDescent="0.25">
      <c r="E1288" t="str">
        <f>""</f>
        <v/>
      </c>
      <c r="F1288" t="str">
        <f>""</f>
        <v/>
      </c>
      <c r="G1288" t="str">
        <f t="shared" si="27"/>
        <v>GUARDIAN</v>
      </c>
      <c r="H1288" s="4">
        <v>46.17</v>
      </c>
    </row>
    <row r="1289" spans="5:8" x14ac:dyDescent="0.25">
      <c r="E1289" t="str">
        <f>""</f>
        <v/>
      </c>
      <c r="F1289" t="str">
        <f>""</f>
        <v/>
      </c>
      <c r="G1289" t="str">
        <f t="shared" si="27"/>
        <v>GUARDIAN</v>
      </c>
      <c r="H1289" s="4">
        <v>13.2</v>
      </c>
    </row>
    <row r="1290" spans="5:8" x14ac:dyDescent="0.25">
      <c r="E1290" t="str">
        <f>""</f>
        <v/>
      </c>
      <c r="F1290" t="str">
        <f>""</f>
        <v/>
      </c>
      <c r="G1290" t="str">
        <f t="shared" si="27"/>
        <v>GUARDIAN</v>
      </c>
      <c r="H1290" s="4">
        <v>15.39</v>
      </c>
    </row>
    <row r="1291" spans="5:8" x14ac:dyDescent="0.25">
      <c r="E1291" t="str">
        <f>""</f>
        <v/>
      </c>
      <c r="F1291" t="str">
        <f>""</f>
        <v/>
      </c>
      <c r="G1291" t="str">
        <f t="shared" si="27"/>
        <v>GUARDIAN</v>
      </c>
      <c r="H1291" s="4">
        <v>30.78</v>
      </c>
    </row>
    <row r="1292" spans="5:8" x14ac:dyDescent="0.25">
      <c r="E1292" t="str">
        <f>""</f>
        <v/>
      </c>
      <c r="F1292" t="str">
        <f>""</f>
        <v/>
      </c>
      <c r="G1292" t="str">
        <f t="shared" si="27"/>
        <v>GUARDIAN</v>
      </c>
      <c r="H1292" s="4">
        <v>15.39</v>
      </c>
    </row>
    <row r="1293" spans="5:8" x14ac:dyDescent="0.25">
      <c r="E1293" t="str">
        <f>""</f>
        <v/>
      </c>
      <c r="F1293" t="str">
        <f>""</f>
        <v/>
      </c>
      <c r="G1293" t="str">
        <f t="shared" si="27"/>
        <v>GUARDIAN</v>
      </c>
      <c r="H1293" s="4">
        <v>61.56</v>
      </c>
    </row>
    <row r="1294" spans="5:8" x14ac:dyDescent="0.25">
      <c r="E1294" t="str">
        <f>""</f>
        <v/>
      </c>
      <c r="F1294" t="str">
        <f>""</f>
        <v/>
      </c>
      <c r="G1294" t="str">
        <f t="shared" si="27"/>
        <v>GUARDIAN</v>
      </c>
      <c r="H1294" s="4">
        <v>45.43</v>
      </c>
    </row>
    <row r="1295" spans="5:8" x14ac:dyDescent="0.25">
      <c r="E1295" t="str">
        <f>""</f>
        <v/>
      </c>
      <c r="F1295" t="str">
        <f>""</f>
        <v/>
      </c>
      <c r="G1295" t="str">
        <f t="shared" si="27"/>
        <v>GUARDIAN</v>
      </c>
      <c r="H1295" s="4">
        <v>61.56</v>
      </c>
    </row>
    <row r="1296" spans="5:8" x14ac:dyDescent="0.25">
      <c r="E1296" t="str">
        <f>""</f>
        <v/>
      </c>
      <c r="F1296" t="str">
        <f>""</f>
        <v/>
      </c>
      <c r="G1296" t="str">
        <f t="shared" si="27"/>
        <v>GUARDIAN</v>
      </c>
      <c r="H1296" s="4">
        <v>15.39</v>
      </c>
    </row>
    <row r="1297" spans="5:8" x14ac:dyDescent="0.25">
      <c r="E1297" t="str">
        <f>""</f>
        <v/>
      </c>
      <c r="F1297" t="str">
        <f>""</f>
        <v/>
      </c>
      <c r="G1297" t="str">
        <f t="shared" si="27"/>
        <v>GUARDIAN</v>
      </c>
      <c r="H1297" s="4">
        <v>61.56</v>
      </c>
    </row>
    <row r="1298" spans="5:8" x14ac:dyDescent="0.25">
      <c r="E1298" t="str">
        <f>""</f>
        <v/>
      </c>
      <c r="F1298" t="str">
        <f>""</f>
        <v/>
      </c>
      <c r="G1298" t="str">
        <f t="shared" si="27"/>
        <v>GUARDIAN</v>
      </c>
      <c r="H1298" s="4">
        <v>15.39</v>
      </c>
    </row>
    <row r="1299" spans="5:8" x14ac:dyDescent="0.25">
      <c r="E1299" t="str">
        <f>""</f>
        <v/>
      </c>
      <c r="F1299" t="str">
        <f>""</f>
        <v/>
      </c>
      <c r="G1299" t="str">
        <f t="shared" si="27"/>
        <v>GUARDIAN</v>
      </c>
      <c r="H1299" s="4">
        <v>30.78</v>
      </c>
    </row>
    <row r="1300" spans="5:8" x14ac:dyDescent="0.25">
      <c r="E1300" t="str">
        <f>""</f>
        <v/>
      </c>
      <c r="F1300" t="str">
        <f>""</f>
        <v/>
      </c>
      <c r="G1300" t="str">
        <f t="shared" si="27"/>
        <v>GUARDIAN</v>
      </c>
      <c r="H1300" s="4">
        <v>15.39</v>
      </c>
    </row>
    <row r="1301" spans="5:8" x14ac:dyDescent="0.25">
      <c r="E1301" t="str">
        <f>""</f>
        <v/>
      </c>
      <c r="F1301" t="str">
        <f>""</f>
        <v/>
      </c>
      <c r="G1301" t="str">
        <f t="shared" si="27"/>
        <v>GUARDIAN</v>
      </c>
      <c r="H1301" s="4">
        <v>61.56</v>
      </c>
    </row>
    <row r="1302" spans="5:8" x14ac:dyDescent="0.25">
      <c r="E1302" t="str">
        <f>""</f>
        <v/>
      </c>
      <c r="F1302" t="str">
        <f>""</f>
        <v/>
      </c>
      <c r="G1302" t="str">
        <f t="shared" si="27"/>
        <v>GUARDIAN</v>
      </c>
      <c r="H1302" s="4">
        <v>15.39</v>
      </c>
    </row>
    <row r="1303" spans="5:8" x14ac:dyDescent="0.25">
      <c r="E1303" t="str">
        <f>""</f>
        <v/>
      </c>
      <c r="F1303" t="str">
        <f>""</f>
        <v/>
      </c>
      <c r="G1303" t="str">
        <f t="shared" si="27"/>
        <v>GUARDIAN</v>
      </c>
      <c r="H1303" s="4">
        <v>248.98</v>
      </c>
    </row>
    <row r="1304" spans="5:8" x14ac:dyDescent="0.25">
      <c r="E1304" t="str">
        <f>""</f>
        <v/>
      </c>
      <c r="F1304" t="str">
        <f>""</f>
        <v/>
      </c>
      <c r="G1304" t="str">
        <f t="shared" si="27"/>
        <v>GUARDIAN</v>
      </c>
      <c r="H1304" s="4">
        <v>14.93</v>
      </c>
    </row>
    <row r="1305" spans="5:8" x14ac:dyDescent="0.25">
      <c r="E1305" t="str">
        <f>""</f>
        <v/>
      </c>
      <c r="F1305" t="str">
        <f>""</f>
        <v/>
      </c>
      <c r="G1305" t="str">
        <f t="shared" si="27"/>
        <v>GUARDIAN</v>
      </c>
      <c r="H1305" s="4">
        <v>213.18</v>
      </c>
    </row>
    <row r="1306" spans="5:8" x14ac:dyDescent="0.25">
      <c r="E1306" t="str">
        <f>""</f>
        <v/>
      </c>
      <c r="F1306" t="str">
        <f>""</f>
        <v/>
      </c>
      <c r="G1306" t="str">
        <f t="shared" si="27"/>
        <v>GUARDIAN</v>
      </c>
      <c r="H1306" s="4">
        <v>15.39</v>
      </c>
    </row>
    <row r="1307" spans="5:8" x14ac:dyDescent="0.25">
      <c r="E1307" t="str">
        <f>""</f>
        <v/>
      </c>
      <c r="F1307" t="str">
        <f>""</f>
        <v/>
      </c>
      <c r="G1307" t="str">
        <f t="shared" si="27"/>
        <v>GUARDIAN</v>
      </c>
      <c r="H1307" s="4">
        <v>15.39</v>
      </c>
    </row>
    <row r="1308" spans="5:8" x14ac:dyDescent="0.25">
      <c r="E1308" t="str">
        <f>""</f>
        <v/>
      </c>
      <c r="F1308" t="str">
        <f>""</f>
        <v/>
      </c>
      <c r="G1308" t="str">
        <f t="shared" si="27"/>
        <v>GUARDIAN</v>
      </c>
      <c r="H1308" s="4">
        <v>15.39</v>
      </c>
    </row>
    <row r="1309" spans="5:8" x14ac:dyDescent="0.25">
      <c r="E1309" t="str">
        <f>""</f>
        <v/>
      </c>
      <c r="F1309" t="str">
        <f>""</f>
        <v/>
      </c>
      <c r="G1309" t="str">
        <f t="shared" si="27"/>
        <v>GUARDIAN</v>
      </c>
      <c r="H1309" s="4">
        <v>15.39</v>
      </c>
    </row>
    <row r="1310" spans="5:8" x14ac:dyDescent="0.25">
      <c r="E1310" t="str">
        <f>""</f>
        <v/>
      </c>
      <c r="F1310" t="str">
        <f>""</f>
        <v/>
      </c>
      <c r="G1310" t="str">
        <f t="shared" si="27"/>
        <v>GUARDIAN</v>
      </c>
      <c r="H1310" s="4">
        <v>15.39</v>
      </c>
    </row>
    <row r="1311" spans="5:8" x14ac:dyDescent="0.25">
      <c r="E1311" t="str">
        <f>""</f>
        <v/>
      </c>
      <c r="F1311" t="str">
        <f>""</f>
        <v/>
      </c>
      <c r="G1311" t="str">
        <f t="shared" si="27"/>
        <v>GUARDIAN</v>
      </c>
      <c r="H1311" s="4">
        <v>0.73</v>
      </c>
    </row>
    <row r="1312" spans="5:8" x14ac:dyDescent="0.25">
      <c r="E1312" t="str">
        <f>""</f>
        <v/>
      </c>
      <c r="F1312" t="str">
        <f>""</f>
        <v/>
      </c>
      <c r="G1312" t="str">
        <f t="shared" si="27"/>
        <v>GUARDIAN</v>
      </c>
      <c r="H1312" s="4">
        <v>15.39</v>
      </c>
    </row>
    <row r="1313" spans="5:8" x14ac:dyDescent="0.25">
      <c r="E1313" t="str">
        <f>""</f>
        <v/>
      </c>
      <c r="F1313" t="str">
        <f>""</f>
        <v/>
      </c>
      <c r="G1313" t="str">
        <f t="shared" si="27"/>
        <v>GUARDIAN</v>
      </c>
      <c r="H1313" s="4">
        <v>46.17</v>
      </c>
    </row>
    <row r="1314" spans="5:8" x14ac:dyDescent="0.25">
      <c r="E1314" t="str">
        <f>""</f>
        <v/>
      </c>
      <c r="F1314" t="str">
        <f>""</f>
        <v/>
      </c>
      <c r="G1314" t="str">
        <f t="shared" si="27"/>
        <v>GUARDIAN</v>
      </c>
      <c r="H1314" s="4">
        <v>15.39</v>
      </c>
    </row>
    <row r="1315" spans="5:8" x14ac:dyDescent="0.25">
      <c r="E1315" t="str">
        <f>""</f>
        <v/>
      </c>
      <c r="F1315" t="str">
        <f>""</f>
        <v/>
      </c>
      <c r="G1315" t="str">
        <f t="shared" si="27"/>
        <v>GUARDIAN</v>
      </c>
      <c r="H1315" s="4">
        <v>0.74</v>
      </c>
    </row>
    <row r="1316" spans="5:8" x14ac:dyDescent="0.25">
      <c r="E1316" t="str">
        <f>""</f>
        <v/>
      </c>
      <c r="F1316" t="str">
        <f>""</f>
        <v/>
      </c>
      <c r="G1316" t="str">
        <f t="shared" si="27"/>
        <v>GUARDIAN</v>
      </c>
      <c r="H1316" s="4">
        <v>2.19</v>
      </c>
    </row>
    <row r="1317" spans="5:8" x14ac:dyDescent="0.25">
      <c r="E1317" t="str">
        <f>""</f>
        <v/>
      </c>
      <c r="F1317" t="str">
        <f>""</f>
        <v/>
      </c>
      <c r="G1317" t="str">
        <f t="shared" si="27"/>
        <v>GUARDIAN</v>
      </c>
      <c r="H1317" s="4">
        <v>1448.46</v>
      </c>
    </row>
    <row r="1318" spans="5:8" x14ac:dyDescent="0.25">
      <c r="E1318" t="str">
        <f>"GDC202201198474"</f>
        <v>GDC202201198474</v>
      </c>
      <c r="F1318" t="str">
        <f>"GUARDIAN"</f>
        <v>GUARDIAN</v>
      </c>
      <c r="G1318" t="str">
        <f t="shared" ref="G1318:G1381" si="28">"GUARDIAN"</f>
        <v>GUARDIAN</v>
      </c>
      <c r="H1318" s="4">
        <v>46.17</v>
      </c>
    </row>
    <row r="1319" spans="5:8" x14ac:dyDescent="0.25">
      <c r="E1319" t="str">
        <f>""</f>
        <v/>
      </c>
      <c r="F1319" t="str">
        <f>""</f>
        <v/>
      </c>
      <c r="G1319" t="str">
        <f t="shared" si="28"/>
        <v>GUARDIAN</v>
      </c>
      <c r="H1319" s="4">
        <v>55.71</v>
      </c>
    </row>
    <row r="1320" spans="5:8" x14ac:dyDescent="0.25">
      <c r="E1320" t="str">
        <f>"GDE202201058185"</f>
        <v>GDE202201058185</v>
      </c>
      <c r="F1320" t="str">
        <f>"GUARDIAN"</f>
        <v>GUARDIAN</v>
      </c>
      <c r="G1320" t="str">
        <f t="shared" si="28"/>
        <v>GUARDIAN</v>
      </c>
      <c r="H1320" s="4">
        <v>15.39</v>
      </c>
    </row>
    <row r="1321" spans="5:8" x14ac:dyDescent="0.25">
      <c r="E1321" t="str">
        <f>""</f>
        <v/>
      </c>
      <c r="F1321" t="str">
        <f>""</f>
        <v/>
      </c>
      <c r="G1321" t="str">
        <f t="shared" si="28"/>
        <v>GUARDIAN</v>
      </c>
      <c r="H1321" s="4">
        <v>20.07</v>
      </c>
    </row>
    <row r="1322" spans="5:8" x14ac:dyDescent="0.25">
      <c r="E1322" t="str">
        <f>""</f>
        <v/>
      </c>
      <c r="F1322" t="str">
        <f>""</f>
        <v/>
      </c>
      <c r="G1322" t="str">
        <f t="shared" si="28"/>
        <v>GUARDIAN</v>
      </c>
      <c r="H1322" s="4">
        <v>75.86</v>
      </c>
    </row>
    <row r="1323" spans="5:8" x14ac:dyDescent="0.25">
      <c r="E1323" t="str">
        <f>""</f>
        <v/>
      </c>
      <c r="F1323" t="str">
        <f>""</f>
        <v/>
      </c>
      <c r="G1323" t="str">
        <f t="shared" si="28"/>
        <v>GUARDIAN</v>
      </c>
      <c r="H1323" s="4">
        <v>30.78</v>
      </c>
    </row>
    <row r="1324" spans="5:8" x14ac:dyDescent="0.25">
      <c r="E1324" t="str">
        <f>""</f>
        <v/>
      </c>
      <c r="F1324" t="str">
        <f>""</f>
        <v/>
      </c>
      <c r="G1324" t="str">
        <f t="shared" si="28"/>
        <v>GUARDIAN</v>
      </c>
      <c r="H1324" s="4">
        <v>15.39</v>
      </c>
    </row>
    <row r="1325" spans="5:8" x14ac:dyDescent="0.25">
      <c r="E1325" t="str">
        <f>""</f>
        <v/>
      </c>
      <c r="F1325" t="str">
        <f>""</f>
        <v/>
      </c>
      <c r="G1325" t="str">
        <f t="shared" si="28"/>
        <v>GUARDIAN</v>
      </c>
      <c r="H1325" s="4">
        <v>46.17</v>
      </c>
    </row>
    <row r="1326" spans="5:8" x14ac:dyDescent="0.25">
      <c r="E1326" t="str">
        <f>""</f>
        <v/>
      </c>
      <c r="F1326" t="str">
        <f>""</f>
        <v/>
      </c>
      <c r="G1326" t="str">
        <f t="shared" si="28"/>
        <v>GUARDIAN</v>
      </c>
      <c r="H1326" s="4">
        <v>215.46</v>
      </c>
    </row>
    <row r="1327" spans="5:8" x14ac:dyDescent="0.25">
      <c r="E1327" t="str">
        <f>""</f>
        <v/>
      </c>
      <c r="F1327" t="str">
        <f>""</f>
        <v/>
      </c>
      <c r="G1327" t="str">
        <f t="shared" si="28"/>
        <v>GUARDIAN</v>
      </c>
      <c r="H1327" s="4">
        <v>15.39</v>
      </c>
    </row>
    <row r="1328" spans="5:8" x14ac:dyDescent="0.25">
      <c r="E1328" t="str">
        <f>""</f>
        <v/>
      </c>
      <c r="F1328" t="str">
        <f>""</f>
        <v/>
      </c>
      <c r="G1328" t="str">
        <f t="shared" si="28"/>
        <v>GUARDIAN</v>
      </c>
      <c r="H1328" s="4">
        <v>61.56</v>
      </c>
    </row>
    <row r="1329" spans="5:8" x14ac:dyDescent="0.25">
      <c r="E1329" t="str">
        <f>""</f>
        <v/>
      </c>
      <c r="F1329" t="str">
        <f>""</f>
        <v/>
      </c>
      <c r="G1329" t="str">
        <f t="shared" si="28"/>
        <v>GUARDIAN</v>
      </c>
      <c r="H1329" s="4">
        <v>107.73</v>
      </c>
    </row>
    <row r="1330" spans="5:8" x14ac:dyDescent="0.25">
      <c r="E1330" t="str">
        <f>""</f>
        <v/>
      </c>
      <c r="F1330" t="str">
        <f>""</f>
        <v/>
      </c>
      <c r="G1330" t="str">
        <f t="shared" si="28"/>
        <v>GUARDIAN</v>
      </c>
      <c r="H1330" s="4">
        <v>30.78</v>
      </c>
    </row>
    <row r="1331" spans="5:8" x14ac:dyDescent="0.25">
      <c r="E1331" t="str">
        <f>""</f>
        <v/>
      </c>
      <c r="F1331" t="str">
        <f>""</f>
        <v/>
      </c>
      <c r="G1331" t="str">
        <f t="shared" si="28"/>
        <v>GUARDIAN</v>
      </c>
      <c r="H1331" s="4">
        <v>61.56</v>
      </c>
    </row>
    <row r="1332" spans="5:8" x14ac:dyDescent="0.25">
      <c r="E1332" t="str">
        <f>""</f>
        <v/>
      </c>
      <c r="F1332" t="str">
        <f>""</f>
        <v/>
      </c>
      <c r="G1332" t="str">
        <f t="shared" si="28"/>
        <v>GUARDIAN</v>
      </c>
      <c r="H1332" s="4">
        <v>15.39</v>
      </c>
    </row>
    <row r="1333" spans="5:8" x14ac:dyDescent="0.25">
      <c r="E1333" t="str">
        <f>""</f>
        <v/>
      </c>
      <c r="F1333" t="str">
        <f>""</f>
        <v/>
      </c>
      <c r="G1333" t="str">
        <f t="shared" si="28"/>
        <v>GUARDIAN</v>
      </c>
      <c r="H1333" s="4">
        <v>30.78</v>
      </c>
    </row>
    <row r="1334" spans="5:8" x14ac:dyDescent="0.25">
      <c r="E1334" t="str">
        <f>""</f>
        <v/>
      </c>
      <c r="F1334" t="str">
        <f>""</f>
        <v/>
      </c>
      <c r="G1334" t="str">
        <f t="shared" si="28"/>
        <v>GUARDIAN</v>
      </c>
      <c r="H1334" s="4">
        <v>30.78</v>
      </c>
    </row>
    <row r="1335" spans="5:8" x14ac:dyDescent="0.25">
      <c r="E1335" t="str">
        <f>""</f>
        <v/>
      </c>
      <c r="F1335" t="str">
        <f>""</f>
        <v/>
      </c>
      <c r="G1335" t="str">
        <f t="shared" si="28"/>
        <v>GUARDIAN</v>
      </c>
      <c r="H1335" s="4">
        <v>168.33</v>
      </c>
    </row>
    <row r="1336" spans="5:8" x14ac:dyDescent="0.25">
      <c r="E1336" t="str">
        <f>""</f>
        <v/>
      </c>
      <c r="F1336" t="str">
        <f>""</f>
        <v/>
      </c>
      <c r="G1336" t="str">
        <f t="shared" si="28"/>
        <v>GUARDIAN</v>
      </c>
      <c r="H1336" s="4">
        <v>30.78</v>
      </c>
    </row>
    <row r="1337" spans="5:8" x14ac:dyDescent="0.25">
      <c r="E1337" t="str">
        <f>""</f>
        <v/>
      </c>
      <c r="F1337" t="str">
        <f>""</f>
        <v/>
      </c>
      <c r="G1337" t="str">
        <f t="shared" si="28"/>
        <v>GUARDIAN</v>
      </c>
      <c r="H1337" s="4">
        <v>30.78</v>
      </c>
    </row>
    <row r="1338" spans="5:8" x14ac:dyDescent="0.25">
      <c r="E1338" t="str">
        <f>""</f>
        <v/>
      </c>
      <c r="F1338" t="str">
        <f>""</f>
        <v/>
      </c>
      <c r="G1338" t="str">
        <f t="shared" si="28"/>
        <v>GUARDIAN</v>
      </c>
      <c r="H1338" s="4">
        <v>15.39</v>
      </c>
    </row>
    <row r="1339" spans="5:8" x14ac:dyDescent="0.25">
      <c r="E1339" t="str">
        <f>""</f>
        <v/>
      </c>
      <c r="F1339" t="str">
        <f>""</f>
        <v/>
      </c>
      <c r="G1339" t="str">
        <f t="shared" si="28"/>
        <v>GUARDIAN</v>
      </c>
      <c r="H1339" s="4">
        <v>107.73</v>
      </c>
    </row>
    <row r="1340" spans="5:8" x14ac:dyDescent="0.25">
      <c r="E1340" t="str">
        <f>""</f>
        <v/>
      </c>
      <c r="F1340" t="str">
        <f>""</f>
        <v/>
      </c>
      <c r="G1340" t="str">
        <f t="shared" si="28"/>
        <v>GUARDIAN</v>
      </c>
      <c r="H1340" s="4">
        <v>30.78</v>
      </c>
    </row>
    <row r="1341" spans="5:8" x14ac:dyDescent="0.25">
      <c r="E1341" t="str">
        <f>""</f>
        <v/>
      </c>
      <c r="F1341" t="str">
        <f>""</f>
        <v/>
      </c>
      <c r="G1341" t="str">
        <f t="shared" si="28"/>
        <v>GUARDIAN</v>
      </c>
      <c r="H1341" s="4">
        <v>92.34</v>
      </c>
    </row>
    <row r="1342" spans="5:8" x14ac:dyDescent="0.25">
      <c r="E1342" t="str">
        <f>""</f>
        <v/>
      </c>
      <c r="F1342" t="str">
        <f>""</f>
        <v/>
      </c>
      <c r="G1342" t="str">
        <f t="shared" si="28"/>
        <v>GUARDIAN</v>
      </c>
      <c r="H1342" s="4">
        <v>138.51</v>
      </c>
    </row>
    <row r="1343" spans="5:8" x14ac:dyDescent="0.25">
      <c r="E1343" t="str">
        <f>""</f>
        <v/>
      </c>
      <c r="F1343" t="str">
        <f>""</f>
        <v/>
      </c>
      <c r="G1343" t="str">
        <f t="shared" si="28"/>
        <v>GUARDIAN</v>
      </c>
      <c r="H1343" s="4">
        <v>169.52</v>
      </c>
    </row>
    <row r="1344" spans="5:8" x14ac:dyDescent="0.25">
      <c r="E1344" t="str">
        <f>""</f>
        <v/>
      </c>
      <c r="F1344" t="str">
        <f>""</f>
        <v/>
      </c>
      <c r="G1344" t="str">
        <f t="shared" si="28"/>
        <v>GUARDIAN</v>
      </c>
      <c r="H1344" s="4">
        <v>15.39</v>
      </c>
    </row>
    <row r="1345" spans="5:8" x14ac:dyDescent="0.25">
      <c r="E1345" t="str">
        <f>""</f>
        <v/>
      </c>
      <c r="F1345" t="str">
        <f>""</f>
        <v/>
      </c>
      <c r="G1345" t="str">
        <f t="shared" si="28"/>
        <v>GUARDIAN</v>
      </c>
      <c r="H1345" s="4">
        <v>937.31</v>
      </c>
    </row>
    <row r="1346" spans="5:8" x14ac:dyDescent="0.25">
      <c r="E1346" t="str">
        <f>""</f>
        <v/>
      </c>
      <c r="F1346" t="str">
        <f>""</f>
        <v/>
      </c>
      <c r="G1346" t="str">
        <f t="shared" si="28"/>
        <v>GUARDIAN</v>
      </c>
      <c r="H1346" s="4">
        <v>45.72</v>
      </c>
    </row>
    <row r="1347" spans="5:8" x14ac:dyDescent="0.25">
      <c r="E1347" t="str">
        <f>""</f>
        <v/>
      </c>
      <c r="F1347" t="str">
        <f>""</f>
        <v/>
      </c>
      <c r="G1347" t="str">
        <f t="shared" si="28"/>
        <v>GUARDIAN</v>
      </c>
      <c r="H1347" s="4">
        <v>940.78</v>
      </c>
    </row>
    <row r="1348" spans="5:8" x14ac:dyDescent="0.25">
      <c r="E1348" t="str">
        <f>""</f>
        <v/>
      </c>
      <c r="F1348" t="str">
        <f>""</f>
        <v/>
      </c>
      <c r="G1348" t="str">
        <f t="shared" si="28"/>
        <v>GUARDIAN</v>
      </c>
      <c r="H1348" s="4">
        <v>230.85</v>
      </c>
    </row>
    <row r="1349" spans="5:8" x14ac:dyDescent="0.25">
      <c r="E1349" t="str">
        <f>""</f>
        <v/>
      </c>
      <c r="F1349" t="str">
        <f>""</f>
        <v/>
      </c>
      <c r="G1349" t="str">
        <f t="shared" si="28"/>
        <v>GUARDIAN</v>
      </c>
      <c r="H1349" s="4">
        <v>46.17</v>
      </c>
    </row>
    <row r="1350" spans="5:8" x14ac:dyDescent="0.25">
      <c r="E1350" t="str">
        <f>""</f>
        <v/>
      </c>
      <c r="F1350" t="str">
        <f>""</f>
        <v/>
      </c>
      <c r="G1350" t="str">
        <f t="shared" si="28"/>
        <v>GUARDIAN</v>
      </c>
      <c r="H1350" s="4">
        <v>30.78</v>
      </c>
    </row>
    <row r="1351" spans="5:8" x14ac:dyDescent="0.25">
      <c r="E1351" t="str">
        <f>""</f>
        <v/>
      </c>
      <c r="F1351" t="str">
        <f>""</f>
        <v/>
      </c>
      <c r="G1351" t="str">
        <f t="shared" si="28"/>
        <v>GUARDIAN</v>
      </c>
      <c r="H1351" s="4">
        <v>15.39</v>
      </c>
    </row>
    <row r="1352" spans="5:8" x14ac:dyDescent="0.25">
      <c r="E1352" t="str">
        <f>""</f>
        <v/>
      </c>
      <c r="F1352" t="str">
        <f>""</f>
        <v/>
      </c>
      <c r="G1352" t="str">
        <f t="shared" si="28"/>
        <v>GUARDIAN</v>
      </c>
      <c r="H1352" s="4">
        <v>30.78</v>
      </c>
    </row>
    <row r="1353" spans="5:8" x14ac:dyDescent="0.25">
      <c r="E1353" t="str">
        <f>""</f>
        <v/>
      </c>
      <c r="F1353" t="str">
        <f>""</f>
        <v/>
      </c>
      <c r="G1353" t="str">
        <f t="shared" si="28"/>
        <v>GUARDIAN</v>
      </c>
      <c r="H1353" s="4">
        <v>15.39</v>
      </c>
    </row>
    <row r="1354" spans="5:8" x14ac:dyDescent="0.25">
      <c r="E1354" t="str">
        <f>""</f>
        <v/>
      </c>
      <c r="F1354" t="str">
        <f>""</f>
        <v/>
      </c>
      <c r="G1354" t="str">
        <f t="shared" si="28"/>
        <v>GUARDIAN</v>
      </c>
      <c r="H1354" s="4">
        <v>1.0900000000000001</v>
      </c>
    </row>
    <row r="1355" spans="5:8" x14ac:dyDescent="0.25">
      <c r="E1355" t="str">
        <f>""</f>
        <v/>
      </c>
      <c r="F1355" t="str">
        <f>""</f>
        <v/>
      </c>
      <c r="G1355" t="str">
        <f t="shared" si="28"/>
        <v>GUARDIAN</v>
      </c>
      <c r="H1355" s="4">
        <v>96.13</v>
      </c>
    </row>
    <row r="1356" spans="5:8" x14ac:dyDescent="0.25">
      <c r="E1356" t="str">
        <f>""</f>
        <v/>
      </c>
      <c r="F1356" t="str">
        <f>""</f>
        <v/>
      </c>
      <c r="G1356" t="str">
        <f t="shared" si="28"/>
        <v>GUARDIAN</v>
      </c>
      <c r="H1356" s="4">
        <v>89.44</v>
      </c>
    </row>
    <row r="1357" spans="5:8" x14ac:dyDescent="0.25">
      <c r="E1357" t="str">
        <f>""</f>
        <v/>
      </c>
      <c r="F1357" t="str">
        <f>""</f>
        <v/>
      </c>
      <c r="G1357" t="str">
        <f t="shared" si="28"/>
        <v>GUARDIAN</v>
      </c>
      <c r="H1357" s="4">
        <v>166.39</v>
      </c>
    </row>
    <row r="1358" spans="5:8" x14ac:dyDescent="0.25">
      <c r="E1358" t="str">
        <f>""</f>
        <v/>
      </c>
      <c r="F1358" t="str">
        <f>""</f>
        <v/>
      </c>
      <c r="G1358" t="str">
        <f t="shared" si="28"/>
        <v>GUARDIAN</v>
      </c>
      <c r="H1358" s="4">
        <v>151</v>
      </c>
    </row>
    <row r="1359" spans="5:8" x14ac:dyDescent="0.25">
      <c r="E1359" t="str">
        <f>""</f>
        <v/>
      </c>
      <c r="F1359" t="str">
        <f>""</f>
        <v/>
      </c>
      <c r="G1359" t="str">
        <f t="shared" si="28"/>
        <v>GUARDIAN</v>
      </c>
      <c r="H1359" s="4">
        <v>0.4</v>
      </c>
    </row>
    <row r="1360" spans="5:8" x14ac:dyDescent="0.25">
      <c r="E1360" t="str">
        <f>""</f>
        <v/>
      </c>
      <c r="F1360" t="str">
        <f>""</f>
        <v/>
      </c>
      <c r="G1360" t="str">
        <f t="shared" si="28"/>
        <v>GUARDIAN</v>
      </c>
      <c r="H1360" s="4">
        <v>0.56000000000000005</v>
      </c>
    </row>
    <row r="1361" spans="5:8" x14ac:dyDescent="0.25">
      <c r="E1361" t="str">
        <f>""</f>
        <v/>
      </c>
      <c r="F1361" t="str">
        <f>""</f>
        <v/>
      </c>
      <c r="G1361" t="str">
        <f t="shared" si="28"/>
        <v>GUARDIAN</v>
      </c>
      <c r="H1361" s="4">
        <v>15.33</v>
      </c>
    </row>
    <row r="1362" spans="5:8" x14ac:dyDescent="0.25">
      <c r="E1362" t="str">
        <f>"GDE202201058186"</f>
        <v>GDE202201058186</v>
      </c>
      <c r="F1362" t="str">
        <f>"GUARDIAN"</f>
        <v>GUARDIAN</v>
      </c>
      <c r="G1362" t="str">
        <f t="shared" si="28"/>
        <v>GUARDIAN</v>
      </c>
      <c r="H1362" s="4">
        <v>138.51</v>
      </c>
    </row>
    <row r="1363" spans="5:8" x14ac:dyDescent="0.25">
      <c r="E1363" t="str">
        <f>"GDE202201198473"</f>
        <v>GDE202201198473</v>
      </c>
      <c r="F1363" t="str">
        <f>"GUARDIAN"</f>
        <v>GUARDIAN</v>
      </c>
      <c r="G1363" t="str">
        <f t="shared" si="28"/>
        <v>GUARDIAN</v>
      </c>
      <c r="H1363" s="4">
        <v>15.39</v>
      </c>
    </row>
    <row r="1364" spans="5:8" x14ac:dyDescent="0.25">
      <c r="E1364" t="str">
        <f>""</f>
        <v/>
      </c>
      <c r="F1364" t="str">
        <f>""</f>
        <v/>
      </c>
      <c r="G1364" t="str">
        <f t="shared" si="28"/>
        <v>GUARDIAN</v>
      </c>
      <c r="H1364" s="4">
        <v>20.07</v>
      </c>
    </row>
    <row r="1365" spans="5:8" x14ac:dyDescent="0.25">
      <c r="E1365" t="str">
        <f>""</f>
        <v/>
      </c>
      <c r="F1365" t="str">
        <f>""</f>
        <v/>
      </c>
      <c r="G1365" t="str">
        <f t="shared" si="28"/>
        <v>GUARDIAN</v>
      </c>
      <c r="H1365" s="4">
        <v>76.12</v>
      </c>
    </row>
    <row r="1366" spans="5:8" x14ac:dyDescent="0.25">
      <c r="E1366" t="str">
        <f>""</f>
        <v/>
      </c>
      <c r="F1366" t="str">
        <f>""</f>
        <v/>
      </c>
      <c r="G1366" t="str">
        <f t="shared" si="28"/>
        <v>GUARDIAN</v>
      </c>
      <c r="H1366" s="4">
        <v>30.78</v>
      </c>
    </row>
    <row r="1367" spans="5:8" x14ac:dyDescent="0.25">
      <c r="E1367" t="str">
        <f>""</f>
        <v/>
      </c>
      <c r="F1367" t="str">
        <f>""</f>
        <v/>
      </c>
      <c r="G1367" t="str">
        <f t="shared" si="28"/>
        <v>GUARDIAN</v>
      </c>
      <c r="H1367" s="4">
        <v>15.39</v>
      </c>
    </row>
    <row r="1368" spans="5:8" x14ac:dyDescent="0.25">
      <c r="E1368" t="str">
        <f>""</f>
        <v/>
      </c>
      <c r="F1368" t="str">
        <f>""</f>
        <v/>
      </c>
      <c r="G1368" t="str">
        <f t="shared" si="28"/>
        <v>GUARDIAN</v>
      </c>
      <c r="H1368" s="4">
        <v>30.78</v>
      </c>
    </row>
    <row r="1369" spans="5:8" x14ac:dyDescent="0.25">
      <c r="E1369" t="str">
        <f>""</f>
        <v/>
      </c>
      <c r="F1369" t="str">
        <f>""</f>
        <v/>
      </c>
      <c r="G1369" t="str">
        <f t="shared" si="28"/>
        <v>GUARDIAN</v>
      </c>
      <c r="H1369" s="4">
        <v>215.46</v>
      </c>
    </row>
    <row r="1370" spans="5:8" x14ac:dyDescent="0.25">
      <c r="E1370" t="str">
        <f>""</f>
        <v/>
      </c>
      <c r="F1370" t="str">
        <f>""</f>
        <v/>
      </c>
      <c r="G1370" t="str">
        <f t="shared" si="28"/>
        <v>GUARDIAN</v>
      </c>
      <c r="H1370" s="4">
        <v>15.39</v>
      </c>
    </row>
    <row r="1371" spans="5:8" x14ac:dyDescent="0.25">
      <c r="E1371" t="str">
        <f>""</f>
        <v/>
      </c>
      <c r="F1371" t="str">
        <f>""</f>
        <v/>
      </c>
      <c r="G1371" t="str">
        <f t="shared" si="28"/>
        <v>GUARDIAN</v>
      </c>
      <c r="H1371" s="4">
        <v>61.56</v>
      </c>
    </row>
    <row r="1372" spans="5:8" x14ac:dyDescent="0.25">
      <c r="E1372" t="str">
        <f>""</f>
        <v/>
      </c>
      <c r="F1372" t="str">
        <f>""</f>
        <v/>
      </c>
      <c r="G1372" t="str">
        <f t="shared" si="28"/>
        <v>GUARDIAN</v>
      </c>
      <c r="H1372" s="4">
        <v>107.73</v>
      </c>
    </row>
    <row r="1373" spans="5:8" x14ac:dyDescent="0.25">
      <c r="E1373" t="str">
        <f>""</f>
        <v/>
      </c>
      <c r="F1373" t="str">
        <f>""</f>
        <v/>
      </c>
      <c r="G1373" t="str">
        <f t="shared" si="28"/>
        <v>GUARDIAN</v>
      </c>
      <c r="H1373" s="4">
        <v>30.78</v>
      </c>
    </row>
    <row r="1374" spans="5:8" x14ac:dyDescent="0.25">
      <c r="E1374" t="str">
        <f>""</f>
        <v/>
      </c>
      <c r="F1374" t="str">
        <f>""</f>
        <v/>
      </c>
      <c r="G1374" t="str">
        <f t="shared" si="28"/>
        <v>GUARDIAN</v>
      </c>
      <c r="H1374" s="4">
        <v>61.56</v>
      </c>
    </row>
    <row r="1375" spans="5:8" x14ac:dyDescent="0.25">
      <c r="E1375" t="str">
        <f>""</f>
        <v/>
      </c>
      <c r="F1375" t="str">
        <f>""</f>
        <v/>
      </c>
      <c r="G1375" t="str">
        <f t="shared" si="28"/>
        <v>GUARDIAN</v>
      </c>
      <c r="H1375" s="4">
        <v>15.39</v>
      </c>
    </row>
    <row r="1376" spans="5:8" x14ac:dyDescent="0.25">
      <c r="E1376" t="str">
        <f>""</f>
        <v/>
      </c>
      <c r="F1376" t="str">
        <f>""</f>
        <v/>
      </c>
      <c r="G1376" t="str">
        <f t="shared" si="28"/>
        <v>GUARDIAN</v>
      </c>
      <c r="H1376" s="4">
        <v>30.78</v>
      </c>
    </row>
    <row r="1377" spans="5:8" x14ac:dyDescent="0.25">
      <c r="E1377" t="str">
        <f>""</f>
        <v/>
      </c>
      <c r="F1377" t="str">
        <f>""</f>
        <v/>
      </c>
      <c r="G1377" t="str">
        <f t="shared" si="28"/>
        <v>GUARDIAN</v>
      </c>
      <c r="H1377" s="4">
        <v>30.78</v>
      </c>
    </row>
    <row r="1378" spans="5:8" x14ac:dyDescent="0.25">
      <c r="E1378" t="str">
        <f>""</f>
        <v/>
      </c>
      <c r="F1378" t="str">
        <f>""</f>
        <v/>
      </c>
      <c r="G1378" t="str">
        <f t="shared" si="28"/>
        <v>GUARDIAN</v>
      </c>
      <c r="H1378" s="4">
        <v>168.33</v>
      </c>
    </row>
    <row r="1379" spans="5:8" x14ac:dyDescent="0.25">
      <c r="E1379" t="str">
        <f>""</f>
        <v/>
      </c>
      <c r="F1379" t="str">
        <f>""</f>
        <v/>
      </c>
      <c r="G1379" t="str">
        <f t="shared" si="28"/>
        <v>GUARDIAN</v>
      </c>
      <c r="H1379" s="4">
        <v>30.78</v>
      </c>
    </row>
    <row r="1380" spans="5:8" x14ac:dyDescent="0.25">
      <c r="E1380" t="str">
        <f>""</f>
        <v/>
      </c>
      <c r="F1380" t="str">
        <f>""</f>
        <v/>
      </c>
      <c r="G1380" t="str">
        <f t="shared" si="28"/>
        <v>GUARDIAN</v>
      </c>
      <c r="H1380" s="4">
        <v>30.78</v>
      </c>
    </row>
    <row r="1381" spans="5:8" x14ac:dyDescent="0.25">
      <c r="E1381" t="str">
        <f>""</f>
        <v/>
      </c>
      <c r="F1381" t="str">
        <f>""</f>
        <v/>
      </c>
      <c r="G1381" t="str">
        <f t="shared" si="28"/>
        <v>GUARDIAN</v>
      </c>
      <c r="H1381" s="4">
        <v>15.39</v>
      </c>
    </row>
    <row r="1382" spans="5:8" x14ac:dyDescent="0.25">
      <c r="E1382" t="str">
        <f>""</f>
        <v/>
      </c>
      <c r="F1382" t="str">
        <f>""</f>
        <v/>
      </c>
      <c r="G1382" t="str">
        <f t="shared" ref="G1382:G1445" si="29">"GUARDIAN"</f>
        <v>GUARDIAN</v>
      </c>
      <c r="H1382" s="4">
        <v>107.73</v>
      </c>
    </row>
    <row r="1383" spans="5:8" x14ac:dyDescent="0.25">
      <c r="E1383" t="str">
        <f>""</f>
        <v/>
      </c>
      <c r="F1383" t="str">
        <f>""</f>
        <v/>
      </c>
      <c r="G1383" t="str">
        <f t="shared" si="29"/>
        <v>GUARDIAN</v>
      </c>
      <c r="H1383" s="4">
        <v>30.78</v>
      </c>
    </row>
    <row r="1384" spans="5:8" x14ac:dyDescent="0.25">
      <c r="E1384" t="str">
        <f>""</f>
        <v/>
      </c>
      <c r="F1384" t="str">
        <f>""</f>
        <v/>
      </c>
      <c r="G1384" t="str">
        <f t="shared" si="29"/>
        <v>GUARDIAN</v>
      </c>
      <c r="H1384" s="4">
        <v>92.34</v>
      </c>
    </row>
    <row r="1385" spans="5:8" x14ac:dyDescent="0.25">
      <c r="E1385" t="str">
        <f>""</f>
        <v/>
      </c>
      <c r="F1385" t="str">
        <f>""</f>
        <v/>
      </c>
      <c r="G1385" t="str">
        <f t="shared" si="29"/>
        <v>GUARDIAN</v>
      </c>
      <c r="H1385" s="4">
        <v>138.51</v>
      </c>
    </row>
    <row r="1386" spans="5:8" x14ac:dyDescent="0.25">
      <c r="E1386" t="str">
        <f>""</f>
        <v/>
      </c>
      <c r="F1386" t="str">
        <f>""</f>
        <v/>
      </c>
      <c r="G1386" t="str">
        <f t="shared" si="29"/>
        <v>GUARDIAN</v>
      </c>
      <c r="H1386" s="4">
        <v>169.52</v>
      </c>
    </row>
    <row r="1387" spans="5:8" x14ac:dyDescent="0.25">
      <c r="E1387" t="str">
        <f>""</f>
        <v/>
      </c>
      <c r="F1387" t="str">
        <f>""</f>
        <v/>
      </c>
      <c r="G1387" t="str">
        <f t="shared" si="29"/>
        <v>GUARDIAN</v>
      </c>
      <c r="H1387" s="4">
        <v>15.39</v>
      </c>
    </row>
    <row r="1388" spans="5:8" x14ac:dyDescent="0.25">
      <c r="E1388" t="str">
        <f>""</f>
        <v/>
      </c>
      <c r="F1388" t="str">
        <f>""</f>
        <v/>
      </c>
      <c r="G1388" t="str">
        <f t="shared" si="29"/>
        <v>GUARDIAN</v>
      </c>
      <c r="H1388" s="4">
        <v>937.46</v>
      </c>
    </row>
    <row r="1389" spans="5:8" x14ac:dyDescent="0.25">
      <c r="E1389" t="str">
        <f>""</f>
        <v/>
      </c>
      <c r="F1389" t="str">
        <f>""</f>
        <v/>
      </c>
      <c r="G1389" t="str">
        <f t="shared" si="29"/>
        <v>GUARDIAN</v>
      </c>
      <c r="H1389" s="4">
        <v>45.72</v>
      </c>
    </row>
    <row r="1390" spans="5:8" x14ac:dyDescent="0.25">
      <c r="E1390" t="str">
        <f>""</f>
        <v/>
      </c>
      <c r="F1390" t="str">
        <f>""</f>
        <v/>
      </c>
      <c r="G1390" t="str">
        <f t="shared" si="29"/>
        <v>GUARDIAN</v>
      </c>
      <c r="H1390" s="4">
        <v>940.63</v>
      </c>
    </row>
    <row r="1391" spans="5:8" x14ac:dyDescent="0.25">
      <c r="E1391" t="str">
        <f>""</f>
        <v/>
      </c>
      <c r="F1391" t="str">
        <f>""</f>
        <v/>
      </c>
      <c r="G1391" t="str">
        <f t="shared" si="29"/>
        <v>GUARDIAN</v>
      </c>
      <c r="H1391" s="4">
        <v>230.85</v>
      </c>
    </row>
    <row r="1392" spans="5:8" x14ac:dyDescent="0.25">
      <c r="E1392" t="str">
        <f>""</f>
        <v/>
      </c>
      <c r="F1392" t="str">
        <f>""</f>
        <v/>
      </c>
      <c r="G1392" t="str">
        <f t="shared" si="29"/>
        <v>GUARDIAN</v>
      </c>
      <c r="H1392" s="4">
        <v>15.39</v>
      </c>
    </row>
    <row r="1393" spans="5:8" x14ac:dyDescent="0.25">
      <c r="E1393" t="str">
        <f>""</f>
        <v/>
      </c>
      <c r="F1393" t="str">
        <f>""</f>
        <v/>
      </c>
      <c r="G1393" t="str">
        <f t="shared" si="29"/>
        <v>GUARDIAN</v>
      </c>
      <c r="H1393" s="4">
        <v>46.17</v>
      </c>
    </row>
    <row r="1394" spans="5:8" x14ac:dyDescent="0.25">
      <c r="E1394" t="str">
        <f>""</f>
        <v/>
      </c>
      <c r="F1394" t="str">
        <f>""</f>
        <v/>
      </c>
      <c r="G1394" t="str">
        <f t="shared" si="29"/>
        <v>GUARDIAN</v>
      </c>
      <c r="H1394" s="4">
        <v>30.78</v>
      </c>
    </row>
    <row r="1395" spans="5:8" x14ac:dyDescent="0.25">
      <c r="E1395" t="str">
        <f>""</f>
        <v/>
      </c>
      <c r="F1395" t="str">
        <f>""</f>
        <v/>
      </c>
      <c r="G1395" t="str">
        <f t="shared" si="29"/>
        <v>GUARDIAN</v>
      </c>
      <c r="H1395" s="4">
        <v>15.39</v>
      </c>
    </row>
    <row r="1396" spans="5:8" x14ac:dyDescent="0.25">
      <c r="E1396" t="str">
        <f>""</f>
        <v/>
      </c>
      <c r="F1396" t="str">
        <f>""</f>
        <v/>
      </c>
      <c r="G1396" t="str">
        <f t="shared" si="29"/>
        <v>GUARDIAN</v>
      </c>
      <c r="H1396" s="4">
        <v>30.78</v>
      </c>
    </row>
    <row r="1397" spans="5:8" x14ac:dyDescent="0.25">
      <c r="E1397" t="str">
        <f>""</f>
        <v/>
      </c>
      <c r="F1397" t="str">
        <f>""</f>
        <v/>
      </c>
      <c r="G1397" t="str">
        <f t="shared" si="29"/>
        <v>GUARDIAN</v>
      </c>
      <c r="H1397" s="4">
        <v>15.39</v>
      </c>
    </row>
    <row r="1398" spans="5:8" x14ac:dyDescent="0.25">
      <c r="E1398" t="str">
        <f>""</f>
        <v/>
      </c>
      <c r="F1398" t="str">
        <f>""</f>
        <v/>
      </c>
      <c r="G1398" t="str">
        <f t="shared" si="29"/>
        <v>GUARDIAN</v>
      </c>
      <c r="H1398" s="4">
        <v>0.83</v>
      </c>
    </row>
    <row r="1399" spans="5:8" x14ac:dyDescent="0.25">
      <c r="E1399" t="str">
        <f>""</f>
        <v/>
      </c>
      <c r="F1399" t="str">
        <f>""</f>
        <v/>
      </c>
      <c r="G1399" t="str">
        <f t="shared" si="29"/>
        <v>GUARDIAN</v>
      </c>
      <c r="H1399" s="4">
        <v>96.13</v>
      </c>
    </row>
    <row r="1400" spans="5:8" x14ac:dyDescent="0.25">
      <c r="E1400" t="str">
        <f>""</f>
        <v/>
      </c>
      <c r="F1400" t="str">
        <f>""</f>
        <v/>
      </c>
      <c r="G1400" t="str">
        <f t="shared" si="29"/>
        <v>GUARDIAN</v>
      </c>
      <c r="H1400" s="4">
        <v>89.44</v>
      </c>
    </row>
    <row r="1401" spans="5:8" x14ac:dyDescent="0.25">
      <c r="E1401" t="str">
        <f>""</f>
        <v/>
      </c>
      <c r="F1401" t="str">
        <f>""</f>
        <v/>
      </c>
      <c r="G1401" t="str">
        <f t="shared" si="29"/>
        <v>GUARDIAN</v>
      </c>
      <c r="H1401" s="4">
        <v>166.39</v>
      </c>
    </row>
    <row r="1402" spans="5:8" x14ac:dyDescent="0.25">
      <c r="E1402" t="str">
        <f>""</f>
        <v/>
      </c>
      <c r="F1402" t="str">
        <f>""</f>
        <v/>
      </c>
      <c r="G1402" t="str">
        <f t="shared" si="29"/>
        <v>GUARDIAN</v>
      </c>
      <c r="H1402" s="4">
        <v>151</v>
      </c>
    </row>
    <row r="1403" spans="5:8" x14ac:dyDescent="0.25">
      <c r="E1403" t="str">
        <f>""</f>
        <v/>
      </c>
      <c r="F1403" t="str">
        <f>""</f>
        <v/>
      </c>
      <c r="G1403" t="str">
        <f t="shared" si="29"/>
        <v>GUARDIAN</v>
      </c>
      <c r="H1403" s="4">
        <v>0.4</v>
      </c>
    </row>
    <row r="1404" spans="5:8" x14ac:dyDescent="0.25">
      <c r="E1404" t="str">
        <f>""</f>
        <v/>
      </c>
      <c r="F1404" t="str">
        <f>""</f>
        <v/>
      </c>
      <c r="G1404" t="str">
        <f t="shared" si="29"/>
        <v>GUARDIAN</v>
      </c>
      <c r="H1404" s="4">
        <v>0.56000000000000005</v>
      </c>
    </row>
    <row r="1405" spans="5:8" x14ac:dyDescent="0.25">
      <c r="E1405" t="str">
        <f>""</f>
        <v/>
      </c>
      <c r="F1405" t="str">
        <f>""</f>
        <v/>
      </c>
      <c r="G1405" t="str">
        <f t="shared" si="29"/>
        <v>GUARDIAN</v>
      </c>
      <c r="H1405" s="4">
        <v>15.33</v>
      </c>
    </row>
    <row r="1406" spans="5:8" x14ac:dyDescent="0.25">
      <c r="E1406" t="str">
        <f>"GDE202201198474"</f>
        <v>GDE202201198474</v>
      </c>
      <c r="F1406" t="str">
        <f>"GUARDIAN"</f>
        <v>GUARDIAN</v>
      </c>
      <c r="G1406" t="str">
        <f t="shared" si="29"/>
        <v>GUARDIAN</v>
      </c>
      <c r="H1406" s="4">
        <v>138.51</v>
      </c>
    </row>
    <row r="1407" spans="5:8" x14ac:dyDescent="0.25">
      <c r="E1407" t="str">
        <f>"GDF202201058185"</f>
        <v>GDF202201058185</v>
      </c>
      <c r="F1407" t="str">
        <f>"GUARDIAN"</f>
        <v>GUARDIAN</v>
      </c>
      <c r="G1407" t="str">
        <f t="shared" si="29"/>
        <v>GUARDIAN</v>
      </c>
      <c r="H1407" s="4">
        <v>30.78</v>
      </c>
    </row>
    <row r="1408" spans="5:8" x14ac:dyDescent="0.25">
      <c r="E1408" t="str">
        <f>""</f>
        <v/>
      </c>
      <c r="F1408" t="str">
        <f>""</f>
        <v/>
      </c>
      <c r="G1408" t="str">
        <f t="shared" si="29"/>
        <v>GUARDIAN</v>
      </c>
      <c r="H1408" s="4">
        <v>30.78</v>
      </c>
    </row>
    <row r="1409" spans="5:8" x14ac:dyDescent="0.25">
      <c r="E1409" t="str">
        <f>""</f>
        <v/>
      </c>
      <c r="F1409" t="str">
        <f>""</f>
        <v/>
      </c>
      <c r="G1409" t="str">
        <f t="shared" si="29"/>
        <v>GUARDIAN</v>
      </c>
      <c r="H1409" s="4">
        <v>30.78</v>
      </c>
    </row>
    <row r="1410" spans="5:8" x14ac:dyDescent="0.25">
      <c r="E1410" t="str">
        <f>""</f>
        <v/>
      </c>
      <c r="F1410" t="str">
        <f>""</f>
        <v/>
      </c>
      <c r="G1410" t="str">
        <f t="shared" si="29"/>
        <v>GUARDIAN</v>
      </c>
      <c r="H1410" s="4">
        <v>15.39</v>
      </c>
    </row>
    <row r="1411" spans="5:8" x14ac:dyDescent="0.25">
      <c r="E1411" t="str">
        <f>""</f>
        <v/>
      </c>
      <c r="F1411" t="str">
        <f>""</f>
        <v/>
      </c>
      <c r="G1411" t="str">
        <f t="shared" si="29"/>
        <v>GUARDIAN</v>
      </c>
      <c r="H1411" s="4">
        <v>30.78</v>
      </c>
    </row>
    <row r="1412" spans="5:8" x14ac:dyDescent="0.25">
      <c r="E1412" t="str">
        <f>""</f>
        <v/>
      </c>
      <c r="F1412" t="str">
        <f>""</f>
        <v/>
      </c>
      <c r="G1412" t="str">
        <f t="shared" si="29"/>
        <v>GUARDIAN</v>
      </c>
      <c r="H1412" s="4">
        <v>15.39</v>
      </c>
    </row>
    <row r="1413" spans="5:8" x14ac:dyDescent="0.25">
      <c r="E1413" t="str">
        <f>""</f>
        <v/>
      </c>
      <c r="F1413" t="str">
        <f>""</f>
        <v/>
      </c>
      <c r="G1413" t="str">
        <f t="shared" si="29"/>
        <v>GUARDIAN</v>
      </c>
      <c r="H1413" s="4">
        <v>15.39</v>
      </c>
    </row>
    <row r="1414" spans="5:8" x14ac:dyDescent="0.25">
      <c r="E1414" t="str">
        <f>""</f>
        <v/>
      </c>
      <c r="F1414" t="str">
        <f>""</f>
        <v/>
      </c>
      <c r="G1414" t="str">
        <f t="shared" si="29"/>
        <v>GUARDIAN</v>
      </c>
      <c r="H1414" s="4">
        <v>15.39</v>
      </c>
    </row>
    <row r="1415" spans="5:8" x14ac:dyDescent="0.25">
      <c r="E1415" t="str">
        <f>""</f>
        <v/>
      </c>
      <c r="F1415" t="str">
        <f>""</f>
        <v/>
      </c>
      <c r="G1415" t="str">
        <f t="shared" si="29"/>
        <v>GUARDIAN</v>
      </c>
      <c r="H1415" s="4">
        <v>15.39</v>
      </c>
    </row>
    <row r="1416" spans="5:8" x14ac:dyDescent="0.25">
      <c r="E1416" t="str">
        <f>""</f>
        <v/>
      </c>
      <c r="F1416" t="str">
        <f>""</f>
        <v/>
      </c>
      <c r="G1416" t="str">
        <f t="shared" si="29"/>
        <v>GUARDIAN</v>
      </c>
      <c r="H1416" s="4">
        <v>30.78</v>
      </c>
    </row>
    <row r="1417" spans="5:8" x14ac:dyDescent="0.25">
      <c r="E1417" t="str">
        <f>""</f>
        <v/>
      </c>
      <c r="F1417" t="str">
        <f>""</f>
        <v/>
      </c>
      <c r="G1417" t="str">
        <f t="shared" si="29"/>
        <v>GUARDIAN</v>
      </c>
      <c r="H1417" s="4">
        <v>30.78</v>
      </c>
    </row>
    <row r="1418" spans="5:8" x14ac:dyDescent="0.25">
      <c r="E1418" t="str">
        <f>""</f>
        <v/>
      </c>
      <c r="F1418" t="str">
        <f>""</f>
        <v/>
      </c>
      <c r="G1418" t="str">
        <f t="shared" si="29"/>
        <v>GUARDIAN</v>
      </c>
      <c r="H1418" s="4">
        <v>30.78</v>
      </c>
    </row>
    <row r="1419" spans="5:8" x14ac:dyDescent="0.25">
      <c r="E1419" t="str">
        <f>""</f>
        <v/>
      </c>
      <c r="F1419" t="str">
        <f>""</f>
        <v/>
      </c>
      <c r="G1419" t="str">
        <f t="shared" si="29"/>
        <v>GUARDIAN</v>
      </c>
      <c r="H1419" s="4">
        <v>15.39</v>
      </c>
    </row>
    <row r="1420" spans="5:8" x14ac:dyDescent="0.25">
      <c r="E1420" t="str">
        <f>""</f>
        <v/>
      </c>
      <c r="F1420" t="str">
        <f>""</f>
        <v/>
      </c>
      <c r="G1420" t="str">
        <f t="shared" si="29"/>
        <v>GUARDIAN</v>
      </c>
      <c r="H1420" s="4">
        <v>15.39</v>
      </c>
    </row>
    <row r="1421" spans="5:8" x14ac:dyDescent="0.25">
      <c r="E1421" t="str">
        <f>""</f>
        <v/>
      </c>
      <c r="F1421" t="str">
        <f>""</f>
        <v/>
      </c>
      <c r="G1421" t="str">
        <f t="shared" si="29"/>
        <v>GUARDIAN</v>
      </c>
      <c r="H1421" s="4">
        <v>30.78</v>
      </c>
    </row>
    <row r="1422" spans="5:8" x14ac:dyDescent="0.25">
      <c r="E1422" t="str">
        <f>""</f>
        <v/>
      </c>
      <c r="F1422" t="str">
        <f>""</f>
        <v/>
      </c>
      <c r="G1422" t="str">
        <f t="shared" si="29"/>
        <v>GUARDIAN</v>
      </c>
      <c r="H1422" s="4">
        <v>46.17</v>
      </c>
    </row>
    <row r="1423" spans="5:8" x14ac:dyDescent="0.25">
      <c r="E1423" t="str">
        <f>""</f>
        <v/>
      </c>
      <c r="F1423" t="str">
        <f>""</f>
        <v/>
      </c>
      <c r="G1423" t="str">
        <f t="shared" si="29"/>
        <v>GUARDIAN</v>
      </c>
      <c r="H1423" s="4">
        <v>15.39</v>
      </c>
    </row>
    <row r="1424" spans="5:8" x14ac:dyDescent="0.25">
      <c r="E1424" t="str">
        <f>""</f>
        <v/>
      </c>
      <c r="F1424" t="str">
        <f>""</f>
        <v/>
      </c>
      <c r="G1424" t="str">
        <f t="shared" si="29"/>
        <v>GUARDIAN</v>
      </c>
      <c r="H1424" s="4">
        <v>170.86</v>
      </c>
    </row>
    <row r="1425" spans="5:8" x14ac:dyDescent="0.25">
      <c r="E1425" t="str">
        <f>""</f>
        <v/>
      </c>
      <c r="F1425" t="str">
        <f>""</f>
        <v/>
      </c>
      <c r="G1425" t="str">
        <f t="shared" si="29"/>
        <v>GUARDIAN</v>
      </c>
      <c r="H1425" s="4">
        <v>121.55</v>
      </c>
    </row>
    <row r="1426" spans="5:8" x14ac:dyDescent="0.25">
      <c r="E1426" t="str">
        <f>""</f>
        <v/>
      </c>
      <c r="F1426" t="str">
        <f>""</f>
        <v/>
      </c>
      <c r="G1426" t="str">
        <f t="shared" si="29"/>
        <v>GUARDIAN</v>
      </c>
      <c r="H1426" s="4">
        <v>15.39</v>
      </c>
    </row>
    <row r="1427" spans="5:8" x14ac:dyDescent="0.25">
      <c r="E1427" t="str">
        <f>""</f>
        <v/>
      </c>
      <c r="F1427" t="str">
        <f>""</f>
        <v/>
      </c>
      <c r="G1427" t="str">
        <f t="shared" si="29"/>
        <v>GUARDIAN</v>
      </c>
      <c r="H1427" s="4">
        <v>15.39</v>
      </c>
    </row>
    <row r="1428" spans="5:8" x14ac:dyDescent="0.25">
      <c r="E1428" t="str">
        <f>""</f>
        <v/>
      </c>
      <c r="F1428" t="str">
        <f>""</f>
        <v/>
      </c>
      <c r="G1428" t="str">
        <f t="shared" si="29"/>
        <v>GUARDIAN</v>
      </c>
      <c r="H1428" s="4">
        <v>15.39</v>
      </c>
    </row>
    <row r="1429" spans="5:8" x14ac:dyDescent="0.25">
      <c r="E1429" t="str">
        <f>""</f>
        <v/>
      </c>
      <c r="F1429" t="str">
        <f>""</f>
        <v/>
      </c>
      <c r="G1429" t="str">
        <f t="shared" si="29"/>
        <v>GUARDIAN</v>
      </c>
      <c r="H1429" s="4">
        <v>15.39</v>
      </c>
    </row>
    <row r="1430" spans="5:8" x14ac:dyDescent="0.25">
      <c r="E1430" t="str">
        <f>""</f>
        <v/>
      </c>
      <c r="F1430" t="str">
        <f>""</f>
        <v/>
      </c>
      <c r="G1430" t="str">
        <f t="shared" si="29"/>
        <v>GUARDIAN</v>
      </c>
      <c r="H1430" s="4">
        <v>15.39</v>
      </c>
    </row>
    <row r="1431" spans="5:8" x14ac:dyDescent="0.25">
      <c r="E1431" t="str">
        <f>""</f>
        <v/>
      </c>
      <c r="F1431" t="str">
        <f>""</f>
        <v/>
      </c>
      <c r="G1431" t="str">
        <f t="shared" si="29"/>
        <v>GUARDIAN</v>
      </c>
      <c r="H1431" s="4">
        <v>1775.82</v>
      </c>
    </row>
    <row r="1432" spans="5:8" x14ac:dyDescent="0.25">
      <c r="E1432" t="str">
        <f>"GDF202201058186"</f>
        <v>GDF202201058186</v>
      </c>
      <c r="F1432" t="str">
        <f>"GUARDIAN"</f>
        <v>GUARDIAN</v>
      </c>
      <c r="G1432" t="str">
        <f t="shared" si="29"/>
        <v>GUARDIAN</v>
      </c>
      <c r="H1432" s="4">
        <v>30.78</v>
      </c>
    </row>
    <row r="1433" spans="5:8" x14ac:dyDescent="0.25">
      <c r="E1433" t="str">
        <f>""</f>
        <v/>
      </c>
      <c r="F1433" t="str">
        <f>""</f>
        <v/>
      </c>
      <c r="G1433" t="str">
        <f t="shared" si="29"/>
        <v>GUARDIAN</v>
      </c>
      <c r="H1433" s="4">
        <v>69.64</v>
      </c>
    </row>
    <row r="1434" spans="5:8" x14ac:dyDescent="0.25">
      <c r="E1434" t="str">
        <f>"GDF202201198473"</f>
        <v>GDF202201198473</v>
      </c>
      <c r="F1434" t="str">
        <f>"GUARDIAN"</f>
        <v>GUARDIAN</v>
      </c>
      <c r="G1434" t="str">
        <f t="shared" si="29"/>
        <v>GUARDIAN</v>
      </c>
      <c r="H1434" s="4">
        <v>30.5</v>
      </c>
    </row>
    <row r="1435" spans="5:8" x14ac:dyDescent="0.25">
      <c r="E1435" t="str">
        <f>""</f>
        <v/>
      </c>
      <c r="F1435" t="str">
        <f>""</f>
        <v/>
      </c>
      <c r="G1435" t="str">
        <f t="shared" si="29"/>
        <v>GUARDIAN</v>
      </c>
      <c r="H1435" s="4">
        <v>30.78</v>
      </c>
    </row>
    <row r="1436" spans="5:8" x14ac:dyDescent="0.25">
      <c r="E1436" t="str">
        <f>""</f>
        <v/>
      </c>
      <c r="F1436" t="str">
        <f>""</f>
        <v/>
      </c>
      <c r="G1436" t="str">
        <f t="shared" si="29"/>
        <v>GUARDIAN</v>
      </c>
      <c r="H1436" s="4">
        <v>30.78</v>
      </c>
    </row>
    <row r="1437" spans="5:8" x14ac:dyDescent="0.25">
      <c r="E1437" t="str">
        <f>""</f>
        <v/>
      </c>
      <c r="F1437" t="str">
        <f>""</f>
        <v/>
      </c>
      <c r="G1437" t="str">
        <f t="shared" si="29"/>
        <v>GUARDIAN</v>
      </c>
      <c r="H1437" s="4">
        <v>15.39</v>
      </c>
    </row>
    <row r="1438" spans="5:8" x14ac:dyDescent="0.25">
      <c r="E1438" t="str">
        <f>""</f>
        <v/>
      </c>
      <c r="F1438" t="str">
        <f>""</f>
        <v/>
      </c>
      <c r="G1438" t="str">
        <f t="shared" si="29"/>
        <v>GUARDIAN</v>
      </c>
      <c r="H1438" s="4">
        <v>30.78</v>
      </c>
    </row>
    <row r="1439" spans="5:8" x14ac:dyDescent="0.25">
      <c r="E1439" t="str">
        <f>""</f>
        <v/>
      </c>
      <c r="F1439" t="str">
        <f>""</f>
        <v/>
      </c>
      <c r="G1439" t="str">
        <f t="shared" si="29"/>
        <v>GUARDIAN</v>
      </c>
      <c r="H1439" s="4">
        <v>15.39</v>
      </c>
    </row>
    <row r="1440" spans="5:8" x14ac:dyDescent="0.25">
      <c r="E1440" t="str">
        <f>""</f>
        <v/>
      </c>
      <c r="F1440" t="str">
        <f>""</f>
        <v/>
      </c>
      <c r="G1440" t="str">
        <f t="shared" si="29"/>
        <v>GUARDIAN</v>
      </c>
      <c r="H1440" s="4">
        <v>15.39</v>
      </c>
    </row>
    <row r="1441" spans="5:8" x14ac:dyDescent="0.25">
      <c r="E1441" t="str">
        <f>""</f>
        <v/>
      </c>
      <c r="F1441" t="str">
        <f>""</f>
        <v/>
      </c>
      <c r="G1441" t="str">
        <f t="shared" si="29"/>
        <v>GUARDIAN</v>
      </c>
      <c r="H1441" s="4">
        <v>15.39</v>
      </c>
    </row>
    <row r="1442" spans="5:8" x14ac:dyDescent="0.25">
      <c r="E1442" t="str">
        <f>""</f>
        <v/>
      </c>
      <c r="F1442" t="str">
        <f>""</f>
        <v/>
      </c>
      <c r="G1442" t="str">
        <f t="shared" si="29"/>
        <v>GUARDIAN</v>
      </c>
      <c r="H1442" s="4">
        <v>15.39</v>
      </c>
    </row>
    <row r="1443" spans="5:8" x14ac:dyDescent="0.25">
      <c r="E1443" t="str">
        <f>""</f>
        <v/>
      </c>
      <c r="F1443" t="str">
        <f>""</f>
        <v/>
      </c>
      <c r="G1443" t="str">
        <f t="shared" si="29"/>
        <v>GUARDIAN</v>
      </c>
      <c r="H1443" s="4">
        <v>30.78</v>
      </c>
    </row>
    <row r="1444" spans="5:8" x14ac:dyDescent="0.25">
      <c r="E1444" t="str">
        <f>""</f>
        <v/>
      </c>
      <c r="F1444" t="str">
        <f>""</f>
        <v/>
      </c>
      <c r="G1444" t="str">
        <f t="shared" si="29"/>
        <v>GUARDIAN</v>
      </c>
      <c r="H1444" s="4">
        <v>30.78</v>
      </c>
    </row>
    <row r="1445" spans="5:8" x14ac:dyDescent="0.25">
      <c r="E1445" t="str">
        <f>""</f>
        <v/>
      </c>
      <c r="F1445" t="str">
        <f>""</f>
        <v/>
      </c>
      <c r="G1445" t="str">
        <f t="shared" si="29"/>
        <v>GUARDIAN</v>
      </c>
      <c r="H1445" s="4">
        <v>15.39</v>
      </c>
    </row>
    <row r="1446" spans="5:8" x14ac:dyDescent="0.25">
      <c r="E1446" t="str">
        <f>""</f>
        <v/>
      </c>
      <c r="F1446" t="str">
        <f>""</f>
        <v/>
      </c>
      <c r="G1446" t="str">
        <f t="shared" ref="G1446:G1509" si="30">"GUARDIAN"</f>
        <v>GUARDIAN</v>
      </c>
      <c r="H1446" s="4">
        <v>30.78</v>
      </c>
    </row>
    <row r="1447" spans="5:8" x14ac:dyDescent="0.25">
      <c r="E1447" t="str">
        <f>""</f>
        <v/>
      </c>
      <c r="F1447" t="str">
        <f>""</f>
        <v/>
      </c>
      <c r="G1447" t="str">
        <f t="shared" si="30"/>
        <v>GUARDIAN</v>
      </c>
      <c r="H1447" s="4">
        <v>15.39</v>
      </c>
    </row>
    <row r="1448" spans="5:8" x14ac:dyDescent="0.25">
      <c r="E1448" t="str">
        <f>""</f>
        <v/>
      </c>
      <c r="F1448" t="str">
        <f>""</f>
        <v/>
      </c>
      <c r="G1448" t="str">
        <f t="shared" si="30"/>
        <v>GUARDIAN</v>
      </c>
      <c r="H1448" s="4">
        <v>30.78</v>
      </c>
    </row>
    <row r="1449" spans="5:8" x14ac:dyDescent="0.25">
      <c r="E1449" t="str">
        <f>""</f>
        <v/>
      </c>
      <c r="F1449" t="str">
        <f>""</f>
        <v/>
      </c>
      <c r="G1449" t="str">
        <f t="shared" si="30"/>
        <v>GUARDIAN</v>
      </c>
      <c r="H1449" s="4">
        <v>46.17</v>
      </c>
    </row>
    <row r="1450" spans="5:8" x14ac:dyDescent="0.25">
      <c r="E1450" t="str">
        <f>""</f>
        <v/>
      </c>
      <c r="F1450" t="str">
        <f>""</f>
        <v/>
      </c>
      <c r="G1450" t="str">
        <f t="shared" si="30"/>
        <v>GUARDIAN</v>
      </c>
      <c r="H1450" s="4">
        <v>15.39</v>
      </c>
    </row>
    <row r="1451" spans="5:8" x14ac:dyDescent="0.25">
      <c r="E1451" t="str">
        <f>""</f>
        <v/>
      </c>
      <c r="F1451" t="str">
        <f>""</f>
        <v/>
      </c>
      <c r="G1451" t="str">
        <f t="shared" si="30"/>
        <v>GUARDIAN</v>
      </c>
      <c r="H1451" s="4">
        <v>170.86</v>
      </c>
    </row>
    <row r="1452" spans="5:8" x14ac:dyDescent="0.25">
      <c r="E1452" t="str">
        <f>""</f>
        <v/>
      </c>
      <c r="F1452" t="str">
        <f>""</f>
        <v/>
      </c>
      <c r="G1452" t="str">
        <f t="shared" si="30"/>
        <v>GUARDIAN</v>
      </c>
      <c r="H1452" s="4">
        <v>121.55</v>
      </c>
    </row>
    <row r="1453" spans="5:8" x14ac:dyDescent="0.25">
      <c r="E1453" t="str">
        <f>""</f>
        <v/>
      </c>
      <c r="F1453" t="str">
        <f>""</f>
        <v/>
      </c>
      <c r="G1453" t="str">
        <f t="shared" si="30"/>
        <v>GUARDIAN</v>
      </c>
      <c r="H1453" s="4">
        <v>15.39</v>
      </c>
    </row>
    <row r="1454" spans="5:8" x14ac:dyDescent="0.25">
      <c r="E1454" t="str">
        <f>""</f>
        <v/>
      </c>
      <c r="F1454" t="str">
        <f>""</f>
        <v/>
      </c>
      <c r="G1454" t="str">
        <f t="shared" si="30"/>
        <v>GUARDIAN</v>
      </c>
      <c r="H1454" s="4">
        <v>15.39</v>
      </c>
    </row>
    <row r="1455" spans="5:8" x14ac:dyDescent="0.25">
      <c r="E1455" t="str">
        <f>""</f>
        <v/>
      </c>
      <c r="F1455" t="str">
        <f>""</f>
        <v/>
      </c>
      <c r="G1455" t="str">
        <f t="shared" si="30"/>
        <v>GUARDIAN</v>
      </c>
      <c r="H1455" s="4">
        <v>15.39</v>
      </c>
    </row>
    <row r="1456" spans="5:8" x14ac:dyDescent="0.25">
      <c r="E1456" t="str">
        <f>""</f>
        <v/>
      </c>
      <c r="F1456" t="str">
        <f>""</f>
        <v/>
      </c>
      <c r="G1456" t="str">
        <f t="shared" si="30"/>
        <v>GUARDIAN</v>
      </c>
      <c r="H1456" s="4">
        <v>0.28000000000000003</v>
      </c>
    </row>
    <row r="1457" spans="5:8" x14ac:dyDescent="0.25">
      <c r="E1457" t="str">
        <f>""</f>
        <v/>
      </c>
      <c r="F1457" t="str">
        <f>""</f>
        <v/>
      </c>
      <c r="G1457" t="str">
        <f t="shared" si="30"/>
        <v>GUARDIAN</v>
      </c>
      <c r="H1457" s="4">
        <v>15.39</v>
      </c>
    </row>
    <row r="1458" spans="5:8" x14ac:dyDescent="0.25">
      <c r="E1458" t="str">
        <f>""</f>
        <v/>
      </c>
      <c r="F1458" t="str">
        <f>""</f>
        <v/>
      </c>
      <c r="G1458" t="str">
        <f t="shared" si="30"/>
        <v>GUARDIAN</v>
      </c>
      <c r="H1458" s="4">
        <v>15.39</v>
      </c>
    </row>
    <row r="1459" spans="5:8" x14ac:dyDescent="0.25">
      <c r="E1459" t="str">
        <f>""</f>
        <v/>
      </c>
      <c r="F1459" t="str">
        <f>""</f>
        <v/>
      </c>
      <c r="G1459" t="str">
        <f t="shared" si="30"/>
        <v>GUARDIAN</v>
      </c>
      <c r="H1459" s="4">
        <v>1775.82</v>
      </c>
    </row>
    <row r="1460" spans="5:8" x14ac:dyDescent="0.25">
      <c r="E1460" t="str">
        <f>"GDF202201198474"</f>
        <v>GDF202201198474</v>
      </c>
      <c r="F1460" t="str">
        <f>"GUARDIAN"</f>
        <v>GUARDIAN</v>
      </c>
      <c r="G1460" t="str">
        <f t="shared" si="30"/>
        <v>GUARDIAN</v>
      </c>
      <c r="H1460" s="4">
        <v>30.78</v>
      </c>
    </row>
    <row r="1461" spans="5:8" x14ac:dyDescent="0.25">
      <c r="E1461" t="str">
        <f>""</f>
        <v/>
      </c>
      <c r="F1461" t="str">
        <f>""</f>
        <v/>
      </c>
      <c r="G1461" t="str">
        <f t="shared" si="30"/>
        <v>GUARDIAN</v>
      </c>
      <c r="H1461" s="4">
        <v>69.64</v>
      </c>
    </row>
    <row r="1462" spans="5:8" x14ac:dyDescent="0.25">
      <c r="E1462" t="str">
        <f>"GDS202201058185"</f>
        <v>GDS202201058185</v>
      </c>
      <c r="F1462" t="str">
        <f>"GUARDIAN"</f>
        <v>GUARDIAN</v>
      </c>
      <c r="G1462" t="str">
        <f t="shared" si="30"/>
        <v>GUARDIAN</v>
      </c>
      <c r="H1462" s="4">
        <v>15.39</v>
      </c>
    </row>
    <row r="1463" spans="5:8" x14ac:dyDescent="0.25">
      <c r="E1463" t="str">
        <f>""</f>
        <v/>
      </c>
      <c r="F1463" t="str">
        <f>""</f>
        <v/>
      </c>
      <c r="G1463" t="str">
        <f t="shared" si="30"/>
        <v>GUARDIAN</v>
      </c>
      <c r="H1463" s="4">
        <v>6.69</v>
      </c>
    </row>
    <row r="1464" spans="5:8" x14ac:dyDescent="0.25">
      <c r="E1464" t="str">
        <f>""</f>
        <v/>
      </c>
      <c r="F1464" t="str">
        <f>""</f>
        <v/>
      </c>
      <c r="G1464" t="str">
        <f t="shared" si="30"/>
        <v>GUARDIAN</v>
      </c>
      <c r="H1464" s="4">
        <v>15.39</v>
      </c>
    </row>
    <row r="1465" spans="5:8" x14ac:dyDescent="0.25">
      <c r="E1465" t="str">
        <f>""</f>
        <v/>
      </c>
      <c r="F1465" t="str">
        <f>""</f>
        <v/>
      </c>
      <c r="G1465" t="str">
        <f t="shared" si="30"/>
        <v>GUARDIAN</v>
      </c>
      <c r="H1465" s="4">
        <v>15.39</v>
      </c>
    </row>
    <row r="1466" spans="5:8" x14ac:dyDescent="0.25">
      <c r="E1466" t="str">
        <f>""</f>
        <v/>
      </c>
      <c r="F1466" t="str">
        <f>""</f>
        <v/>
      </c>
      <c r="G1466" t="str">
        <f t="shared" si="30"/>
        <v>GUARDIAN</v>
      </c>
      <c r="H1466" s="4">
        <v>15.39</v>
      </c>
    </row>
    <row r="1467" spans="5:8" x14ac:dyDescent="0.25">
      <c r="E1467" t="str">
        <f>""</f>
        <v/>
      </c>
      <c r="F1467" t="str">
        <f>""</f>
        <v/>
      </c>
      <c r="G1467" t="str">
        <f t="shared" si="30"/>
        <v>GUARDIAN</v>
      </c>
      <c r="H1467" s="4">
        <v>76.95</v>
      </c>
    </row>
    <row r="1468" spans="5:8" x14ac:dyDescent="0.25">
      <c r="E1468" t="str">
        <f>""</f>
        <v/>
      </c>
      <c r="F1468" t="str">
        <f>""</f>
        <v/>
      </c>
      <c r="G1468" t="str">
        <f t="shared" si="30"/>
        <v>GUARDIAN</v>
      </c>
      <c r="H1468" s="4">
        <v>15.39</v>
      </c>
    </row>
    <row r="1469" spans="5:8" x14ac:dyDescent="0.25">
      <c r="E1469" t="str">
        <f>""</f>
        <v/>
      </c>
      <c r="F1469" t="str">
        <f>""</f>
        <v/>
      </c>
      <c r="G1469" t="str">
        <f t="shared" si="30"/>
        <v>GUARDIAN</v>
      </c>
      <c r="H1469" s="4">
        <v>30.01</v>
      </c>
    </row>
    <row r="1470" spans="5:8" x14ac:dyDescent="0.25">
      <c r="E1470" t="str">
        <f>""</f>
        <v/>
      </c>
      <c r="F1470" t="str">
        <f>""</f>
        <v/>
      </c>
      <c r="G1470" t="str">
        <f t="shared" si="30"/>
        <v>GUARDIAN</v>
      </c>
      <c r="H1470" s="4">
        <v>30.78</v>
      </c>
    </row>
    <row r="1471" spans="5:8" x14ac:dyDescent="0.25">
      <c r="E1471" t="str">
        <f>""</f>
        <v/>
      </c>
      <c r="F1471" t="str">
        <f>""</f>
        <v/>
      </c>
      <c r="G1471" t="str">
        <f t="shared" si="30"/>
        <v>GUARDIAN</v>
      </c>
      <c r="H1471" s="4">
        <v>30.78</v>
      </c>
    </row>
    <row r="1472" spans="5:8" x14ac:dyDescent="0.25">
      <c r="E1472" t="str">
        <f>""</f>
        <v/>
      </c>
      <c r="F1472" t="str">
        <f>""</f>
        <v/>
      </c>
      <c r="G1472" t="str">
        <f t="shared" si="30"/>
        <v>GUARDIAN</v>
      </c>
      <c r="H1472" s="4">
        <v>30.78</v>
      </c>
    </row>
    <row r="1473" spans="5:8" x14ac:dyDescent="0.25">
      <c r="E1473" t="str">
        <f>""</f>
        <v/>
      </c>
      <c r="F1473" t="str">
        <f>""</f>
        <v/>
      </c>
      <c r="G1473" t="str">
        <f t="shared" si="30"/>
        <v>GUARDIAN</v>
      </c>
      <c r="H1473" s="4">
        <v>46.17</v>
      </c>
    </row>
    <row r="1474" spans="5:8" x14ac:dyDescent="0.25">
      <c r="E1474" t="str">
        <f>""</f>
        <v/>
      </c>
      <c r="F1474" t="str">
        <f>""</f>
        <v/>
      </c>
      <c r="G1474" t="str">
        <f t="shared" si="30"/>
        <v>GUARDIAN</v>
      </c>
      <c r="H1474" s="4">
        <v>30.78</v>
      </c>
    </row>
    <row r="1475" spans="5:8" x14ac:dyDescent="0.25">
      <c r="E1475" t="str">
        <f>""</f>
        <v/>
      </c>
      <c r="F1475" t="str">
        <f>""</f>
        <v/>
      </c>
      <c r="G1475" t="str">
        <f t="shared" si="30"/>
        <v>GUARDIAN</v>
      </c>
      <c r="H1475" s="4">
        <v>30.78</v>
      </c>
    </row>
    <row r="1476" spans="5:8" x14ac:dyDescent="0.25">
      <c r="E1476" t="str">
        <f>""</f>
        <v/>
      </c>
      <c r="F1476" t="str">
        <f>""</f>
        <v/>
      </c>
      <c r="G1476" t="str">
        <f t="shared" si="30"/>
        <v>GUARDIAN</v>
      </c>
      <c r="H1476" s="4">
        <v>15.39</v>
      </c>
    </row>
    <row r="1477" spans="5:8" x14ac:dyDescent="0.25">
      <c r="E1477" t="str">
        <f>""</f>
        <v/>
      </c>
      <c r="F1477" t="str">
        <f>""</f>
        <v/>
      </c>
      <c r="G1477" t="str">
        <f t="shared" si="30"/>
        <v>GUARDIAN</v>
      </c>
      <c r="H1477" s="4">
        <v>124.22</v>
      </c>
    </row>
    <row r="1478" spans="5:8" x14ac:dyDescent="0.25">
      <c r="E1478" t="str">
        <f>""</f>
        <v/>
      </c>
      <c r="F1478" t="str">
        <f>""</f>
        <v/>
      </c>
      <c r="G1478" t="str">
        <f t="shared" si="30"/>
        <v>GUARDIAN</v>
      </c>
      <c r="H1478" s="4">
        <v>91.24</v>
      </c>
    </row>
    <row r="1479" spans="5:8" x14ac:dyDescent="0.25">
      <c r="E1479" t="str">
        <f>""</f>
        <v/>
      </c>
      <c r="F1479" t="str">
        <f>""</f>
        <v/>
      </c>
      <c r="G1479" t="str">
        <f t="shared" si="30"/>
        <v>GUARDIAN</v>
      </c>
      <c r="H1479" s="4">
        <v>3.94</v>
      </c>
    </row>
    <row r="1480" spans="5:8" x14ac:dyDescent="0.25">
      <c r="E1480" t="str">
        <f>""</f>
        <v/>
      </c>
      <c r="F1480" t="str">
        <f>""</f>
        <v/>
      </c>
      <c r="G1480" t="str">
        <f t="shared" si="30"/>
        <v>GUARDIAN</v>
      </c>
      <c r="H1480" s="4">
        <v>70.260000000000005</v>
      </c>
    </row>
    <row r="1481" spans="5:8" x14ac:dyDescent="0.25">
      <c r="E1481" t="str">
        <f>""</f>
        <v/>
      </c>
      <c r="F1481" t="str">
        <f>""</f>
        <v/>
      </c>
      <c r="G1481" t="str">
        <f t="shared" si="30"/>
        <v>GUARDIAN</v>
      </c>
      <c r="H1481" s="4">
        <v>61.56</v>
      </c>
    </row>
    <row r="1482" spans="5:8" x14ac:dyDescent="0.25">
      <c r="E1482" t="str">
        <f>""</f>
        <v/>
      </c>
      <c r="F1482" t="str">
        <f>""</f>
        <v/>
      </c>
      <c r="G1482" t="str">
        <f t="shared" si="30"/>
        <v>GUARDIAN</v>
      </c>
      <c r="H1482" s="4">
        <v>30.78</v>
      </c>
    </row>
    <row r="1483" spans="5:8" x14ac:dyDescent="0.25">
      <c r="E1483" t="str">
        <f>""</f>
        <v/>
      </c>
      <c r="F1483" t="str">
        <f>""</f>
        <v/>
      </c>
      <c r="G1483" t="str">
        <f t="shared" si="30"/>
        <v>GUARDIAN</v>
      </c>
      <c r="H1483" s="4">
        <v>61.56</v>
      </c>
    </row>
    <row r="1484" spans="5:8" x14ac:dyDescent="0.25">
      <c r="E1484" t="str">
        <f>""</f>
        <v/>
      </c>
      <c r="F1484" t="str">
        <f>""</f>
        <v/>
      </c>
      <c r="G1484" t="str">
        <f t="shared" si="30"/>
        <v>GUARDIAN</v>
      </c>
      <c r="H1484" s="4">
        <v>26.84</v>
      </c>
    </row>
    <row r="1485" spans="5:8" x14ac:dyDescent="0.25">
      <c r="E1485" t="str">
        <f>""</f>
        <v/>
      </c>
      <c r="F1485" t="str">
        <f>""</f>
        <v/>
      </c>
      <c r="G1485" t="str">
        <f t="shared" si="30"/>
        <v>GUARDIAN</v>
      </c>
      <c r="H1485" s="4">
        <v>0.77</v>
      </c>
    </row>
    <row r="1486" spans="5:8" x14ac:dyDescent="0.25">
      <c r="E1486" t="str">
        <f>""</f>
        <v/>
      </c>
      <c r="F1486" t="str">
        <f>""</f>
        <v/>
      </c>
      <c r="G1486" t="str">
        <f t="shared" si="30"/>
        <v>GUARDIAN</v>
      </c>
      <c r="H1486" s="4">
        <v>890.91</v>
      </c>
    </row>
    <row r="1487" spans="5:8" x14ac:dyDescent="0.25">
      <c r="E1487" t="str">
        <f>"GDS202201058186"</f>
        <v>GDS202201058186</v>
      </c>
      <c r="F1487" t="str">
        <f>"GUARDIAN"</f>
        <v>GUARDIAN</v>
      </c>
      <c r="G1487" t="str">
        <f t="shared" si="30"/>
        <v>GUARDIAN</v>
      </c>
      <c r="H1487" s="4">
        <v>15.39</v>
      </c>
    </row>
    <row r="1488" spans="5:8" x14ac:dyDescent="0.25">
      <c r="E1488" t="str">
        <f>""</f>
        <v/>
      </c>
      <c r="F1488" t="str">
        <f>""</f>
        <v/>
      </c>
      <c r="G1488" t="str">
        <f t="shared" si="30"/>
        <v>GUARDIAN</v>
      </c>
      <c r="H1488" s="4">
        <v>15.63</v>
      </c>
    </row>
    <row r="1489" spans="5:8" x14ac:dyDescent="0.25">
      <c r="E1489" t="str">
        <f>"GDS202201198473"</f>
        <v>GDS202201198473</v>
      </c>
      <c r="F1489" t="str">
        <f>"GUARDIAN"</f>
        <v>GUARDIAN</v>
      </c>
      <c r="G1489" t="str">
        <f t="shared" si="30"/>
        <v>GUARDIAN</v>
      </c>
      <c r="H1489" s="4">
        <v>15.39</v>
      </c>
    </row>
    <row r="1490" spans="5:8" x14ac:dyDescent="0.25">
      <c r="E1490" t="str">
        <f>""</f>
        <v/>
      </c>
      <c r="F1490" t="str">
        <f>""</f>
        <v/>
      </c>
      <c r="G1490" t="str">
        <f t="shared" si="30"/>
        <v>GUARDIAN</v>
      </c>
      <c r="H1490" s="4">
        <v>6.69</v>
      </c>
    </row>
    <row r="1491" spans="5:8" x14ac:dyDescent="0.25">
      <c r="E1491" t="str">
        <f>""</f>
        <v/>
      </c>
      <c r="F1491" t="str">
        <f>""</f>
        <v/>
      </c>
      <c r="G1491" t="str">
        <f t="shared" si="30"/>
        <v>GUARDIAN</v>
      </c>
      <c r="H1491" s="4">
        <v>15.39</v>
      </c>
    </row>
    <row r="1492" spans="5:8" x14ac:dyDescent="0.25">
      <c r="E1492" t="str">
        <f>""</f>
        <v/>
      </c>
      <c r="F1492" t="str">
        <f>""</f>
        <v/>
      </c>
      <c r="G1492" t="str">
        <f t="shared" si="30"/>
        <v>GUARDIAN</v>
      </c>
      <c r="H1492" s="4">
        <v>15.39</v>
      </c>
    </row>
    <row r="1493" spans="5:8" x14ac:dyDescent="0.25">
      <c r="E1493" t="str">
        <f>""</f>
        <v/>
      </c>
      <c r="F1493" t="str">
        <f>""</f>
        <v/>
      </c>
      <c r="G1493" t="str">
        <f t="shared" si="30"/>
        <v>GUARDIAN</v>
      </c>
      <c r="H1493" s="4">
        <v>15.39</v>
      </c>
    </row>
    <row r="1494" spans="5:8" x14ac:dyDescent="0.25">
      <c r="E1494" t="str">
        <f>""</f>
        <v/>
      </c>
      <c r="F1494" t="str">
        <f>""</f>
        <v/>
      </c>
      <c r="G1494" t="str">
        <f t="shared" si="30"/>
        <v>GUARDIAN</v>
      </c>
      <c r="H1494" s="4">
        <v>76.95</v>
      </c>
    </row>
    <row r="1495" spans="5:8" x14ac:dyDescent="0.25">
      <c r="E1495" t="str">
        <f>""</f>
        <v/>
      </c>
      <c r="F1495" t="str">
        <f>""</f>
        <v/>
      </c>
      <c r="G1495" t="str">
        <f t="shared" si="30"/>
        <v>GUARDIAN</v>
      </c>
      <c r="H1495" s="4">
        <v>15.39</v>
      </c>
    </row>
    <row r="1496" spans="5:8" x14ac:dyDescent="0.25">
      <c r="E1496" t="str">
        <f>""</f>
        <v/>
      </c>
      <c r="F1496" t="str">
        <f>""</f>
        <v/>
      </c>
      <c r="G1496" t="str">
        <f t="shared" si="30"/>
        <v>GUARDIAN</v>
      </c>
      <c r="H1496" s="4">
        <v>30.01</v>
      </c>
    </row>
    <row r="1497" spans="5:8" x14ac:dyDescent="0.25">
      <c r="E1497" t="str">
        <f>""</f>
        <v/>
      </c>
      <c r="F1497" t="str">
        <f>""</f>
        <v/>
      </c>
      <c r="G1497" t="str">
        <f t="shared" si="30"/>
        <v>GUARDIAN</v>
      </c>
      <c r="H1497" s="4">
        <v>30.78</v>
      </c>
    </row>
    <row r="1498" spans="5:8" x14ac:dyDescent="0.25">
      <c r="E1498" t="str">
        <f>""</f>
        <v/>
      </c>
      <c r="F1498" t="str">
        <f>""</f>
        <v/>
      </c>
      <c r="G1498" t="str">
        <f t="shared" si="30"/>
        <v>GUARDIAN</v>
      </c>
      <c r="H1498" s="4">
        <v>31.94</v>
      </c>
    </row>
    <row r="1499" spans="5:8" x14ac:dyDescent="0.25">
      <c r="E1499" t="str">
        <f>""</f>
        <v/>
      </c>
      <c r="F1499" t="str">
        <f>""</f>
        <v/>
      </c>
      <c r="G1499" t="str">
        <f t="shared" si="30"/>
        <v>GUARDIAN</v>
      </c>
      <c r="H1499" s="4">
        <v>29.62</v>
      </c>
    </row>
    <row r="1500" spans="5:8" x14ac:dyDescent="0.25">
      <c r="E1500" t="str">
        <f>""</f>
        <v/>
      </c>
      <c r="F1500" t="str">
        <f>""</f>
        <v/>
      </c>
      <c r="G1500" t="str">
        <f t="shared" si="30"/>
        <v>GUARDIAN</v>
      </c>
      <c r="H1500" s="4">
        <v>46.17</v>
      </c>
    </row>
    <row r="1501" spans="5:8" x14ac:dyDescent="0.25">
      <c r="E1501" t="str">
        <f>""</f>
        <v/>
      </c>
      <c r="F1501" t="str">
        <f>""</f>
        <v/>
      </c>
      <c r="G1501" t="str">
        <f t="shared" si="30"/>
        <v>GUARDIAN</v>
      </c>
      <c r="H1501" s="4">
        <v>30.78</v>
      </c>
    </row>
    <row r="1502" spans="5:8" x14ac:dyDescent="0.25">
      <c r="E1502" t="str">
        <f>""</f>
        <v/>
      </c>
      <c r="F1502" t="str">
        <f>""</f>
        <v/>
      </c>
      <c r="G1502" t="str">
        <f t="shared" si="30"/>
        <v>GUARDIAN</v>
      </c>
      <c r="H1502" s="4">
        <v>30.78</v>
      </c>
    </row>
    <row r="1503" spans="5:8" x14ac:dyDescent="0.25">
      <c r="E1503" t="str">
        <f>""</f>
        <v/>
      </c>
      <c r="F1503" t="str">
        <f>""</f>
        <v/>
      </c>
      <c r="G1503" t="str">
        <f t="shared" si="30"/>
        <v>GUARDIAN</v>
      </c>
      <c r="H1503" s="4">
        <v>15.39</v>
      </c>
    </row>
    <row r="1504" spans="5:8" x14ac:dyDescent="0.25">
      <c r="E1504" t="str">
        <f>""</f>
        <v/>
      </c>
      <c r="F1504" t="str">
        <f>""</f>
        <v/>
      </c>
      <c r="G1504" t="str">
        <f t="shared" si="30"/>
        <v>GUARDIAN</v>
      </c>
      <c r="H1504" s="4">
        <v>124.22</v>
      </c>
    </row>
    <row r="1505" spans="5:8" x14ac:dyDescent="0.25">
      <c r="E1505" t="str">
        <f>""</f>
        <v/>
      </c>
      <c r="F1505" t="str">
        <f>""</f>
        <v/>
      </c>
      <c r="G1505" t="str">
        <f t="shared" si="30"/>
        <v>GUARDIAN</v>
      </c>
      <c r="H1505" s="4">
        <v>91.24</v>
      </c>
    </row>
    <row r="1506" spans="5:8" x14ac:dyDescent="0.25">
      <c r="E1506" t="str">
        <f>""</f>
        <v/>
      </c>
      <c r="F1506" t="str">
        <f>""</f>
        <v/>
      </c>
      <c r="G1506" t="str">
        <f t="shared" si="30"/>
        <v>GUARDIAN</v>
      </c>
      <c r="H1506" s="4">
        <v>3.94</v>
      </c>
    </row>
    <row r="1507" spans="5:8" x14ac:dyDescent="0.25">
      <c r="E1507" t="str">
        <f>""</f>
        <v/>
      </c>
      <c r="F1507" t="str">
        <f>""</f>
        <v/>
      </c>
      <c r="G1507" t="str">
        <f t="shared" si="30"/>
        <v>GUARDIAN</v>
      </c>
      <c r="H1507" s="4">
        <v>70.260000000000005</v>
      </c>
    </row>
    <row r="1508" spans="5:8" x14ac:dyDescent="0.25">
      <c r="E1508" t="str">
        <f>""</f>
        <v/>
      </c>
      <c r="F1508" t="str">
        <f>""</f>
        <v/>
      </c>
      <c r="G1508" t="str">
        <f t="shared" si="30"/>
        <v>GUARDIAN</v>
      </c>
      <c r="H1508" s="4">
        <v>61.56</v>
      </c>
    </row>
    <row r="1509" spans="5:8" x14ac:dyDescent="0.25">
      <c r="E1509" t="str">
        <f>""</f>
        <v/>
      </c>
      <c r="F1509" t="str">
        <f>""</f>
        <v/>
      </c>
      <c r="G1509" t="str">
        <f t="shared" si="30"/>
        <v>GUARDIAN</v>
      </c>
      <c r="H1509" s="4">
        <v>30.78</v>
      </c>
    </row>
    <row r="1510" spans="5:8" x14ac:dyDescent="0.25">
      <c r="E1510" t="str">
        <f>""</f>
        <v/>
      </c>
      <c r="F1510" t="str">
        <f>""</f>
        <v/>
      </c>
      <c r="G1510" t="str">
        <f t="shared" ref="G1510:G1531" si="31">"GUARDIAN"</f>
        <v>GUARDIAN</v>
      </c>
      <c r="H1510" s="4">
        <v>61.56</v>
      </c>
    </row>
    <row r="1511" spans="5:8" x14ac:dyDescent="0.25">
      <c r="E1511" t="str">
        <f>""</f>
        <v/>
      </c>
      <c r="F1511" t="str">
        <f>""</f>
        <v/>
      </c>
      <c r="G1511" t="str">
        <f t="shared" si="31"/>
        <v>GUARDIAN</v>
      </c>
      <c r="H1511" s="4">
        <v>26.84</v>
      </c>
    </row>
    <row r="1512" spans="5:8" x14ac:dyDescent="0.25">
      <c r="E1512" t="str">
        <f>""</f>
        <v/>
      </c>
      <c r="F1512" t="str">
        <f>""</f>
        <v/>
      </c>
      <c r="G1512" t="str">
        <f t="shared" si="31"/>
        <v>GUARDIAN</v>
      </c>
      <c r="H1512" s="4">
        <v>0.77</v>
      </c>
    </row>
    <row r="1513" spans="5:8" x14ac:dyDescent="0.25">
      <c r="E1513" t="str">
        <f>""</f>
        <v/>
      </c>
      <c r="F1513" t="str">
        <f>""</f>
        <v/>
      </c>
      <c r="G1513" t="str">
        <f t="shared" si="31"/>
        <v>GUARDIAN</v>
      </c>
      <c r="H1513" s="4">
        <v>890.91</v>
      </c>
    </row>
    <row r="1514" spans="5:8" x14ac:dyDescent="0.25">
      <c r="E1514" t="str">
        <f>"GDS202201198474"</f>
        <v>GDS202201198474</v>
      </c>
      <c r="F1514" t="str">
        <f>"GUARDIAN"</f>
        <v>GUARDIAN</v>
      </c>
      <c r="G1514" t="str">
        <f t="shared" si="31"/>
        <v>GUARDIAN</v>
      </c>
      <c r="H1514" s="4">
        <v>15.39</v>
      </c>
    </row>
    <row r="1515" spans="5:8" x14ac:dyDescent="0.25">
      <c r="E1515" t="str">
        <f>""</f>
        <v/>
      </c>
      <c r="F1515" t="str">
        <f>""</f>
        <v/>
      </c>
      <c r="G1515" t="str">
        <f t="shared" si="31"/>
        <v>GUARDIAN</v>
      </c>
      <c r="H1515" s="4">
        <v>15.63</v>
      </c>
    </row>
    <row r="1516" spans="5:8" x14ac:dyDescent="0.25">
      <c r="E1516" t="str">
        <f>"GV1202201058185"</f>
        <v>GV1202201058185</v>
      </c>
      <c r="F1516" t="str">
        <f t="shared" ref="F1516:G1519" si="32">"GUARDIAN VISION"</f>
        <v>GUARDIAN VISION</v>
      </c>
      <c r="G1516" t="str">
        <f t="shared" si="32"/>
        <v>GUARDIAN VISION</v>
      </c>
      <c r="H1516" s="4">
        <v>414.41</v>
      </c>
    </row>
    <row r="1517" spans="5:8" x14ac:dyDescent="0.25">
      <c r="E1517" t="str">
        <f>"GV1202201058186"</f>
        <v>GV1202201058186</v>
      </c>
      <c r="F1517" t="str">
        <f t="shared" si="32"/>
        <v>GUARDIAN VISION</v>
      </c>
      <c r="G1517" t="str">
        <f t="shared" si="32"/>
        <v>GUARDIAN VISION</v>
      </c>
      <c r="H1517" s="4">
        <v>5.6</v>
      </c>
    </row>
    <row r="1518" spans="5:8" x14ac:dyDescent="0.25">
      <c r="E1518" t="str">
        <f>"GV1202201198473"</f>
        <v>GV1202201198473</v>
      </c>
      <c r="F1518" t="str">
        <f t="shared" si="32"/>
        <v>GUARDIAN VISION</v>
      </c>
      <c r="G1518" t="str">
        <f t="shared" si="32"/>
        <v>GUARDIAN VISION</v>
      </c>
      <c r="H1518" s="4">
        <v>425.6</v>
      </c>
    </row>
    <row r="1519" spans="5:8" x14ac:dyDescent="0.25">
      <c r="E1519" t="str">
        <f>"GV1202201198474"</f>
        <v>GV1202201198474</v>
      </c>
      <c r="F1519" t="str">
        <f t="shared" si="32"/>
        <v>GUARDIAN VISION</v>
      </c>
      <c r="G1519" t="str">
        <f t="shared" si="32"/>
        <v>GUARDIAN VISION</v>
      </c>
      <c r="H1519" s="4">
        <v>5.6</v>
      </c>
    </row>
    <row r="1520" spans="5:8" x14ac:dyDescent="0.25">
      <c r="E1520" t="str">
        <f>"GVE202201058185"</f>
        <v>GVE202201058185</v>
      </c>
      <c r="F1520" t="str">
        <f t="shared" ref="F1520:G1523" si="33">"GUARDIAN VISION VENDOR"</f>
        <v>GUARDIAN VISION VENDOR</v>
      </c>
      <c r="G1520" t="str">
        <f t="shared" si="33"/>
        <v>GUARDIAN VISION VENDOR</v>
      </c>
      <c r="H1520" s="4">
        <v>649.44000000000005</v>
      </c>
    </row>
    <row r="1521" spans="5:8" x14ac:dyDescent="0.25">
      <c r="E1521" t="str">
        <f>"GVE202201058186"</f>
        <v>GVE202201058186</v>
      </c>
      <c r="F1521" t="str">
        <f t="shared" si="33"/>
        <v>GUARDIAN VISION VENDOR</v>
      </c>
      <c r="G1521" t="str">
        <f t="shared" si="33"/>
        <v>GUARDIAN VISION VENDOR</v>
      </c>
      <c r="H1521" s="4">
        <v>29.52</v>
      </c>
    </row>
    <row r="1522" spans="5:8" x14ac:dyDescent="0.25">
      <c r="E1522" t="str">
        <f>"GVE202201198473"</f>
        <v>GVE202201198473</v>
      </c>
      <c r="F1522" t="str">
        <f t="shared" si="33"/>
        <v>GUARDIAN VISION VENDOR</v>
      </c>
      <c r="G1522" t="str">
        <f t="shared" si="33"/>
        <v>GUARDIAN VISION VENDOR</v>
      </c>
      <c r="H1522" s="4">
        <v>649.44000000000005</v>
      </c>
    </row>
    <row r="1523" spans="5:8" x14ac:dyDescent="0.25">
      <c r="E1523" t="str">
        <f>"GVE202201198474"</f>
        <v>GVE202201198474</v>
      </c>
      <c r="F1523" t="str">
        <f t="shared" si="33"/>
        <v>GUARDIAN VISION VENDOR</v>
      </c>
      <c r="G1523" t="str">
        <f t="shared" si="33"/>
        <v>GUARDIAN VISION VENDOR</v>
      </c>
      <c r="H1523" s="4">
        <v>25.83</v>
      </c>
    </row>
    <row r="1524" spans="5:8" x14ac:dyDescent="0.25">
      <c r="E1524" t="str">
        <f>"GVF202201058185"</f>
        <v>GVF202201058185</v>
      </c>
      <c r="F1524" t="str">
        <f>"GUARDIAN VISION"</f>
        <v>GUARDIAN VISION</v>
      </c>
      <c r="G1524" t="str">
        <f>"GUARDIAN VISION"</f>
        <v>GUARDIAN VISION</v>
      </c>
      <c r="H1524" s="4">
        <v>581.15</v>
      </c>
    </row>
    <row r="1525" spans="5:8" x14ac:dyDescent="0.25">
      <c r="E1525" t="str">
        <f>"GVF202201058186"</f>
        <v>GVF202201058186</v>
      </c>
      <c r="F1525" t="str">
        <f>"GUARDIAN VISION VENDOR"</f>
        <v>GUARDIAN VISION VENDOR</v>
      </c>
      <c r="G1525" t="str">
        <f>"GUARDIAN VISION VENDOR"</f>
        <v>GUARDIAN VISION VENDOR</v>
      </c>
      <c r="H1525" s="4">
        <v>29.55</v>
      </c>
    </row>
    <row r="1526" spans="5:8" x14ac:dyDescent="0.25">
      <c r="E1526" t="str">
        <f>"GVF202201198473"</f>
        <v>GVF202201198473</v>
      </c>
      <c r="F1526" t="str">
        <f>"GUARDIAN VISION"</f>
        <v>GUARDIAN VISION</v>
      </c>
      <c r="G1526" t="str">
        <f>"GUARDIAN VISION"</f>
        <v>GUARDIAN VISION</v>
      </c>
      <c r="H1526" s="4">
        <v>581.15</v>
      </c>
    </row>
    <row r="1527" spans="5:8" x14ac:dyDescent="0.25">
      <c r="E1527" t="str">
        <f>"GVF202201198474"</f>
        <v>GVF202201198474</v>
      </c>
      <c r="F1527" t="str">
        <f>"GUARDIAN VISION VENDOR"</f>
        <v>GUARDIAN VISION VENDOR</v>
      </c>
      <c r="G1527" t="str">
        <f>"GUARDIAN VISION VENDOR"</f>
        <v>GUARDIAN VISION VENDOR</v>
      </c>
      <c r="H1527" s="4">
        <v>29.55</v>
      </c>
    </row>
    <row r="1528" spans="5:8" x14ac:dyDescent="0.25">
      <c r="E1528" t="str">
        <f>"LIA202201058185"</f>
        <v>LIA202201058185</v>
      </c>
      <c r="F1528" t="str">
        <f>"GUARDIAN"</f>
        <v>GUARDIAN</v>
      </c>
      <c r="G1528" t="str">
        <f t="shared" ref="G1528:G1591" si="34">"GUARDIAN"</f>
        <v>GUARDIAN</v>
      </c>
      <c r="H1528" s="4">
        <v>0.86</v>
      </c>
    </row>
    <row r="1529" spans="5:8" x14ac:dyDescent="0.25">
      <c r="E1529" t="str">
        <f>""</f>
        <v/>
      </c>
      <c r="F1529" t="str">
        <f>""</f>
        <v/>
      </c>
      <c r="G1529" t="str">
        <f t="shared" si="34"/>
        <v>GUARDIAN</v>
      </c>
      <c r="H1529" s="4">
        <v>0.74</v>
      </c>
    </row>
    <row r="1530" spans="5:8" x14ac:dyDescent="0.25">
      <c r="E1530" t="str">
        <f>""</f>
        <v/>
      </c>
      <c r="F1530" t="str">
        <f>""</f>
        <v/>
      </c>
      <c r="G1530" t="str">
        <f t="shared" si="34"/>
        <v>GUARDIAN</v>
      </c>
      <c r="H1530" s="4">
        <v>1.4</v>
      </c>
    </row>
    <row r="1531" spans="5:8" x14ac:dyDescent="0.25">
      <c r="E1531" t="str">
        <f>""</f>
        <v/>
      </c>
      <c r="F1531" t="str">
        <f>""</f>
        <v/>
      </c>
      <c r="G1531" t="str">
        <f t="shared" si="34"/>
        <v>GUARDIAN</v>
      </c>
      <c r="H1531" s="4">
        <v>1.4</v>
      </c>
    </row>
    <row r="1532" spans="5:8" x14ac:dyDescent="0.25">
      <c r="E1532" t="str">
        <f>""</f>
        <v/>
      </c>
      <c r="F1532" t="str">
        <f>""</f>
        <v/>
      </c>
      <c r="G1532" t="str">
        <f t="shared" si="34"/>
        <v>GUARDIAN</v>
      </c>
      <c r="H1532" s="4">
        <v>6.46</v>
      </c>
    </row>
    <row r="1533" spans="5:8" x14ac:dyDescent="0.25">
      <c r="E1533" t="str">
        <f>""</f>
        <v/>
      </c>
      <c r="F1533" t="str">
        <f>""</f>
        <v/>
      </c>
      <c r="G1533" t="str">
        <f t="shared" si="34"/>
        <v>GUARDIAN</v>
      </c>
      <c r="H1533" s="4">
        <v>0.54</v>
      </c>
    </row>
    <row r="1534" spans="5:8" x14ac:dyDescent="0.25">
      <c r="E1534" t="str">
        <f>""</f>
        <v/>
      </c>
      <c r="F1534" t="str">
        <f>""</f>
        <v/>
      </c>
      <c r="G1534" t="str">
        <f t="shared" si="34"/>
        <v>GUARDIAN</v>
      </c>
      <c r="H1534" s="4">
        <v>2.73</v>
      </c>
    </row>
    <row r="1535" spans="5:8" x14ac:dyDescent="0.25">
      <c r="E1535" t="str">
        <f>""</f>
        <v/>
      </c>
      <c r="F1535" t="str">
        <f>""</f>
        <v/>
      </c>
      <c r="G1535" t="str">
        <f t="shared" si="34"/>
        <v>GUARDIAN</v>
      </c>
      <c r="H1535" s="4">
        <v>0.86</v>
      </c>
    </row>
    <row r="1536" spans="5:8" x14ac:dyDescent="0.25">
      <c r="E1536" t="str">
        <f>""</f>
        <v/>
      </c>
      <c r="F1536" t="str">
        <f>""</f>
        <v/>
      </c>
      <c r="G1536" t="str">
        <f t="shared" si="34"/>
        <v>GUARDIAN</v>
      </c>
      <c r="H1536" s="4">
        <v>1.4</v>
      </c>
    </row>
    <row r="1537" spans="5:8" x14ac:dyDescent="0.25">
      <c r="E1537" t="str">
        <f>""</f>
        <v/>
      </c>
      <c r="F1537" t="str">
        <f>""</f>
        <v/>
      </c>
      <c r="G1537" t="str">
        <f t="shared" si="34"/>
        <v>GUARDIAN</v>
      </c>
      <c r="H1537" s="4">
        <v>1.4</v>
      </c>
    </row>
    <row r="1538" spans="5:8" x14ac:dyDescent="0.25">
      <c r="E1538" t="str">
        <f>""</f>
        <v/>
      </c>
      <c r="F1538" t="str">
        <f>""</f>
        <v/>
      </c>
      <c r="G1538" t="str">
        <f t="shared" si="34"/>
        <v>GUARDIAN</v>
      </c>
      <c r="H1538" s="4">
        <v>0.22</v>
      </c>
    </row>
    <row r="1539" spans="5:8" x14ac:dyDescent="0.25">
      <c r="E1539" t="str">
        <f>""</f>
        <v/>
      </c>
      <c r="F1539" t="str">
        <f>""</f>
        <v/>
      </c>
      <c r="G1539" t="str">
        <f t="shared" si="34"/>
        <v>GUARDIAN</v>
      </c>
      <c r="H1539" s="4">
        <v>0.54</v>
      </c>
    </row>
    <row r="1540" spans="5:8" x14ac:dyDescent="0.25">
      <c r="E1540" t="str">
        <f>""</f>
        <v/>
      </c>
      <c r="F1540" t="str">
        <f>""</f>
        <v/>
      </c>
      <c r="G1540" t="str">
        <f t="shared" si="34"/>
        <v>GUARDIAN</v>
      </c>
      <c r="H1540" s="4">
        <v>0.86</v>
      </c>
    </row>
    <row r="1541" spans="5:8" x14ac:dyDescent="0.25">
      <c r="E1541" t="str">
        <f>""</f>
        <v/>
      </c>
      <c r="F1541" t="str">
        <f>""</f>
        <v/>
      </c>
      <c r="G1541" t="str">
        <f t="shared" si="34"/>
        <v>GUARDIAN</v>
      </c>
      <c r="H1541" s="4">
        <v>3.13</v>
      </c>
    </row>
    <row r="1542" spans="5:8" x14ac:dyDescent="0.25">
      <c r="E1542" t="str">
        <f>""</f>
        <v/>
      </c>
      <c r="F1542" t="str">
        <f>""</f>
        <v/>
      </c>
      <c r="G1542" t="str">
        <f t="shared" si="34"/>
        <v>GUARDIAN</v>
      </c>
      <c r="H1542" s="4">
        <v>0.11</v>
      </c>
    </row>
    <row r="1543" spans="5:8" x14ac:dyDescent="0.25">
      <c r="E1543" t="str">
        <f>""</f>
        <v/>
      </c>
      <c r="F1543" t="str">
        <f>""</f>
        <v/>
      </c>
      <c r="G1543" t="str">
        <f t="shared" si="34"/>
        <v>GUARDIAN</v>
      </c>
      <c r="H1543" s="4">
        <v>0.49</v>
      </c>
    </row>
    <row r="1544" spans="5:8" x14ac:dyDescent="0.25">
      <c r="E1544" t="str">
        <f>""</f>
        <v/>
      </c>
      <c r="F1544" t="str">
        <f>""</f>
        <v/>
      </c>
      <c r="G1544" t="str">
        <f t="shared" si="34"/>
        <v>GUARDIAN</v>
      </c>
      <c r="H1544" s="4">
        <v>3.29</v>
      </c>
    </row>
    <row r="1545" spans="5:8" x14ac:dyDescent="0.25">
      <c r="E1545" t="str">
        <f>""</f>
        <v/>
      </c>
      <c r="F1545" t="str">
        <f>""</f>
        <v/>
      </c>
      <c r="G1545" t="str">
        <f t="shared" si="34"/>
        <v>GUARDIAN</v>
      </c>
      <c r="H1545" s="4">
        <v>0.75</v>
      </c>
    </row>
    <row r="1546" spans="5:8" x14ac:dyDescent="0.25">
      <c r="E1546" t="str">
        <f>""</f>
        <v/>
      </c>
      <c r="F1546" t="str">
        <f>""</f>
        <v/>
      </c>
      <c r="G1546" t="str">
        <f t="shared" si="34"/>
        <v>GUARDIAN</v>
      </c>
      <c r="H1546" s="4">
        <v>7.0000000000000007E-2</v>
      </c>
    </row>
    <row r="1547" spans="5:8" x14ac:dyDescent="0.25">
      <c r="E1547" t="str">
        <f>""</f>
        <v/>
      </c>
      <c r="F1547" t="str">
        <f>""</f>
        <v/>
      </c>
      <c r="G1547" t="str">
        <f t="shared" si="34"/>
        <v>GUARDIAN</v>
      </c>
      <c r="H1547" s="4">
        <v>265.82</v>
      </c>
    </row>
    <row r="1548" spans="5:8" x14ac:dyDescent="0.25">
      <c r="E1548" t="str">
        <f>"LIA202201058186"</f>
        <v>LIA202201058186</v>
      </c>
      <c r="F1548" t="str">
        <f>"GUARDIAN"</f>
        <v>GUARDIAN</v>
      </c>
      <c r="G1548" t="str">
        <f t="shared" si="34"/>
        <v>GUARDIAN</v>
      </c>
      <c r="H1548" s="4">
        <v>1.4</v>
      </c>
    </row>
    <row r="1549" spans="5:8" x14ac:dyDescent="0.25">
      <c r="E1549" t="str">
        <f>""</f>
        <v/>
      </c>
      <c r="F1549" t="str">
        <f>""</f>
        <v/>
      </c>
      <c r="G1549" t="str">
        <f t="shared" si="34"/>
        <v>GUARDIAN</v>
      </c>
      <c r="H1549" s="4">
        <v>39.590000000000003</v>
      </c>
    </row>
    <row r="1550" spans="5:8" x14ac:dyDescent="0.25">
      <c r="E1550" t="str">
        <f>"LIA202201198473"</f>
        <v>LIA202201198473</v>
      </c>
      <c r="F1550" t="str">
        <f>"GUARDIAN"</f>
        <v>GUARDIAN</v>
      </c>
      <c r="G1550" t="str">
        <f t="shared" si="34"/>
        <v>GUARDIAN</v>
      </c>
      <c r="H1550" s="4">
        <v>0.86</v>
      </c>
    </row>
    <row r="1551" spans="5:8" x14ac:dyDescent="0.25">
      <c r="E1551" t="str">
        <f>""</f>
        <v/>
      </c>
      <c r="F1551" t="str">
        <f>""</f>
        <v/>
      </c>
      <c r="G1551" t="str">
        <f t="shared" si="34"/>
        <v>GUARDIAN</v>
      </c>
      <c r="H1551" s="4">
        <v>0.74</v>
      </c>
    </row>
    <row r="1552" spans="5:8" x14ac:dyDescent="0.25">
      <c r="E1552" t="str">
        <f>""</f>
        <v/>
      </c>
      <c r="F1552" t="str">
        <f>""</f>
        <v/>
      </c>
      <c r="G1552" t="str">
        <f t="shared" si="34"/>
        <v>GUARDIAN</v>
      </c>
      <c r="H1552" s="4">
        <v>1.4</v>
      </c>
    </row>
    <row r="1553" spans="5:8" x14ac:dyDescent="0.25">
      <c r="E1553" t="str">
        <f>""</f>
        <v/>
      </c>
      <c r="F1553" t="str">
        <f>""</f>
        <v/>
      </c>
      <c r="G1553" t="str">
        <f t="shared" si="34"/>
        <v>GUARDIAN</v>
      </c>
      <c r="H1553" s="4">
        <v>1.4</v>
      </c>
    </row>
    <row r="1554" spans="5:8" x14ac:dyDescent="0.25">
      <c r="E1554" t="str">
        <f>""</f>
        <v/>
      </c>
      <c r="F1554" t="str">
        <f>""</f>
        <v/>
      </c>
      <c r="G1554" t="str">
        <f t="shared" si="34"/>
        <v>GUARDIAN</v>
      </c>
      <c r="H1554" s="4">
        <v>6.46</v>
      </c>
    </row>
    <row r="1555" spans="5:8" x14ac:dyDescent="0.25">
      <c r="E1555" t="str">
        <f>""</f>
        <v/>
      </c>
      <c r="F1555" t="str">
        <f>""</f>
        <v/>
      </c>
      <c r="G1555" t="str">
        <f t="shared" si="34"/>
        <v>GUARDIAN</v>
      </c>
      <c r="H1555" s="4">
        <v>0.54</v>
      </c>
    </row>
    <row r="1556" spans="5:8" x14ac:dyDescent="0.25">
      <c r="E1556" t="str">
        <f>""</f>
        <v/>
      </c>
      <c r="F1556" t="str">
        <f>""</f>
        <v/>
      </c>
      <c r="G1556" t="str">
        <f t="shared" si="34"/>
        <v>GUARDIAN</v>
      </c>
      <c r="H1556" s="4">
        <v>2.73</v>
      </c>
    </row>
    <row r="1557" spans="5:8" x14ac:dyDescent="0.25">
      <c r="E1557" t="str">
        <f>""</f>
        <v/>
      </c>
      <c r="F1557" t="str">
        <f>""</f>
        <v/>
      </c>
      <c r="G1557" t="str">
        <f t="shared" si="34"/>
        <v>GUARDIAN</v>
      </c>
      <c r="H1557" s="4">
        <v>0.86</v>
      </c>
    </row>
    <row r="1558" spans="5:8" x14ac:dyDescent="0.25">
      <c r="E1558" t="str">
        <f>""</f>
        <v/>
      </c>
      <c r="F1558" t="str">
        <f>""</f>
        <v/>
      </c>
      <c r="G1558" t="str">
        <f t="shared" si="34"/>
        <v>GUARDIAN</v>
      </c>
      <c r="H1558" s="4">
        <v>1.4</v>
      </c>
    </row>
    <row r="1559" spans="5:8" x14ac:dyDescent="0.25">
      <c r="E1559" t="str">
        <f>""</f>
        <v/>
      </c>
      <c r="F1559" t="str">
        <f>""</f>
        <v/>
      </c>
      <c r="G1559" t="str">
        <f t="shared" si="34"/>
        <v>GUARDIAN</v>
      </c>
      <c r="H1559" s="4">
        <v>1.4</v>
      </c>
    </row>
    <row r="1560" spans="5:8" x14ac:dyDescent="0.25">
      <c r="E1560" t="str">
        <f>""</f>
        <v/>
      </c>
      <c r="F1560" t="str">
        <f>""</f>
        <v/>
      </c>
      <c r="G1560" t="str">
        <f t="shared" si="34"/>
        <v>GUARDIAN</v>
      </c>
      <c r="H1560" s="4">
        <v>0.22</v>
      </c>
    </row>
    <row r="1561" spans="5:8" x14ac:dyDescent="0.25">
      <c r="E1561" t="str">
        <f>""</f>
        <v/>
      </c>
      <c r="F1561" t="str">
        <f>""</f>
        <v/>
      </c>
      <c r="G1561" t="str">
        <f t="shared" si="34"/>
        <v>GUARDIAN</v>
      </c>
      <c r="H1561" s="4">
        <v>0.54</v>
      </c>
    </row>
    <row r="1562" spans="5:8" x14ac:dyDescent="0.25">
      <c r="E1562" t="str">
        <f>""</f>
        <v/>
      </c>
      <c r="F1562" t="str">
        <f>""</f>
        <v/>
      </c>
      <c r="G1562" t="str">
        <f t="shared" si="34"/>
        <v>GUARDIAN</v>
      </c>
      <c r="H1562" s="4">
        <v>0.86</v>
      </c>
    </row>
    <row r="1563" spans="5:8" x14ac:dyDescent="0.25">
      <c r="E1563" t="str">
        <f>""</f>
        <v/>
      </c>
      <c r="F1563" t="str">
        <f>""</f>
        <v/>
      </c>
      <c r="G1563" t="str">
        <f t="shared" si="34"/>
        <v>GUARDIAN</v>
      </c>
      <c r="H1563" s="4">
        <v>3.13</v>
      </c>
    </row>
    <row r="1564" spans="5:8" x14ac:dyDescent="0.25">
      <c r="E1564" t="str">
        <f>""</f>
        <v/>
      </c>
      <c r="F1564" t="str">
        <f>""</f>
        <v/>
      </c>
      <c r="G1564" t="str">
        <f t="shared" si="34"/>
        <v>GUARDIAN</v>
      </c>
      <c r="H1564" s="4">
        <v>0.11</v>
      </c>
    </row>
    <row r="1565" spans="5:8" x14ac:dyDescent="0.25">
      <c r="E1565" t="str">
        <f>""</f>
        <v/>
      </c>
      <c r="F1565" t="str">
        <f>""</f>
        <v/>
      </c>
      <c r="G1565" t="str">
        <f t="shared" si="34"/>
        <v>GUARDIAN</v>
      </c>
      <c r="H1565" s="4">
        <v>0.49</v>
      </c>
    </row>
    <row r="1566" spans="5:8" x14ac:dyDescent="0.25">
      <c r="E1566" t="str">
        <f>""</f>
        <v/>
      </c>
      <c r="F1566" t="str">
        <f>""</f>
        <v/>
      </c>
      <c r="G1566" t="str">
        <f t="shared" si="34"/>
        <v>GUARDIAN</v>
      </c>
      <c r="H1566" s="4">
        <v>3.29</v>
      </c>
    </row>
    <row r="1567" spans="5:8" x14ac:dyDescent="0.25">
      <c r="E1567" t="str">
        <f>""</f>
        <v/>
      </c>
      <c r="F1567" t="str">
        <f>""</f>
        <v/>
      </c>
      <c r="G1567" t="str">
        <f t="shared" si="34"/>
        <v>GUARDIAN</v>
      </c>
      <c r="H1567" s="4">
        <v>0.75</v>
      </c>
    </row>
    <row r="1568" spans="5:8" x14ac:dyDescent="0.25">
      <c r="E1568" t="str">
        <f>""</f>
        <v/>
      </c>
      <c r="F1568" t="str">
        <f>""</f>
        <v/>
      </c>
      <c r="G1568" t="str">
        <f t="shared" si="34"/>
        <v>GUARDIAN</v>
      </c>
      <c r="H1568" s="4">
        <v>7.0000000000000007E-2</v>
      </c>
    </row>
    <row r="1569" spans="5:8" x14ac:dyDescent="0.25">
      <c r="E1569" t="str">
        <f>""</f>
        <v/>
      </c>
      <c r="F1569" t="str">
        <f>""</f>
        <v/>
      </c>
      <c r="G1569" t="str">
        <f t="shared" si="34"/>
        <v>GUARDIAN</v>
      </c>
      <c r="H1569" s="4">
        <v>265.82</v>
      </c>
    </row>
    <row r="1570" spans="5:8" x14ac:dyDescent="0.25">
      <c r="E1570" t="str">
        <f>"LIA202201198474"</f>
        <v>LIA202201198474</v>
      </c>
      <c r="F1570" t="str">
        <f>"GUARDIAN"</f>
        <v>GUARDIAN</v>
      </c>
      <c r="G1570" t="str">
        <f t="shared" si="34"/>
        <v>GUARDIAN</v>
      </c>
      <c r="H1570" s="4">
        <v>1.4</v>
      </c>
    </row>
    <row r="1571" spans="5:8" x14ac:dyDescent="0.25">
      <c r="E1571" t="str">
        <f>""</f>
        <v/>
      </c>
      <c r="F1571" t="str">
        <f>""</f>
        <v/>
      </c>
      <c r="G1571" t="str">
        <f t="shared" si="34"/>
        <v>GUARDIAN</v>
      </c>
      <c r="H1571" s="4">
        <v>39.590000000000003</v>
      </c>
    </row>
    <row r="1572" spans="5:8" x14ac:dyDescent="0.25">
      <c r="E1572" t="str">
        <f>"LIC202201058185"</f>
        <v>LIC202201058185</v>
      </c>
      <c r="F1572" t="str">
        <f>"GUARDIAN"</f>
        <v>GUARDIAN</v>
      </c>
      <c r="G1572" t="str">
        <f t="shared" si="34"/>
        <v>GUARDIAN</v>
      </c>
      <c r="H1572" s="4">
        <v>33.880000000000003</v>
      </c>
    </row>
    <row r="1573" spans="5:8" x14ac:dyDescent="0.25">
      <c r="E1573" t="str">
        <f>"LIC202201058186"</f>
        <v>LIC202201058186</v>
      </c>
      <c r="F1573" t="str">
        <f>"GUARDIAN"</f>
        <v>GUARDIAN</v>
      </c>
      <c r="G1573" t="str">
        <f t="shared" si="34"/>
        <v>GUARDIAN</v>
      </c>
      <c r="H1573" s="4">
        <v>0.7</v>
      </c>
    </row>
    <row r="1574" spans="5:8" x14ac:dyDescent="0.25">
      <c r="E1574" t="str">
        <f>"LIC202201198473"</f>
        <v>LIC202201198473</v>
      </c>
      <c r="F1574" t="str">
        <f>"GUARDIAN"</f>
        <v>GUARDIAN</v>
      </c>
      <c r="G1574" t="str">
        <f t="shared" si="34"/>
        <v>GUARDIAN</v>
      </c>
      <c r="H1574" s="4">
        <v>33.880000000000003</v>
      </c>
    </row>
    <row r="1575" spans="5:8" x14ac:dyDescent="0.25">
      <c r="E1575" t="str">
        <f>"LIC202201198474"</f>
        <v>LIC202201198474</v>
      </c>
      <c r="F1575" t="str">
        <f>"GUARDIAN"</f>
        <v>GUARDIAN</v>
      </c>
      <c r="G1575" t="str">
        <f t="shared" si="34"/>
        <v>GUARDIAN</v>
      </c>
      <c r="H1575" s="4">
        <v>0.7</v>
      </c>
    </row>
    <row r="1576" spans="5:8" x14ac:dyDescent="0.25">
      <c r="E1576" t="str">
        <f>"LIE202201058185"</f>
        <v>LIE202201058185</v>
      </c>
      <c r="F1576" t="str">
        <f>"GUARDIAN"</f>
        <v>GUARDIAN</v>
      </c>
      <c r="G1576" t="str">
        <f t="shared" si="34"/>
        <v>GUARDIAN</v>
      </c>
      <c r="H1576" s="4">
        <v>4.3</v>
      </c>
    </row>
    <row r="1577" spans="5:8" x14ac:dyDescent="0.25">
      <c r="E1577" t="str">
        <f>""</f>
        <v/>
      </c>
      <c r="F1577" t="str">
        <f>""</f>
        <v/>
      </c>
      <c r="G1577" t="str">
        <f t="shared" si="34"/>
        <v>GUARDIAN</v>
      </c>
      <c r="H1577" s="4">
        <v>1.88</v>
      </c>
    </row>
    <row r="1578" spans="5:8" x14ac:dyDescent="0.25">
      <c r="E1578" t="str">
        <f>""</f>
        <v/>
      </c>
      <c r="F1578" t="str">
        <f>""</f>
        <v/>
      </c>
      <c r="G1578" t="str">
        <f t="shared" si="34"/>
        <v>GUARDIAN</v>
      </c>
      <c r="H1578" s="4">
        <v>14.79</v>
      </c>
    </row>
    <row r="1579" spans="5:8" x14ac:dyDescent="0.25">
      <c r="E1579" t="str">
        <f>""</f>
        <v/>
      </c>
      <c r="F1579" t="str">
        <f>""</f>
        <v/>
      </c>
      <c r="G1579" t="str">
        <f t="shared" si="34"/>
        <v>GUARDIAN</v>
      </c>
      <c r="H1579" s="4">
        <v>6.45</v>
      </c>
    </row>
    <row r="1580" spans="5:8" x14ac:dyDescent="0.25">
      <c r="E1580" t="str">
        <f>""</f>
        <v/>
      </c>
      <c r="F1580" t="str">
        <f>""</f>
        <v/>
      </c>
      <c r="G1580" t="str">
        <f t="shared" si="34"/>
        <v>GUARDIAN</v>
      </c>
      <c r="H1580" s="4">
        <v>2.15</v>
      </c>
    </row>
    <row r="1581" spans="5:8" x14ac:dyDescent="0.25">
      <c r="E1581" t="str">
        <f>""</f>
        <v/>
      </c>
      <c r="F1581" t="str">
        <f>""</f>
        <v/>
      </c>
      <c r="G1581" t="str">
        <f t="shared" si="34"/>
        <v>GUARDIAN</v>
      </c>
      <c r="H1581" s="4">
        <v>15.05</v>
      </c>
    </row>
    <row r="1582" spans="5:8" x14ac:dyDescent="0.25">
      <c r="E1582" t="str">
        <f>""</f>
        <v/>
      </c>
      <c r="F1582" t="str">
        <f>""</f>
        <v/>
      </c>
      <c r="G1582" t="str">
        <f t="shared" si="34"/>
        <v>GUARDIAN</v>
      </c>
      <c r="H1582" s="4">
        <v>40.85</v>
      </c>
    </row>
    <row r="1583" spans="5:8" x14ac:dyDescent="0.25">
      <c r="E1583" t="str">
        <f>""</f>
        <v/>
      </c>
      <c r="F1583" t="str">
        <f>""</f>
        <v/>
      </c>
      <c r="G1583" t="str">
        <f t="shared" si="34"/>
        <v>GUARDIAN</v>
      </c>
      <c r="H1583" s="4">
        <v>6.14</v>
      </c>
    </row>
    <row r="1584" spans="5:8" x14ac:dyDescent="0.25">
      <c r="E1584" t="str">
        <f>""</f>
        <v/>
      </c>
      <c r="F1584" t="str">
        <f>""</f>
        <v/>
      </c>
      <c r="G1584" t="str">
        <f t="shared" si="34"/>
        <v>GUARDIAN</v>
      </c>
      <c r="H1584" s="4">
        <v>10.75</v>
      </c>
    </row>
    <row r="1585" spans="5:8" x14ac:dyDescent="0.25">
      <c r="E1585" t="str">
        <f>""</f>
        <v/>
      </c>
      <c r="F1585" t="str">
        <f>""</f>
        <v/>
      </c>
      <c r="G1585" t="str">
        <f t="shared" si="34"/>
        <v>GUARDIAN</v>
      </c>
      <c r="H1585" s="4">
        <v>23.65</v>
      </c>
    </row>
    <row r="1586" spans="5:8" x14ac:dyDescent="0.25">
      <c r="E1586" t="str">
        <f>""</f>
        <v/>
      </c>
      <c r="F1586" t="str">
        <f>""</f>
        <v/>
      </c>
      <c r="G1586" t="str">
        <f t="shared" si="34"/>
        <v>GUARDIAN</v>
      </c>
      <c r="H1586" s="4">
        <v>8.6</v>
      </c>
    </row>
    <row r="1587" spans="5:8" x14ac:dyDescent="0.25">
      <c r="E1587" t="str">
        <f>""</f>
        <v/>
      </c>
      <c r="F1587" t="str">
        <f>""</f>
        <v/>
      </c>
      <c r="G1587" t="str">
        <f t="shared" si="34"/>
        <v>GUARDIAN</v>
      </c>
      <c r="H1587" s="4">
        <v>8.6</v>
      </c>
    </row>
    <row r="1588" spans="5:8" x14ac:dyDescent="0.25">
      <c r="E1588" t="str">
        <f>""</f>
        <v/>
      </c>
      <c r="F1588" t="str">
        <f>""</f>
        <v/>
      </c>
      <c r="G1588" t="str">
        <f t="shared" si="34"/>
        <v>GUARDIAN</v>
      </c>
      <c r="H1588" s="4">
        <v>6.45</v>
      </c>
    </row>
    <row r="1589" spans="5:8" x14ac:dyDescent="0.25">
      <c r="E1589" t="str">
        <f>""</f>
        <v/>
      </c>
      <c r="F1589" t="str">
        <f>""</f>
        <v/>
      </c>
      <c r="G1589" t="str">
        <f t="shared" si="34"/>
        <v>GUARDIAN</v>
      </c>
      <c r="H1589" s="4">
        <v>6.45</v>
      </c>
    </row>
    <row r="1590" spans="5:8" x14ac:dyDescent="0.25">
      <c r="E1590" t="str">
        <f>""</f>
        <v/>
      </c>
      <c r="F1590" t="str">
        <f>""</f>
        <v/>
      </c>
      <c r="G1590" t="str">
        <f t="shared" si="34"/>
        <v>GUARDIAN</v>
      </c>
      <c r="H1590" s="4">
        <v>4.3</v>
      </c>
    </row>
    <row r="1591" spans="5:8" x14ac:dyDescent="0.25">
      <c r="E1591" t="str">
        <f>""</f>
        <v/>
      </c>
      <c r="F1591" t="str">
        <f>""</f>
        <v/>
      </c>
      <c r="G1591" t="str">
        <f t="shared" si="34"/>
        <v>GUARDIAN</v>
      </c>
      <c r="H1591" s="4">
        <v>31.99</v>
      </c>
    </row>
    <row r="1592" spans="5:8" x14ac:dyDescent="0.25">
      <c r="E1592" t="str">
        <f>""</f>
        <v/>
      </c>
      <c r="F1592" t="str">
        <f>""</f>
        <v/>
      </c>
      <c r="G1592" t="str">
        <f t="shared" ref="G1592:G1655" si="35">"GUARDIAN"</f>
        <v>GUARDIAN</v>
      </c>
      <c r="H1592" s="4">
        <v>17.2</v>
      </c>
    </row>
    <row r="1593" spans="5:8" x14ac:dyDescent="0.25">
      <c r="E1593" t="str">
        <f>""</f>
        <v/>
      </c>
      <c r="F1593" t="str">
        <f>""</f>
        <v/>
      </c>
      <c r="G1593" t="str">
        <f t="shared" si="35"/>
        <v>GUARDIAN</v>
      </c>
      <c r="H1593" s="4">
        <v>8.6</v>
      </c>
    </row>
    <row r="1594" spans="5:8" x14ac:dyDescent="0.25">
      <c r="E1594" t="str">
        <f>""</f>
        <v/>
      </c>
      <c r="F1594" t="str">
        <f>""</f>
        <v/>
      </c>
      <c r="G1594" t="str">
        <f t="shared" si="35"/>
        <v>GUARDIAN</v>
      </c>
      <c r="H1594" s="4">
        <v>8.6</v>
      </c>
    </row>
    <row r="1595" spans="5:8" x14ac:dyDescent="0.25">
      <c r="E1595" t="str">
        <f>""</f>
        <v/>
      </c>
      <c r="F1595" t="str">
        <f>""</f>
        <v/>
      </c>
      <c r="G1595" t="str">
        <f t="shared" si="35"/>
        <v>GUARDIAN</v>
      </c>
      <c r="H1595" s="4">
        <v>32.25</v>
      </c>
    </row>
    <row r="1596" spans="5:8" x14ac:dyDescent="0.25">
      <c r="E1596" t="str">
        <f>""</f>
        <v/>
      </c>
      <c r="F1596" t="str">
        <f>""</f>
        <v/>
      </c>
      <c r="G1596" t="str">
        <f t="shared" si="35"/>
        <v>GUARDIAN</v>
      </c>
      <c r="H1596" s="4">
        <v>10.75</v>
      </c>
    </row>
    <row r="1597" spans="5:8" x14ac:dyDescent="0.25">
      <c r="E1597" t="str">
        <f>""</f>
        <v/>
      </c>
      <c r="F1597" t="str">
        <f>""</f>
        <v/>
      </c>
      <c r="G1597" t="str">
        <f t="shared" si="35"/>
        <v>GUARDIAN</v>
      </c>
      <c r="H1597" s="4">
        <v>23.65</v>
      </c>
    </row>
    <row r="1598" spans="5:8" x14ac:dyDescent="0.25">
      <c r="E1598" t="str">
        <f>""</f>
        <v/>
      </c>
      <c r="F1598" t="str">
        <f>""</f>
        <v/>
      </c>
      <c r="G1598" t="str">
        <f t="shared" si="35"/>
        <v>GUARDIAN</v>
      </c>
      <c r="H1598" s="4">
        <v>27.95</v>
      </c>
    </row>
    <row r="1599" spans="5:8" x14ac:dyDescent="0.25">
      <c r="E1599" t="str">
        <f>""</f>
        <v/>
      </c>
      <c r="F1599" t="str">
        <f>""</f>
        <v/>
      </c>
      <c r="G1599" t="str">
        <f t="shared" si="35"/>
        <v>GUARDIAN</v>
      </c>
      <c r="H1599" s="4">
        <v>40.880000000000003</v>
      </c>
    </row>
    <row r="1600" spans="5:8" x14ac:dyDescent="0.25">
      <c r="E1600" t="str">
        <f>""</f>
        <v/>
      </c>
      <c r="F1600" t="str">
        <f>""</f>
        <v/>
      </c>
      <c r="G1600" t="str">
        <f t="shared" si="35"/>
        <v>GUARDIAN</v>
      </c>
      <c r="H1600" s="4">
        <v>2.15</v>
      </c>
    </row>
    <row r="1601" spans="5:8" x14ac:dyDescent="0.25">
      <c r="E1601" t="str">
        <f>""</f>
        <v/>
      </c>
      <c r="F1601" t="str">
        <f>""</f>
        <v/>
      </c>
      <c r="G1601" t="str">
        <f t="shared" si="35"/>
        <v>GUARDIAN</v>
      </c>
      <c r="H1601" s="4">
        <v>2.15</v>
      </c>
    </row>
    <row r="1602" spans="5:8" x14ac:dyDescent="0.25">
      <c r="E1602" t="str">
        <f>""</f>
        <v/>
      </c>
      <c r="F1602" t="str">
        <f>""</f>
        <v/>
      </c>
      <c r="G1602" t="str">
        <f t="shared" si="35"/>
        <v>GUARDIAN</v>
      </c>
      <c r="H1602" s="4">
        <v>2.15</v>
      </c>
    </row>
    <row r="1603" spans="5:8" x14ac:dyDescent="0.25">
      <c r="E1603" t="str">
        <f>""</f>
        <v/>
      </c>
      <c r="F1603" t="str">
        <f>""</f>
        <v/>
      </c>
      <c r="G1603" t="str">
        <f t="shared" si="35"/>
        <v>GUARDIAN</v>
      </c>
      <c r="H1603" s="4">
        <v>198.39</v>
      </c>
    </row>
    <row r="1604" spans="5:8" x14ac:dyDescent="0.25">
      <c r="E1604" t="str">
        <f>""</f>
        <v/>
      </c>
      <c r="F1604" t="str">
        <f>""</f>
        <v/>
      </c>
      <c r="G1604" t="str">
        <f t="shared" si="35"/>
        <v>GUARDIAN</v>
      </c>
      <c r="H1604" s="4">
        <v>8.48</v>
      </c>
    </row>
    <row r="1605" spans="5:8" x14ac:dyDescent="0.25">
      <c r="E1605" t="str">
        <f>""</f>
        <v/>
      </c>
      <c r="F1605" t="str">
        <f>""</f>
        <v/>
      </c>
      <c r="G1605" t="str">
        <f t="shared" si="35"/>
        <v>GUARDIAN</v>
      </c>
      <c r="H1605" s="4">
        <v>190.89</v>
      </c>
    </row>
    <row r="1606" spans="5:8" x14ac:dyDescent="0.25">
      <c r="E1606" t="str">
        <f>""</f>
        <v/>
      </c>
      <c r="F1606" t="str">
        <f>""</f>
        <v/>
      </c>
      <c r="G1606" t="str">
        <f t="shared" si="35"/>
        <v>GUARDIAN</v>
      </c>
      <c r="H1606" s="4">
        <v>36.549999999999997</v>
      </c>
    </row>
    <row r="1607" spans="5:8" x14ac:dyDescent="0.25">
      <c r="E1607" t="str">
        <f>""</f>
        <v/>
      </c>
      <c r="F1607" t="str">
        <f>""</f>
        <v/>
      </c>
      <c r="G1607" t="str">
        <f t="shared" si="35"/>
        <v>GUARDIAN</v>
      </c>
      <c r="H1607" s="4">
        <v>2.15</v>
      </c>
    </row>
    <row r="1608" spans="5:8" x14ac:dyDescent="0.25">
      <c r="E1608" t="str">
        <f>""</f>
        <v/>
      </c>
      <c r="F1608" t="str">
        <f>""</f>
        <v/>
      </c>
      <c r="G1608" t="str">
        <f t="shared" si="35"/>
        <v>GUARDIAN</v>
      </c>
      <c r="H1608" s="4">
        <v>10.75</v>
      </c>
    </row>
    <row r="1609" spans="5:8" x14ac:dyDescent="0.25">
      <c r="E1609" t="str">
        <f>""</f>
        <v/>
      </c>
      <c r="F1609" t="str">
        <f>""</f>
        <v/>
      </c>
      <c r="G1609" t="str">
        <f t="shared" si="35"/>
        <v>GUARDIAN</v>
      </c>
      <c r="H1609" s="4">
        <v>0.26</v>
      </c>
    </row>
    <row r="1610" spans="5:8" x14ac:dyDescent="0.25">
      <c r="E1610" t="str">
        <f>""</f>
        <v/>
      </c>
      <c r="F1610" t="str">
        <f>""</f>
        <v/>
      </c>
      <c r="G1610" t="str">
        <f t="shared" si="35"/>
        <v>GUARDIAN</v>
      </c>
      <c r="H1610" s="4">
        <v>4.3</v>
      </c>
    </row>
    <row r="1611" spans="5:8" x14ac:dyDescent="0.25">
      <c r="E1611" t="str">
        <f>""</f>
        <v/>
      </c>
      <c r="F1611" t="str">
        <f>""</f>
        <v/>
      </c>
      <c r="G1611" t="str">
        <f t="shared" si="35"/>
        <v>GUARDIAN</v>
      </c>
      <c r="H1611" s="4">
        <v>2.15</v>
      </c>
    </row>
    <row r="1612" spans="5:8" x14ac:dyDescent="0.25">
      <c r="E1612" t="str">
        <f>""</f>
        <v/>
      </c>
      <c r="F1612" t="str">
        <f>""</f>
        <v/>
      </c>
      <c r="G1612" t="str">
        <f t="shared" si="35"/>
        <v>GUARDIAN</v>
      </c>
      <c r="H1612" s="4">
        <v>8.6</v>
      </c>
    </row>
    <row r="1613" spans="5:8" x14ac:dyDescent="0.25">
      <c r="E1613" t="str">
        <f>""</f>
        <v/>
      </c>
      <c r="F1613" t="str">
        <f>""</f>
        <v/>
      </c>
      <c r="G1613" t="str">
        <f t="shared" si="35"/>
        <v>GUARDIAN</v>
      </c>
      <c r="H1613" s="4">
        <v>4.3</v>
      </c>
    </row>
    <row r="1614" spans="5:8" x14ac:dyDescent="0.25">
      <c r="E1614" t="str">
        <f>""</f>
        <v/>
      </c>
      <c r="F1614" t="str">
        <f>""</f>
        <v/>
      </c>
      <c r="G1614" t="str">
        <f t="shared" si="35"/>
        <v>GUARDIAN</v>
      </c>
      <c r="H1614" s="4">
        <v>0.26</v>
      </c>
    </row>
    <row r="1615" spans="5:8" x14ac:dyDescent="0.25">
      <c r="E1615" t="str">
        <f>""</f>
        <v/>
      </c>
      <c r="F1615" t="str">
        <f>""</f>
        <v/>
      </c>
      <c r="G1615" t="str">
        <f t="shared" si="35"/>
        <v>GUARDIAN</v>
      </c>
      <c r="H1615" s="4">
        <v>24.18</v>
      </c>
    </row>
    <row r="1616" spans="5:8" x14ac:dyDescent="0.25">
      <c r="E1616" t="str">
        <f>""</f>
        <v/>
      </c>
      <c r="F1616" t="str">
        <f>""</f>
        <v/>
      </c>
      <c r="G1616" t="str">
        <f t="shared" si="35"/>
        <v>GUARDIAN</v>
      </c>
      <c r="H1616" s="4">
        <v>29.69</v>
      </c>
    </row>
    <row r="1617" spans="5:8" x14ac:dyDescent="0.25">
      <c r="E1617" t="str">
        <f>""</f>
        <v/>
      </c>
      <c r="F1617" t="str">
        <f>""</f>
        <v/>
      </c>
      <c r="G1617" t="str">
        <f t="shared" si="35"/>
        <v>GUARDIAN</v>
      </c>
      <c r="H1617" s="4">
        <v>29.69</v>
      </c>
    </row>
    <row r="1618" spans="5:8" x14ac:dyDescent="0.25">
      <c r="E1618" t="str">
        <f>""</f>
        <v/>
      </c>
      <c r="F1618" t="str">
        <f>""</f>
        <v/>
      </c>
      <c r="G1618" t="str">
        <f t="shared" si="35"/>
        <v>GUARDIAN</v>
      </c>
      <c r="H1618" s="4">
        <v>26.33</v>
      </c>
    </row>
    <row r="1619" spans="5:8" x14ac:dyDescent="0.25">
      <c r="E1619" t="str">
        <f>""</f>
        <v/>
      </c>
      <c r="F1619" t="str">
        <f>""</f>
        <v/>
      </c>
      <c r="G1619" t="str">
        <f t="shared" si="35"/>
        <v>GUARDIAN</v>
      </c>
      <c r="H1619" s="4">
        <v>1.89</v>
      </c>
    </row>
    <row r="1620" spans="5:8" x14ac:dyDescent="0.25">
      <c r="E1620" t="str">
        <f>""</f>
        <v/>
      </c>
      <c r="F1620" t="str">
        <f>""</f>
        <v/>
      </c>
      <c r="G1620" t="str">
        <f t="shared" si="35"/>
        <v>GUARDIAN</v>
      </c>
      <c r="H1620" s="4">
        <v>0.06</v>
      </c>
    </row>
    <row r="1621" spans="5:8" x14ac:dyDescent="0.25">
      <c r="E1621" t="str">
        <f>""</f>
        <v/>
      </c>
      <c r="F1621" t="str">
        <f>""</f>
        <v/>
      </c>
      <c r="G1621" t="str">
        <f t="shared" si="35"/>
        <v>GUARDIAN</v>
      </c>
      <c r="H1621" s="4">
        <v>0.2</v>
      </c>
    </row>
    <row r="1622" spans="5:8" x14ac:dyDescent="0.25">
      <c r="E1622" t="str">
        <f>""</f>
        <v/>
      </c>
      <c r="F1622" t="str">
        <f>""</f>
        <v/>
      </c>
      <c r="G1622" t="str">
        <f t="shared" si="35"/>
        <v>GUARDIAN</v>
      </c>
      <c r="H1622" s="4">
        <v>0.31</v>
      </c>
    </row>
    <row r="1623" spans="5:8" x14ac:dyDescent="0.25">
      <c r="E1623" t="str">
        <f>""</f>
        <v/>
      </c>
      <c r="F1623" t="str">
        <f>""</f>
        <v/>
      </c>
      <c r="G1623" t="str">
        <f t="shared" si="35"/>
        <v>GUARDIAN</v>
      </c>
      <c r="H1623" s="4">
        <v>2.14</v>
      </c>
    </row>
    <row r="1624" spans="5:8" x14ac:dyDescent="0.25">
      <c r="E1624" t="str">
        <f>""</f>
        <v/>
      </c>
      <c r="F1624" t="str">
        <f>""</f>
        <v/>
      </c>
      <c r="G1624" t="str">
        <f t="shared" si="35"/>
        <v>GUARDIAN</v>
      </c>
      <c r="H1624" s="4">
        <v>2759.02</v>
      </c>
    </row>
    <row r="1625" spans="5:8" x14ac:dyDescent="0.25">
      <c r="E1625" t="str">
        <f>"LIE202201058186"</f>
        <v>LIE202201058186</v>
      </c>
      <c r="F1625" t="str">
        <f>"GUARDIAN"</f>
        <v>GUARDIAN</v>
      </c>
      <c r="G1625" t="str">
        <f t="shared" si="35"/>
        <v>GUARDIAN</v>
      </c>
      <c r="H1625" s="4">
        <v>30.1</v>
      </c>
    </row>
    <row r="1626" spans="5:8" x14ac:dyDescent="0.25">
      <c r="E1626" t="str">
        <f>""</f>
        <v/>
      </c>
      <c r="F1626" t="str">
        <f>""</f>
        <v/>
      </c>
      <c r="G1626" t="str">
        <f t="shared" si="35"/>
        <v>GUARDIAN</v>
      </c>
      <c r="H1626" s="4">
        <v>40</v>
      </c>
    </row>
    <row r="1627" spans="5:8" x14ac:dyDescent="0.25">
      <c r="E1627" t="str">
        <f>"LIE202201198473"</f>
        <v>LIE202201198473</v>
      </c>
      <c r="F1627" t="str">
        <f>"GUARDIAN"</f>
        <v>GUARDIAN</v>
      </c>
      <c r="G1627" t="str">
        <f t="shared" si="35"/>
        <v>GUARDIAN</v>
      </c>
      <c r="H1627" s="4">
        <v>4.3</v>
      </c>
    </row>
    <row r="1628" spans="5:8" x14ac:dyDescent="0.25">
      <c r="E1628" t="str">
        <f>""</f>
        <v/>
      </c>
      <c r="F1628" t="str">
        <f>""</f>
        <v/>
      </c>
      <c r="G1628" t="str">
        <f t="shared" si="35"/>
        <v>GUARDIAN</v>
      </c>
      <c r="H1628" s="4">
        <v>1.88</v>
      </c>
    </row>
    <row r="1629" spans="5:8" x14ac:dyDescent="0.25">
      <c r="E1629" t="str">
        <f>""</f>
        <v/>
      </c>
      <c r="F1629" t="str">
        <f>""</f>
        <v/>
      </c>
      <c r="G1629" t="str">
        <f t="shared" si="35"/>
        <v>GUARDIAN</v>
      </c>
      <c r="H1629" s="4">
        <v>14.79</v>
      </c>
    </row>
    <row r="1630" spans="5:8" x14ac:dyDescent="0.25">
      <c r="E1630" t="str">
        <f>""</f>
        <v/>
      </c>
      <c r="F1630" t="str">
        <f>""</f>
        <v/>
      </c>
      <c r="G1630" t="str">
        <f t="shared" si="35"/>
        <v>GUARDIAN</v>
      </c>
      <c r="H1630" s="4">
        <v>6.45</v>
      </c>
    </row>
    <row r="1631" spans="5:8" x14ac:dyDescent="0.25">
      <c r="E1631" t="str">
        <f>""</f>
        <v/>
      </c>
      <c r="F1631" t="str">
        <f>""</f>
        <v/>
      </c>
      <c r="G1631" t="str">
        <f t="shared" si="35"/>
        <v>GUARDIAN</v>
      </c>
      <c r="H1631" s="4">
        <v>2.15</v>
      </c>
    </row>
    <row r="1632" spans="5:8" x14ac:dyDescent="0.25">
      <c r="E1632" t="str">
        <f>""</f>
        <v/>
      </c>
      <c r="F1632" t="str">
        <f>""</f>
        <v/>
      </c>
      <c r="G1632" t="str">
        <f t="shared" si="35"/>
        <v>GUARDIAN</v>
      </c>
      <c r="H1632" s="4">
        <v>12.9</v>
      </c>
    </row>
    <row r="1633" spans="5:8" x14ac:dyDescent="0.25">
      <c r="E1633" t="str">
        <f>""</f>
        <v/>
      </c>
      <c r="F1633" t="str">
        <f>""</f>
        <v/>
      </c>
      <c r="G1633" t="str">
        <f t="shared" si="35"/>
        <v>GUARDIAN</v>
      </c>
      <c r="H1633" s="4">
        <v>40.85</v>
      </c>
    </row>
    <row r="1634" spans="5:8" x14ac:dyDescent="0.25">
      <c r="E1634" t="str">
        <f>""</f>
        <v/>
      </c>
      <c r="F1634" t="str">
        <f>""</f>
        <v/>
      </c>
      <c r="G1634" t="str">
        <f t="shared" si="35"/>
        <v>GUARDIAN</v>
      </c>
      <c r="H1634" s="4">
        <v>6.14</v>
      </c>
    </row>
    <row r="1635" spans="5:8" x14ac:dyDescent="0.25">
      <c r="E1635" t="str">
        <f>""</f>
        <v/>
      </c>
      <c r="F1635" t="str">
        <f>""</f>
        <v/>
      </c>
      <c r="G1635" t="str">
        <f t="shared" si="35"/>
        <v>GUARDIAN</v>
      </c>
      <c r="H1635" s="4">
        <v>10.75</v>
      </c>
    </row>
    <row r="1636" spans="5:8" x14ac:dyDescent="0.25">
      <c r="E1636" t="str">
        <f>""</f>
        <v/>
      </c>
      <c r="F1636" t="str">
        <f>""</f>
        <v/>
      </c>
      <c r="G1636" t="str">
        <f t="shared" si="35"/>
        <v>GUARDIAN</v>
      </c>
      <c r="H1636" s="4">
        <v>23.65</v>
      </c>
    </row>
    <row r="1637" spans="5:8" x14ac:dyDescent="0.25">
      <c r="E1637" t="str">
        <f>""</f>
        <v/>
      </c>
      <c r="F1637" t="str">
        <f>""</f>
        <v/>
      </c>
      <c r="G1637" t="str">
        <f t="shared" si="35"/>
        <v>GUARDIAN</v>
      </c>
      <c r="H1637" s="4">
        <v>8.6</v>
      </c>
    </row>
    <row r="1638" spans="5:8" x14ac:dyDescent="0.25">
      <c r="E1638" t="str">
        <f>""</f>
        <v/>
      </c>
      <c r="F1638" t="str">
        <f>""</f>
        <v/>
      </c>
      <c r="G1638" t="str">
        <f t="shared" si="35"/>
        <v>GUARDIAN</v>
      </c>
      <c r="H1638" s="4">
        <v>8.6</v>
      </c>
    </row>
    <row r="1639" spans="5:8" x14ac:dyDescent="0.25">
      <c r="E1639" t="str">
        <f>""</f>
        <v/>
      </c>
      <c r="F1639" t="str">
        <f>""</f>
        <v/>
      </c>
      <c r="G1639" t="str">
        <f t="shared" si="35"/>
        <v>GUARDIAN</v>
      </c>
      <c r="H1639" s="4">
        <v>6.45</v>
      </c>
    </row>
    <row r="1640" spans="5:8" x14ac:dyDescent="0.25">
      <c r="E1640" t="str">
        <f>""</f>
        <v/>
      </c>
      <c r="F1640" t="str">
        <f>""</f>
        <v/>
      </c>
      <c r="G1640" t="str">
        <f t="shared" si="35"/>
        <v>GUARDIAN</v>
      </c>
      <c r="H1640" s="4">
        <v>6.45</v>
      </c>
    </row>
    <row r="1641" spans="5:8" x14ac:dyDescent="0.25">
      <c r="E1641" t="str">
        <f>""</f>
        <v/>
      </c>
      <c r="F1641" t="str">
        <f>""</f>
        <v/>
      </c>
      <c r="G1641" t="str">
        <f t="shared" si="35"/>
        <v>GUARDIAN</v>
      </c>
      <c r="H1641" s="4">
        <v>4.3</v>
      </c>
    </row>
    <row r="1642" spans="5:8" x14ac:dyDescent="0.25">
      <c r="E1642" t="str">
        <f>""</f>
        <v/>
      </c>
      <c r="F1642" t="str">
        <f>""</f>
        <v/>
      </c>
      <c r="G1642" t="str">
        <f t="shared" si="35"/>
        <v>GUARDIAN</v>
      </c>
      <c r="H1642" s="4">
        <v>31.99</v>
      </c>
    </row>
    <row r="1643" spans="5:8" x14ac:dyDescent="0.25">
      <c r="E1643" t="str">
        <f>""</f>
        <v/>
      </c>
      <c r="F1643" t="str">
        <f>""</f>
        <v/>
      </c>
      <c r="G1643" t="str">
        <f t="shared" si="35"/>
        <v>GUARDIAN</v>
      </c>
      <c r="H1643" s="4">
        <v>17.2</v>
      </c>
    </row>
    <row r="1644" spans="5:8" x14ac:dyDescent="0.25">
      <c r="E1644" t="str">
        <f>""</f>
        <v/>
      </c>
      <c r="F1644" t="str">
        <f>""</f>
        <v/>
      </c>
      <c r="G1644" t="str">
        <f t="shared" si="35"/>
        <v>GUARDIAN</v>
      </c>
      <c r="H1644" s="4">
        <v>8.6</v>
      </c>
    </row>
    <row r="1645" spans="5:8" x14ac:dyDescent="0.25">
      <c r="E1645" t="str">
        <f>""</f>
        <v/>
      </c>
      <c r="F1645" t="str">
        <f>""</f>
        <v/>
      </c>
      <c r="G1645" t="str">
        <f t="shared" si="35"/>
        <v>GUARDIAN</v>
      </c>
      <c r="H1645" s="4">
        <v>8.6</v>
      </c>
    </row>
    <row r="1646" spans="5:8" x14ac:dyDescent="0.25">
      <c r="E1646" t="str">
        <f>""</f>
        <v/>
      </c>
      <c r="F1646" t="str">
        <f>""</f>
        <v/>
      </c>
      <c r="G1646" t="str">
        <f t="shared" si="35"/>
        <v>GUARDIAN</v>
      </c>
      <c r="H1646" s="4">
        <v>30.26</v>
      </c>
    </row>
    <row r="1647" spans="5:8" x14ac:dyDescent="0.25">
      <c r="E1647" t="str">
        <f>""</f>
        <v/>
      </c>
      <c r="F1647" t="str">
        <f>""</f>
        <v/>
      </c>
      <c r="G1647" t="str">
        <f t="shared" si="35"/>
        <v>GUARDIAN</v>
      </c>
      <c r="H1647" s="4">
        <v>12.74</v>
      </c>
    </row>
    <row r="1648" spans="5:8" x14ac:dyDescent="0.25">
      <c r="E1648" t="str">
        <f>""</f>
        <v/>
      </c>
      <c r="F1648" t="str">
        <f>""</f>
        <v/>
      </c>
      <c r="G1648" t="str">
        <f t="shared" si="35"/>
        <v>GUARDIAN</v>
      </c>
      <c r="H1648" s="4">
        <v>23.65</v>
      </c>
    </row>
    <row r="1649" spans="5:8" x14ac:dyDescent="0.25">
      <c r="E1649" t="str">
        <f>""</f>
        <v/>
      </c>
      <c r="F1649" t="str">
        <f>""</f>
        <v/>
      </c>
      <c r="G1649" t="str">
        <f t="shared" si="35"/>
        <v>GUARDIAN</v>
      </c>
      <c r="H1649" s="4">
        <v>27.95</v>
      </c>
    </row>
    <row r="1650" spans="5:8" x14ac:dyDescent="0.25">
      <c r="E1650" t="str">
        <f>""</f>
        <v/>
      </c>
      <c r="F1650" t="str">
        <f>""</f>
        <v/>
      </c>
      <c r="G1650" t="str">
        <f t="shared" si="35"/>
        <v>GUARDIAN</v>
      </c>
      <c r="H1650" s="4">
        <v>40.880000000000003</v>
      </c>
    </row>
    <row r="1651" spans="5:8" x14ac:dyDescent="0.25">
      <c r="E1651" t="str">
        <f>""</f>
        <v/>
      </c>
      <c r="F1651" t="str">
        <f>""</f>
        <v/>
      </c>
      <c r="G1651" t="str">
        <f t="shared" si="35"/>
        <v>GUARDIAN</v>
      </c>
      <c r="H1651" s="4">
        <v>2.15</v>
      </c>
    </row>
    <row r="1652" spans="5:8" x14ac:dyDescent="0.25">
      <c r="E1652" t="str">
        <f>""</f>
        <v/>
      </c>
      <c r="F1652" t="str">
        <f>""</f>
        <v/>
      </c>
      <c r="G1652" t="str">
        <f t="shared" si="35"/>
        <v>GUARDIAN</v>
      </c>
      <c r="H1652" s="4">
        <v>2.15</v>
      </c>
    </row>
    <row r="1653" spans="5:8" x14ac:dyDescent="0.25">
      <c r="E1653" t="str">
        <f>""</f>
        <v/>
      </c>
      <c r="F1653" t="str">
        <f>""</f>
        <v/>
      </c>
      <c r="G1653" t="str">
        <f t="shared" si="35"/>
        <v>GUARDIAN</v>
      </c>
      <c r="H1653" s="4">
        <v>2.15</v>
      </c>
    </row>
    <row r="1654" spans="5:8" x14ac:dyDescent="0.25">
      <c r="E1654" t="str">
        <f>""</f>
        <v/>
      </c>
      <c r="F1654" t="str">
        <f>""</f>
        <v/>
      </c>
      <c r="G1654" t="str">
        <f t="shared" si="35"/>
        <v>GUARDIAN</v>
      </c>
      <c r="H1654" s="4">
        <v>198.4</v>
      </c>
    </row>
    <row r="1655" spans="5:8" x14ac:dyDescent="0.25">
      <c r="E1655" t="str">
        <f>""</f>
        <v/>
      </c>
      <c r="F1655" t="str">
        <f>""</f>
        <v/>
      </c>
      <c r="G1655" t="str">
        <f t="shared" si="35"/>
        <v>GUARDIAN</v>
      </c>
      <c r="H1655" s="4">
        <v>8.48</v>
      </c>
    </row>
    <row r="1656" spans="5:8" x14ac:dyDescent="0.25">
      <c r="E1656" t="str">
        <f>""</f>
        <v/>
      </c>
      <c r="F1656" t="str">
        <f>""</f>
        <v/>
      </c>
      <c r="G1656" t="str">
        <f t="shared" ref="G1656:G1683" si="36">"GUARDIAN"</f>
        <v>GUARDIAN</v>
      </c>
      <c r="H1656" s="4">
        <v>190.88</v>
      </c>
    </row>
    <row r="1657" spans="5:8" x14ac:dyDescent="0.25">
      <c r="E1657" t="str">
        <f>""</f>
        <v/>
      </c>
      <c r="F1657" t="str">
        <f>""</f>
        <v/>
      </c>
      <c r="G1657" t="str">
        <f t="shared" si="36"/>
        <v>GUARDIAN</v>
      </c>
      <c r="H1657" s="4">
        <v>36.549999999999997</v>
      </c>
    </row>
    <row r="1658" spans="5:8" x14ac:dyDescent="0.25">
      <c r="E1658" t="str">
        <f>""</f>
        <v/>
      </c>
      <c r="F1658" t="str">
        <f>""</f>
        <v/>
      </c>
      <c r="G1658" t="str">
        <f t="shared" si="36"/>
        <v>GUARDIAN</v>
      </c>
      <c r="H1658" s="4">
        <v>4.3</v>
      </c>
    </row>
    <row r="1659" spans="5:8" x14ac:dyDescent="0.25">
      <c r="E1659" t="str">
        <f>""</f>
        <v/>
      </c>
      <c r="F1659" t="str">
        <f>""</f>
        <v/>
      </c>
      <c r="G1659" t="str">
        <f t="shared" si="36"/>
        <v>GUARDIAN</v>
      </c>
      <c r="H1659" s="4">
        <v>10.75</v>
      </c>
    </row>
    <row r="1660" spans="5:8" x14ac:dyDescent="0.25">
      <c r="E1660" t="str">
        <f>""</f>
        <v/>
      </c>
      <c r="F1660" t="str">
        <f>""</f>
        <v/>
      </c>
      <c r="G1660" t="str">
        <f t="shared" si="36"/>
        <v>GUARDIAN</v>
      </c>
      <c r="H1660" s="4">
        <v>0.26</v>
      </c>
    </row>
    <row r="1661" spans="5:8" x14ac:dyDescent="0.25">
      <c r="E1661" t="str">
        <f>""</f>
        <v/>
      </c>
      <c r="F1661" t="str">
        <f>""</f>
        <v/>
      </c>
      <c r="G1661" t="str">
        <f t="shared" si="36"/>
        <v>GUARDIAN</v>
      </c>
      <c r="H1661" s="4">
        <v>4.3</v>
      </c>
    </row>
    <row r="1662" spans="5:8" x14ac:dyDescent="0.25">
      <c r="E1662" t="str">
        <f>""</f>
        <v/>
      </c>
      <c r="F1662" t="str">
        <f>""</f>
        <v/>
      </c>
      <c r="G1662" t="str">
        <f t="shared" si="36"/>
        <v>GUARDIAN</v>
      </c>
      <c r="H1662" s="4">
        <v>2.15</v>
      </c>
    </row>
    <row r="1663" spans="5:8" x14ac:dyDescent="0.25">
      <c r="E1663" t="str">
        <f>""</f>
        <v/>
      </c>
      <c r="F1663" t="str">
        <f>""</f>
        <v/>
      </c>
      <c r="G1663" t="str">
        <f t="shared" si="36"/>
        <v>GUARDIAN</v>
      </c>
      <c r="H1663" s="4">
        <v>8.6</v>
      </c>
    </row>
    <row r="1664" spans="5:8" x14ac:dyDescent="0.25">
      <c r="E1664" t="str">
        <f>""</f>
        <v/>
      </c>
      <c r="F1664" t="str">
        <f>""</f>
        <v/>
      </c>
      <c r="G1664" t="str">
        <f t="shared" si="36"/>
        <v>GUARDIAN</v>
      </c>
      <c r="H1664" s="4">
        <v>4.3</v>
      </c>
    </row>
    <row r="1665" spans="5:8" x14ac:dyDescent="0.25">
      <c r="E1665" t="str">
        <f>""</f>
        <v/>
      </c>
      <c r="F1665" t="str">
        <f>""</f>
        <v/>
      </c>
      <c r="G1665" t="str">
        <f t="shared" si="36"/>
        <v>GUARDIAN</v>
      </c>
      <c r="H1665" s="4">
        <v>0.26</v>
      </c>
    </row>
    <row r="1666" spans="5:8" x14ac:dyDescent="0.25">
      <c r="E1666" t="str">
        <f>""</f>
        <v/>
      </c>
      <c r="F1666" t="str">
        <f>""</f>
        <v/>
      </c>
      <c r="G1666" t="str">
        <f t="shared" si="36"/>
        <v>GUARDIAN</v>
      </c>
      <c r="H1666" s="4">
        <v>24.18</v>
      </c>
    </row>
    <row r="1667" spans="5:8" x14ac:dyDescent="0.25">
      <c r="E1667" t="str">
        <f>""</f>
        <v/>
      </c>
      <c r="F1667" t="str">
        <f>""</f>
        <v/>
      </c>
      <c r="G1667" t="str">
        <f t="shared" si="36"/>
        <v>GUARDIAN</v>
      </c>
      <c r="H1667" s="4">
        <v>29.69</v>
      </c>
    </row>
    <row r="1668" spans="5:8" x14ac:dyDescent="0.25">
      <c r="E1668" t="str">
        <f>""</f>
        <v/>
      </c>
      <c r="F1668" t="str">
        <f>""</f>
        <v/>
      </c>
      <c r="G1668" t="str">
        <f t="shared" si="36"/>
        <v>GUARDIAN</v>
      </c>
      <c r="H1668" s="4">
        <v>29.69</v>
      </c>
    </row>
    <row r="1669" spans="5:8" x14ac:dyDescent="0.25">
      <c r="E1669" t="str">
        <f>""</f>
        <v/>
      </c>
      <c r="F1669" t="str">
        <f>""</f>
        <v/>
      </c>
      <c r="G1669" t="str">
        <f t="shared" si="36"/>
        <v>GUARDIAN</v>
      </c>
      <c r="H1669" s="4">
        <v>26.33</v>
      </c>
    </row>
    <row r="1670" spans="5:8" x14ac:dyDescent="0.25">
      <c r="E1670" t="str">
        <f>""</f>
        <v/>
      </c>
      <c r="F1670" t="str">
        <f>""</f>
        <v/>
      </c>
      <c r="G1670" t="str">
        <f t="shared" si="36"/>
        <v>GUARDIAN</v>
      </c>
      <c r="H1670" s="4">
        <v>1.89</v>
      </c>
    </row>
    <row r="1671" spans="5:8" x14ac:dyDescent="0.25">
      <c r="E1671" t="str">
        <f>""</f>
        <v/>
      </c>
      <c r="F1671" t="str">
        <f>""</f>
        <v/>
      </c>
      <c r="G1671" t="str">
        <f t="shared" si="36"/>
        <v>GUARDIAN</v>
      </c>
      <c r="H1671" s="4">
        <v>0.06</v>
      </c>
    </row>
    <row r="1672" spans="5:8" x14ac:dyDescent="0.25">
      <c r="E1672" t="str">
        <f>""</f>
        <v/>
      </c>
      <c r="F1672" t="str">
        <f>""</f>
        <v/>
      </c>
      <c r="G1672" t="str">
        <f t="shared" si="36"/>
        <v>GUARDIAN</v>
      </c>
      <c r="H1672" s="4">
        <v>0.2</v>
      </c>
    </row>
    <row r="1673" spans="5:8" x14ac:dyDescent="0.25">
      <c r="E1673" t="str">
        <f>""</f>
        <v/>
      </c>
      <c r="F1673" t="str">
        <f>""</f>
        <v/>
      </c>
      <c r="G1673" t="str">
        <f t="shared" si="36"/>
        <v>GUARDIAN</v>
      </c>
      <c r="H1673" s="4">
        <v>0.31</v>
      </c>
    </row>
    <row r="1674" spans="5:8" x14ac:dyDescent="0.25">
      <c r="E1674" t="str">
        <f>""</f>
        <v/>
      </c>
      <c r="F1674" t="str">
        <f>""</f>
        <v/>
      </c>
      <c r="G1674" t="str">
        <f t="shared" si="36"/>
        <v>GUARDIAN</v>
      </c>
      <c r="H1674" s="4">
        <v>2.14</v>
      </c>
    </row>
    <row r="1675" spans="5:8" x14ac:dyDescent="0.25">
      <c r="E1675" t="str">
        <f>""</f>
        <v/>
      </c>
      <c r="F1675" t="str">
        <f>""</f>
        <v/>
      </c>
      <c r="G1675" t="str">
        <f t="shared" si="36"/>
        <v>GUARDIAN</v>
      </c>
      <c r="H1675" s="4">
        <v>2759.02</v>
      </c>
    </row>
    <row r="1676" spans="5:8" x14ac:dyDescent="0.25">
      <c r="E1676" t="str">
        <f>"LIE202201198474"</f>
        <v>LIE202201198474</v>
      </c>
      <c r="F1676" t="str">
        <f>"GUARDIAN"</f>
        <v>GUARDIAN</v>
      </c>
      <c r="G1676" t="str">
        <f t="shared" si="36"/>
        <v>GUARDIAN</v>
      </c>
      <c r="H1676" s="4">
        <v>30.1</v>
      </c>
    </row>
    <row r="1677" spans="5:8" x14ac:dyDescent="0.25">
      <c r="E1677" t="str">
        <f>""</f>
        <v/>
      </c>
      <c r="F1677" t="str">
        <f>""</f>
        <v/>
      </c>
      <c r="G1677" t="str">
        <f t="shared" si="36"/>
        <v>GUARDIAN</v>
      </c>
      <c r="H1677" s="4">
        <v>40</v>
      </c>
    </row>
    <row r="1678" spans="5:8" x14ac:dyDescent="0.25">
      <c r="E1678" t="str">
        <f>"LIS202201058185"</f>
        <v>LIS202201058185</v>
      </c>
      <c r="F1678" t="str">
        <f t="shared" ref="F1678:F1683" si="37">"GUARDIAN"</f>
        <v>GUARDIAN</v>
      </c>
      <c r="G1678" t="str">
        <f t="shared" si="36"/>
        <v>GUARDIAN</v>
      </c>
      <c r="H1678" s="4">
        <v>514.22</v>
      </c>
    </row>
    <row r="1679" spans="5:8" x14ac:dyDescent="0.25">
      <c r="E1679" t="str">
        <f>"LIS202201058186"</f>
        <v>LIS202201058186</v>
      </c>
      <c r="F1679" t="str">
        <f t="shared" si="37"/>
        <v>GUARDIAN</v>
      </c>
      <c r="G1679" t="str">
        <f t="shared" si="36"/>
        <v>GUARDIAN</v>
      </c>
      <c r="H1679" s="4">
        <v>36.75</v>
      </c>
    </row>
    <row r="1680" spans="5:8" x14ac:dyDescent="0.25">
      <c r="E1680" t="str">
        <f>"LIS202201198473"</f>
        <v>LIS202201198473</v>
      </c>
      <c r="F1680" t="str">
        <f t="shared" si="37"/>
        <v>GUARDIAN</v>
      </c>
      <c r="G1680" t="str">
        <f t="shared" si="36"/>
        <v>GUARDIAN</v>
      </c>
      <c r="H1680" s="4">
        <v>514.22</v>
      </c>
    </row>
    <row r="1681" spans="1:8" x14ac:dyDescent="0.25">
      <c r="E1681" t="str">
        <f>"LIS202201198474"</f>
        <v>LIS202201198474</v>
      </c>
      <c r="F1681" t="str">
        <f t="shared" si="37"/>
        <v>GUARDIAN</v>
      </c>
      <c r="G1681" t="str">
        <f t="shared" si="36"/>
        <v>GUARDIAN</v>
      </c>
      <c r="H1681" s="4">
        <v>36.75</v>
      </c>
    </row>
    <row r="1682" spans="1:8" x14ac:dyDescent="0.25">
      <c r="E1682" t="str">
        <f>"LTD202201058185"</f>
        <v>LTD202201058185</v>
      </c>
      <c r="F1682" t="str">
        <f t="shared" si="37"/>
        <v>GUARDIAN</v>
      </c>
      <c r="G1682" t="str">
        <f t="shared" si="36"/>
        <v>GUARDIAN</v>
      </c>
      <c r="H1682" s="4">
        <v>984.8</v>
      </c>
    </row>
    <row r="1683" spans="1:8" x14ac:dyDescent="0.25">
      <c r="E1683" t="str">
        <f>"LTD202201198473"</f>
        <v>LTD202201198473</v>
      </c>
      <c r="F1683" t="str">
        <f t="shared" si="37"/>
        <v>GUARDIAN</v>
      </c>
      <c r="G1683" t="str">
        <f t="shared" si="36"/>
        <v>GUARDIAN</v>
      </c>
      <c r="H1683" s="4">
        <v>984.8</v>
      </c>
    </row>
    <row r="1684" spans="1:8" x14ac:dyDescent="0.25">
      <c r="A1684" t="s">
        <v>446</v>
      </c>
      <c r="B1684">
        <v>1592</v>
      </c>
      <c r="C1684" s="4">
        <v>78.78</v>
      </c>
      <c r="D1684" s="5">
        <v>44588</v>
      </c>
      <c r="E1684" t="str">
        <f>"202201278591"</f>
        <v>202201278591</v>
      </c>
      <c r="F1684" t="str">
        <f>"ROUNDING - JANUARY 2022"</f>
        <v>ROUNDING - JANUARY 2022</v>
      </c>
      <c r="G1684" t="str">
        <f>"ROUNDING - JANUARY 2022"</f>
        <v>ROUNDING - JANUARY 2022</v>
      </c>
      <c r="H1684" s="4">
        <v>-0.06</v>
      </c>
    </row>
    <row r="1685" spans="1:8" x14ac:dyDescent="0.25">
      <c r="E1685" t="str">
        <f>"AEG202201058185"</f>
        <v>AEG202201058185</v>
      </c>
      <c r="F1685" t="str">
        <f t="shared" ref="F1685:G1688" si="38">"GUARDIAN"</f>
        <v>GUARDIAN</v>
      </c>
      <c r="G1685" t="str">
        <f t="shared" si="38"/>
        <v>GUARDIAN</v>
      </c>
      <c r="H1685" s="4">
        <v>12.48</v>
      </c>
    </row>
    <row r="1686" spans="1:8" x14ac:dyDescent="0.25">
      <c r="E1686" t="str">
        <f>"AEG202201198473"</f>
        <v>AEG202201198473</v>
      </c>
      <c r="F1686" t="str">
        <f t="shared" si="38"/>
        <v>GUARDIAN</v>
      </c>
      <c r="G1686" t="str">
        <f t="shared" si="38"/>
        <v>GUARDIAN</v>
      </c>
      <c r="H1686" s="4">
        <v>12.48</v>
      </c>
    </row>
    <row r="1687" spans="1:8" x14ac:dyDescent="0.25">
      <c r="E1687" t="str">
        <f>"AFG202201058185"</f>
        <v>AFG202201058185</v>
      </c>
      <c r="F1687" t="str">
        <f t="shared" si="38"/>
        <v>GUARDIAN</v>
      </c>
      <c r="G1687" t="str">
        <f t="shared" si="38"/>
        <v>GUARDIAN</v>
      </c>
      <c r="H1687" s="4">
        <v>26.94</v>
      </c>
    </row>
    <row r="1688" spans="1:8" x14ac:dyDescent="0.25">
      <c r="E1688" t="str">
        <f>"AFG202201198473"</f>
        <v>AFG202201198473</v>
      </c>
      <c r="F1688" t="str">
        <f t="shared" si="38"/>
        <v>GUARDIAN</v>
      </c>
      <c r="G1688" t="str">
        <f t="shared" si="38"/>
        <v>GUARDIAN</v>
      </c>
      <c r="H1688" s="4">
        <v>26.94</v>
      </c>
    </row>
    <row r="1689" spans="1:8" x14ac:dyDescent="0.25">
      <c r="A1689" t="s">
        <v>447</v>
      </c>
      <c r="B1689">
        <v>1534</v>
      </c>
      <c r="C1689" s="4">
        <v>390</v>
      </c>
      <c r="D1689" s="5">
        <v>44568</v>
      </c>
      <c r="E1689" t="str">
        <f>"C97202201058185"</f>
        <v>C97202201058185</v>
      </c>
      <c r="F1689" t="str">
        <f>"0008314890"</f>
        <v>0008314890</v>
      </c>
      <c r="G1689" t="str">
        <f>"0008314890"</f>
        <v>0008314890</v>
      </c>
      <c r="H1689" s="4">
        <v>390</v>
      </c>
    </row>
    <row r="1690" spans="1:8" x14ac:dyDescent="0.25">
      <c r="A1690" t="s">
        <v>447</v>
      </c>
      <c r="B1690">
        <v>1577</v>
      </c>
      <c r="C1690" s="4">
        <v>390</v>
      </c>
      <c r="D1690" s="5">
        <v>44582</v>
      </c>
      <c r="E1690" t="str">
        <f>"C97202201198473"</f>
        <v>C97202201198473</v>
      </c>
      <c r="F1690" t="str">
        <f>"0008314890"</f>
        <v>0008314890</v>
      </c>
      <c r="G1690" t="str">
        <f>"0008314890"</f>
        <v>0008314890</v>
      </c>
      <c r="H1690" s="4">
        <v>390</v>
      </c>
    </row>
    <row r="1691" spans="1:8" x14ac:dyDescent="0.25">
      <c r="A1691" t="s">
        <v>448</v>
      </c>
      <c r="B1691">
        <v>1535</v>
      </c>
      <c r="C1691" s="4">
        <v>246356.07</v>
      </c>
      <c r="D1691" s="5">
        <v>44568</v>
      </c>
      <c r="E1691" t="str">
        <f>"T1 202201058185"</f>
        <v>T1 202201058185</v>
      </c>
      <c r="F1691" t="str">
        <f t="shared" ref="F1691:G1693" si="39">"FEDERAL WITHHOLDING"</f>
        <v>FEDERAL WITHHOLDING</v>
      </c>
      <c r="G1691" t="str">
        <f t="shared" si="39"/>
        <v>FEDERAL WITHHOLDING</v>
      </c>
      <c r="H1691" s="4">
        <v>80211.7</v>
      </c>
    </row>
    <row r="1692" spans="1:8" x14ac:dyDescent="0.25">
      <c r="E1692" t="str">
        <f>"T1 202201058186"</f>
        <v>T1 202201058186</v>
      </c>
      <c r="F1692" t="str">
        <f t="shared" si="39"/>
        <v>FEDERAL WITHHOLDING</v>
      </c>
      <c r="G1692" t="str">
        <f t="shared" si="39"/>
        <v>FEDERAL WITHHOLDING</v>
      </c>
      <c r="H1692" s="4">
        <v>2701.51</v>
      </c>
    </row>
    <row r="1693" spans="1:8" x14ac:dyDescent="0.25">
      <c r="E1693" t="str">
        <f>"T1 202201058187"</f>
        <v>T1 202201058187</v>
      </c>
      <c r="F1693" t="str">
        <f t="shared" si="39"/>
        <v>FEDERAL WITHHOLDING</v>
      </c>
      <c r="G1693" t="str">
        <f t="shared" si="39"/>
        <v>FEDERAL WITHHOLDING</v>
      </c>
      <c r="H1693" s="4">
        <v>2954.94</v>
      </c>
    </row>
    <row r="1694" spans="1:8" x14ac:dyDescent="0.25">
      <c r="E1694" t="str">
        <f>"T3 202201058185"</f>
        <v>T3 202201058185</v>
      </c>
      <c r="F1694" t="str">
        <f>"SOCIAL SECURITY TAXES"</f>
        <v>SOCIAL SECURITY TAXES</v>
      </c>
      <c r="G1694" t="str">
        <f t="shared" ref="G1694:G1748" si="40">"SOCIAL SECURITY TAXES"</f>
        <v>SOCIAL SECURITY TAXES</v>
      </c>
      <c r="H1694" s="4">
        <v>531.22</v>
      </c>
    </row>
    <row r="1695" spans="1:8" x14ac:dyDescent="0.25">
      <c r="E1695" t="str">
        <f>""</f>
        <v/>
      </c>
      <c r="F1695" t="str">
        <f>""</f>
        <v/>
      </c>
      <c r="G1695" t="str">
        <f t="shared" si="40"/>
        <v>SOCIAL SECURITY TAXES</v>
      </c>
      <c r="H1695" s="4">
        <v>385.58</v>
      </c>
    </row>
    <row r="1696" spans="1:8" x14ac:dyDescent="0.25">
      <c r="E1696" t="str">
        <f>""</f>
        <v/>
      </c>
      <c r="F1696" t="str">
        <f>""</f>
        <v/>
      </c>
      <c r="G1696" t="str">
        <f t="shared" si="40"/>
        <v>SOCIAL SECURITY TAXES</v>
      </c>
      <c r="H1696" s="4">
        <v>985</v>
      </c>
    </row>
    <row r="1697" spans="5:8" x14ac:dyDescent="0.25">
      <c r="E1697" t="str">
        <f>""</f>
        <v/>
      </c>
      <c r="F1697" t="str">
        <f>""</f>
        <v/>
      </c>
      <c r="G1697" t="str">
        <f t="shared" si="40"/>
        <v>SOCIAL SECURITY TAXES</v>
      </c>
      <c r="H1697" s="4">
        <v>413.29</v>
      </c>
    </row>
    <row r="1698" spans="5:8" x14ac:dyDescent="0.25">
      <c r="E1698" t="str">
        <f>""</f>
        <v/>
      </c>
      <c r="F1698" t="str">
        <f>""</f>
        <v/>
      </c>
      <c r="G1698" t="str">
        <f t="shared" si="40"/>
        <v>SOCIAL SECURITY TAXES</v>
      </c>
      <c r="H1698" s="4">
        <v>231.24</v>
      </c>
    </row>
    <row r="1699" spans="5:8" x14ac:dyDescent="0.25">
      <c r="E1699" t="str">
        <f>""</f>
        <v/>
      </c>
      <c r="F1699" t="str">
        <f>""</f>
        <v/>
      </c>
      <c r="G1699" t="str">
        <f t="shared" si="40"/>
        <v>SOCIAL SECURITY TAXES</v>
      </c>
      <c r="H1699" s="4">
        <v>842.6</v>
      </c>
    </row>
    <row r="1700" spans="5:8" x14ac:dyDescent="0.25">
      <c r="E1700" t="str">
        <f>""</f>
        <v/>
      </c>
      <c r="F1700" t="str">
        <f>""</f>
        <v/>
      </c>
      <c r="G1700" t="str">
        <f t="shared" si="40"/>
        <v>SOCIAL SECURITY TAXES</v>
      </c>
      <c r="H1700" s="4">
        <v>2414.27</v>
      </c>
    </row>
    <row r="1701" spans="5:8" x14ac:dyDescent="0.25">
      <c r="E1701" t="str">
        <f>""</f>
        <v/>
      </c>
      <c r="F1701" t="str">
        <f>""</f>
        <v/>
      </c>
      <c r="G1701" t="str">
        <f t="shared" si="40"/>
        <v>SOCIAL SECURITY TAXES</v>
      </c>
      <c r="H1701" s="4">
        <v>832.33</v>
      </c>
    </row>
    <row r="1702" spans="5:8" x14ac:dyDescent="0.25">
      <c r="E1702" t="str">
        <f>""</f>
        <v/>
      </c>
      <c r="F1702" t="str">
        <f>""</f>
        <v/>
      </c>
      <c r="G1702" t="str">
        <f t="shared" si="40"/>
        <v>SOCIAL SECURITY TAXES</v>
      </c>
      <c r="H1702" s="4">
        <v>834.95</v>
      </c>
    </row>
    <row r="1703" spans="5:8" x14ac:dyDescent="0.25">
      <c r="E1703" t="str">
        <f>""</f>
        <v/>
      </c>
      <c r="F1703" t="str">
        <f>""</f>
        <v/>
      </c>
      <c r="G1703" t="str">
        <f t="shared" si="40"/>
        <v>SOCIAL SECURITY TAXES</v>
      </c>
      <c r="H1703" s="4">
        <v>1519.77</v>
      </c>
    </row>
    <row r="1704" spans="5:8" x14ac:dyDescent="0.25">
      <c r="E1704" t="str">
        <f>""</f>
        <v/>
      </c>
      <c r="F1704" t="str">
        <f>""</f>
        <v/>
      </c>
      <c r="G1704" t="str">
        <f t="shared" si="40"/>
        <v>SOCIAL SECURITY TAXES</v>
      </c>
      <c r="H1704" s="4">
        <v>455.1</v>
      </c>
    </row>
    <row r="1705" spans="5:8" x14ac:dyDescent="0.25">
      <c r="E1705" t="str">
        <f>""</f>
        <v/>
      </c>
      <c r="F1705" t="str">
        <f>""</f>
        <v/>
      </c>
      <c r="G1705" t="str">
        <f t="shared" si="40"/>
        <v>SOCIAL SECURITY TAXES</v>
      </c>
      <c r="H1705" s="4">
        <v>469.52</v>
      </c>
    </row>
    <row r="1706" spans="5:8" x14ac:dyDescent="0.25">
      <c r="E1706" t="str">
        <f>""</f>
        <v/>
      </c>
      <c r="F1706" t="str">
        <f>""</f>
        <v/>
      </c>
      <c r="G1706" t="str">
        <f t="shared" si="40"/>
        <v>SOCIAL SECURITY TAXES</v>
      </c>
      <c r="H1706" s="4">
        <v>406.18</v>
      </c>
    </row>
    <row r="1707" spans="5:8" x14ac:dyDescent="0.25">
      <c r="E1707" t="str">
        <f>""</f>
        <v/>
      </c>
      <c r="F1707" t="str">
        <f>""</f>
        <v/>
      </c>
      <c r="G1707" t="str">
        <f t="shared" si="40"/>
        <v>SOCIAL SECURITY TAXES</v>
      </c>
      <c r="H1707" s="4">
        <v>409.09</v>
      </c>
    </row>
    <row r="1708" spans="5:8" x14ac:dyDescent="0.25">
      <c r="E1708" t="str">
        <f>""</f>
        <v/>
      </c>
      <c r="F1708" t="str">
        <f>""</f>
        <v/>
      </c>
      <c r="G1708" t="str">
        <f t="shared" si="40"/>
        <v>SOCIAL SECURITY TAXES</v>
      </c>
      <c r="H1708" s="4">
        <v>225.39</v>
      </c>
    </row>
    <row r="1709" spans="5:8" x14ac:dyDescent="0.25">
      <c r="E1709" t="str">
        <f>""</f>
        <v/>
      </c>
      <c r="F1709" t="str">
        <f>""</f>
        <v/>
      </c>
      <c r="G1709" t="str">
        <f t="shared" si="40"/>
        <v>SOCIAL SECURITY TAXES</v>
      </c>
      <c r="H1709" s="4">
        <v>2697.59</v>
      </c>
    </row>
    <row r="1710" spans="5:8" x14ac:dyDescent="0.25">
      <c r="E1710" t="str">
        <f>""</f>
        <v/>
      </c>
      <c r="F1710" t="str">
        <f>""</f>
        <v/>
      </c>
      <c r="G1710" t="str">
        <f t="shared" si="40"/>
        <v>SOCIAL SECURITY TAXES</v>
      </c>
      <c r="H1710" s="4">
        <v>1133.6600000000001</v>
      </c>
    </row>
    <row r="1711" spans="5:8" x14ac:dyDescent="0.25">
      <c r="E1711" t="str">
        <f>""</f>
        <v/>
      </c>
      <c r="F1711" t="str">
        <f>""</f>
        <v/>
      </c>
      <c r="G1711" t="str">
        <f t="shared" si="40"/>
        <v>SOCIAL SECURITY TAXES</v>
      </c>
      <c r="H1711" s="4">
        <v>497.27</v>
      </c>
    </row>
    <row r="1712" spans="5:8" x14ac:dyDescent="0.25">
      <c r="E1712" t="str">
        <f>""</f>
        <v/>
      </c>
      <c r="F1712" t="str">
        <f>""</f>
        <v/>
      </c>
      <c r="G1712" t="str">
        <f t="shared" si="40"/>
        <v>SOCIAL SECURITY TAXES</v>
      </c>
      <c r="H1712" s="4">
        <v>485.22</v>
      </c>
    </row>
    <row r="1713" spans="5:8" x14ac:dyDescent="0.25">
      <c r="E1713" t="str">
        <f>""</f>
        <v/>
      </c>
      <c r="F1713" t="str">
        <f>""</f>
        <v/>
      </c>
      <c r="G1713" t="str">
        <f t="shared" si="40"/>
        <v>SOCIAL SECURITY TAXES</v>
      </c>
      <c r="H1713" s="4">
        <v>1581.31</v>
      </c>
    </row>
    <row r="1714" spans="5:8" x14ac:dyDescent="0.25">
      <c r="E1714" t="str">
        <f>""</f>
        <v/>
      </c>
      <c r="F1714" t="str">
        <f>""</f>
        <v/>
      </c>
      <c r="G1714" t="str">
        <f t="shared" si="40"/>
        <v>SOCIAL SECURITY TAXES</v>
      </c>
      <c r="H1714" s="4">
        <v>659.74</v>
      </c>
    </row>
    <row r="1715" spans="5:8" x14ac:dyDescent="0.25">
      <c r="E1715" t="str">
        <f>""</f>
        <v/>
      </c>
      <c r="F1715" t="str">
        <f>""</f>
        <v/>
      </c>
      <c r="G1715" t="str">
        <f t="shared" si="40"/>
        <v>SOCIAL SECURITY TAXES</v>
      </c>
      <c r="H1715" s="4">
        <v>1802.08</v>
      </c>
    </row>
    <row r="1716" spans="5:8" x14ac:dyDescent="0.25">
      <c r="E1716" t="str">
        <f>""</f>
        <v/>
      </c>
      <c r="F1716" t="str">
        <f>""</f>
        <v/>
      </c>
      <c r="G1716" t="str">
        <f t="shared" si="40"/>
        <v>SOCIAL SECURITY TAXES</v>
      </c>
      <c r="H1716" s="4">
        <v>1256.47</v>
      </c>
    </row>
    <row r="1717" spans="5:8" x14ac:dyDescent="0.25">
      <c r="E1717" t="str">
        <f>""</f>
        <v/>
      </c>
      <c r="F1717" t="str">
        <f>""</f>
        <v/>
      </c>
      <c r="G1717" t="str">
        <f t="shared" si="40"/>
        <v>SOCIAL SECURITY TAXES</v>
      </c>
      <c r="H1717" s="4">
        <v>2440.9299999999998</v>
      </c>
    </row>
    <row r="1718" spans="5:8" x14ac:dyDescent="0.25">
      <c r="E1718" t="str">
        <f>""</f>
        <v/>
      </c>
      <c r="F1718" t="str">
        <f>""</f>
        <v/>
      </c>
      <c r="G1718" t="str">
        <f t="shared" si="40"/>
        <v>SOCIAL SECURITY TAXES</v>
      </c>
      <c r="H1718" s="4">
        <v>127.07</v>
      </c>
    </row>
    <row r="1719" spans="5:8" x14ac:dyDescent="0.25">
      <c r="E1719" t="str">
        <f>""</f>
        <v/>
      </c>
      <c r="F1719" t="str">
        <f>""</f>
        <v/>
      </c>
      <c r="G1719" t="str">
        <f t="shared" si="40"/>
        <v>SOCIAL SECURITY TAXES</v>
      </c>
      <c r="H1719" s="4">
        <v>140.62</v>
      </c>
    </row>
    <row r="1720" spans="5:8" x14ac:dyDescent="0.25">
      <c r="E1720" t="str">
        <f>""</f>
        <v/>
      </c>
      <c r="F1720" t="str">
        <f>""</f>
        <v/>
      </c>
      <c r="G1720" t="str">
        <f t="shared" si="40"/>
        <v>SOCIAL SECURITY TAXES</v>
      </c>
      <c r="H1720" s="4">
        <v>133.58000000000001</v>
      </c>
    </row>
    <row r="1721" spans="5:8" x14ac:dyDescent="0.25">
      <c r="E1721" t="str">
        <f>""</f>
        <v/>
      </c>
      <c r="F1721" t="str">
        <f>""</f>
        <v/>
      </c>
      <c r="G1721" t="str">
        <f t="shared" si="40"/>
        <v>SOCIAL SECURITY TAXES</v>
      </c>
      <c r="H1721" s="4">
        <v>129.66</v>
      </c>
    </row>
    <row r="1722" spans="5:8" x14ac:dyDescent="0.25">
      <c r="E1722" t="str">
        <f>""</f>
        <v/>
      </c>
      <c r="F1722" t="str">
        <f>""</f>
        <v/>
      </c>
      <c r="G1722" t="str">
        <f t="shared" si="40"/>
        <v>SOCIAL SECURITY TAXES</v>
      </c>
      <c r="H1722" s="4">
        <v>13567.06</v>
      </c>
    </row>
    <row r="1723" spans="5:8" x14ac:dyDescent="0.25">
      <c r="E1723" t="str">
        <f>""</f>
        <v/>
      </c>
      <c r="F1723" t="str">
        <f>""</f>
        <v/>
      </c>
      <c r="G1723" t="str">
        <f t="shared" si="40"/>
        <v>SOCIAL SECURITY TAXES</v>
      </c>
      <c r="H1723" s="4">
        <v>543.23</v>
      </c>
    </row>
    <row r="1724" spans="5:8" x14ac:dyDescent="0.25">
      <c r="E1724" t="str">
        <f>""</f>
        <v/>
      </c>
      <c r="F1724" t="str">
        <f>""</f>
        <v/>
      </c>
      <c r="G1724" t="str">
        <f t="shared" si="40"/>
        <v>SOCIAL SECURITY TAXES</v>
      </c>
      <c r="H1724" s="4">
        <v>11007.39</v>
      </c>
    </row>
    <row r="1725" spans="5:8" x14ac:dyDescent="0.25">
      <c r="E1725" t="str">
        <f>""</f>
        <v/>
      </c>
      <c r="F1725" t="str">
        <f>""</f>
        <v/>
      </c>
      <c r="G1725" t="str">
        <f t="shared" si="40"/>
        <v>SOCIAL SECURITY TAXES</v>
      </c>
      <c r="H1725" s="4">
        <v>1816.23</v>
      </c>
    </row>
    <row r="1726" spans="5:8" x14ac:dyDescent="0.25">
      <c r="E1726" t="str">
        <f>""</f>
        <v/>
      </c>
      <c r="F1726" t="str">
        <f>""</f>
        <v/>
      </c>
      <c r="G1726" t="str">
        <f t="shared" si="40"/>
        <v>SOCIAL SECURITY TAXES</v>
      </c>
      <c r="H1726" s="4">
        <v>123.63</v>
      </c>
    </row>
    <row r="1727" spans="5:8" x14ac:dyDescent="0.25">
      <c r="E1727" t="str">
        <f>""</f>
        <v/>
      </c>
      <c r="F1727" t="str">
        <f>""</f>
        <v/>
      </c>
      <c r="G1727" t="str">
        <f t="shared" si="40"/>
        <v>SOCIAL SECURITY TAXES</v>
      </c>
      <c r="H1727" s="4">
        <v>506.43</v>
      </c>
    </row>
    <row r="1728" spans="5:8" x14ac:dyDescent="0.25">
      <c r="E1728" t="str">
        <f>""</f>
        <v/>
      </c>
      <c r="F1728" t="str">
        <f>""</f>
        <v/>
      </c>
      <c r="G1728" t="str">
        <f t="shared" si="40"/>
        <v>SOCIAL SECURITY TAXES</v>
      </c>
      <c r="H1728" s="4">
        <v>34.619999999999997</v>
      </c>
    </row>
    <row r="1729" spans="5:8" x14ac:dyDescent="0.25">
      <c r="E1729" t="str">
        <f>""</f>
        <v/>
      </c>
      <c r="F1729" t="str">
        <f>""</f>
        <v/>
      </c>
      <c r="G1729" t="str">
        <f t="shared" si="40"/>
        <v>SOCIAL SECURITY TAXES</v>
      </c>
      <c r="H1729" s="4">
        <v>354.59</v>
      </c>
    </row>
    <row r="1730" spans="5:8" x14ac:dyDescent="0.25">
      <c r="E1730" t="str">
        <f>""</f>
        <v/>
      </c>
      <c r="F1730" t="str">
        <f>""</f>
        <v/>
      </c>
      <c r="G1730" t="str">
        <f t="shared" si="40"/>
        <v>SOCIAL SECURITY TAXES</v>
      </c>
      <c r="H1730" s="4">
        <v>119.14</v>
      </c>
    </row>
    <row r="1731" spans="5:8" x14ac:dyDescent="0.25">
      <c r="E1731" t="str">
        <f>""</f>
        <v/>
      </c>
      <c r="F1731" t="str">
        <f>""</f>
        <v/>
      </c>
      <c r="G1731" t="str">
        <f t="shared" si="40"/>
        <v>SOCIAL SECURITY TAXES</v>
      </c>
      <c r="H1731" s="4">
        <v>659.8</v>
      </c>
    </row>
    <row r="1732" spans="5:8" x14ac:dyDescent="0.25">
      <c r="E1732" t="str">
        <f>""</f>
        <v/>
      </c>
      <c r="F1732" t="str">
        <f>""</f>
        <v/>
      </c>
      <c r="G1732" t="str">
        <f t="shared" si="40"/>
        <v>SOCIAL SECURITY TAXES</v>
      </c>
      <c r="H1732" s="4">
        <v>306.87</v>
      </c>
    </row>
    <row r="1733" spans="5:8" x14ac:dyDescent="0.25">
      <c r="E1733" t="str">
        <f>""</f>
        <v/>
      </c>
      <c r="F1733" t="str">
        <f>""</f>
        <v/>
      </c>
      <c r="G1733" t="str">
        <f t="shared" si="40"/>
        <v>SOCIAL SECURITY TAXES</v>
      </c>
      <c r="H1733" s="4">
        <v>627.33000000000004</v>
      </c>
    </row>
    <row r="1734" spans="5:8" x14ac:dyDescent="0.25">
      <c r="E1734" t="str">
        <f>""</f>
        <v/>
      </c>
      <c r="F1734" t="str">
        <f>""</f>
        <v/>
      </c>
      <c r="G1734" t="str">
        <f t="shared" si="40"/>
        <v>SOCIAL SECURITY TAXES</v>
      </c>
      <c r="H1734" s="4">
        <v>1391.12</v>
      </c>
    </row>
    <row r="1735" spans="5:8" x14ac:dyDescent="0.25">
      <c r="E1735" t="str">
        <f>""</f>
        <v/>
      </c>
      <c r="F1735" t="str">
        <f>""</f>
        <v/>
      </c>
      <c r="G1735" t="str">
        <f t="shared" si="40"/>
        <v>SOCIAL SECURITY TAXES</v>
      </c>
      <c r="H1735" s="4">
        <v>1597.62</v>
      </c>
    </row>
    <row r="1736" spans="5:8" x14ac:dyDescent="0.25">
      <c r="E1736" t="str">
        <f>""</f>
        <v/>
      </c>
      <c r="F1736" t="str">
        <f>""</f>
        <v/>
      </c>
      <c r="G1736" t="str">
        <f t="shared" si="40"/>
        <v>SOCIAL SECURITY TAXES</v>
      </c>
      <c r="H1736" s="4">
        <v>1646.2</v>
      </c>
    </row>
    <row r="1737" spans="5:8" x14ac:dyDescent="0.25">
      <c r="E1737" t="str">
        <f>""</f>
        <v/>
      </c>
      <c r="F1737" t="str">
        <f>""</f>
        <v/>
      </c>
      <c r="G1737" t="str">
        <f t="shared" si="40"/>
        <v>SOCIAL SECURITY TAXES</v>
      </c>
      <c r="H1737" s="4">
        <v>1803</v>
      </c>
    </row>
    <row r="1738" spans="5:8" x14ac:dyDescent="0.25">
      <c r="E1738" t="str">
        <f>""</f>
        <v/>
      </c>
      <c r="F1738" t="str">
        <f>""</f>
        <v/>
      </c>
      <c r="G1738" t="str">
        <f t="shared" si="40"/>
        <v>SOCIAL SECURITY TAXES</v>
      </c>
      <c r="H1738" s="4">
        <v>232.98</v>
      </c>
    </row>
    <row r="1739" spans="5:8" x14ac:dyDescent="0.25">
      <c r="E1739" t="str">
        <f>""</f>
        <v/>
      </c>
      <c r="F1739" t="str">
        <f>""</f>
        <v/>
      </c>
      <c r="G1739" t="str">
        <f t="shared" si="40"/>
        <v>SOCIAL SECURITY TAXES</v>
      </c>
      <c r="H1739" s="4">
        <v>14.9</v>
      </c>
    </row>
    <row r="1740" spans="5:8" x14ac:dyDescent="0.25">
      <c r="E1740" t="str">
        <f>""</f>
        <v/>
      </c>
      <c r="F1740" t="str">
        <f>""</f>
        <v/>
      </c>
      <c r="G1740" t="str">
        <f t="shared" si="40"/>
        <v>SOCIAL SECURITY TAXES</v>
      </c>
      <c r="H1740" s="4">
        <v>4.8</v>
      </c>
    </row>
    <row r="1741" spans="5:8" x14ac:dyDescent="0.25">
      <c r="E1741" t="str">
        <f>""</f>
        <v/>
      </c>
      <c r="F1741" t="str">
        <f>""</f>
        <v/>
      </c>
      <c r="G1741" t="str">
        <f t="shared" si="40"/>
        <v>SOCIAL SECURITY TAXES</v>
      </c>
      <c r="H1741" s="4">
        <v>17.39</v>
      </c>
    </row>
    <row r="1742" spans="5:8" x14ac:dyDescent="0.25">
      <c r="E1742" t="str">
        <f>""</f>
        <v/>
      </c>
      <c r="F1742" t="str">
        <f>""</f>
        <v/>
      </c>
      <c r="G1742" t="str">
        <f t="shared" si="40"/>
        <v>SOCIAL SECURITY TAXES</v>
      </c>
      <c r="H1742" s="4">
        <v>20.71</v>
      </c>
    </row>
    <row r="1743" spans="5:8" x14ac:dyDescent="0.25">
      <c r="E1743" t="str">
        <f>""</f>
        <v/>
      </c>
      <c r="F1743" t="str">
        <f>""</f>
        <v/>
      </c>
      <c r="G1743" t="str">
        <f t="shared" si="40"/>
        <v>SOCIAL SECURITY TAXES</v>
      </c>
      <c r="H1743" s="4">
        <v>377.6</v>
      </c>
    </row>
    <row r="1744" spans="5:8" x14ac:dyDescent="0.25">
      <c r="E1744" t="str">
        <f>""</f>
        <v/>
      </c>
      <c r="F1744" t="str">
        <f>""</f>
        <v/>
      </c>
      <c r="G1744" t="str">
        <f t="shared" si="40"/>
        <v>SOCIAL SECURITY TAXES</v>
      </c>
      <c r="H1744" s="4">
        <v>60813.37</v>
      </c>
    </row>
    <row r="1745" spans="5:8" x14ac:dyDescent="0.25">
      <c r="E1745" t="str">
        <f>"T3 202201058186"</f>
        <v>T3 202201058186</v>
      </c>
      <c r="F1745" t="str">
        <f>"SOCIAL SECURITY TAXES"</f>
        <v>SOCIAL SECURITY TAXES</v>
      </c>
      <c r="G1745" t="str">
        <f t="shared" si="40"/>
        <v>SOCIAL SECURITY TAXES</v>
      </c>
      <c r="H1745" s="4">
        <v>1942.58</v>
      </c>
    </row>
    <row r="1746" spans="5:8" x14ac:dyDescent="0.25">
      <c r="E1746" t="str">
        <f>""</f>
        <v/>
      </c>
      <c r="F1746" t="str">
        <f>""</f>
        <v/>
      </c>
      <c r="G1746" t="str">
        <f t="shared" si="40"/>
        <v>SOCIAL SECURITY TAXES</v>
      </c>
      <c r="H1746" s="4">
        <v>1942.58</v>
      </c>
    </row>
    <row r="1747" spans="5:8" x14ac:dyDescent="0.25">
      <c r="E1747" t="str">
        <f>"T3 202201058187"</f>
        <v>T3 202201058187</v>
      </c>
      <c r="F1747" t="str">
        <f>"SOCIAL SECURITY TAXES"</f>
        <v>SOCIAL SECURITY TAXES</v>
      </c>
      <c r="G1747" t="str">
        <f t="shared" si="40"/>
        <v>SOCIAL SECURITY TAXES</v>
      </c>
      <c r="H1747" s="4">
        <v>2278.31</v>
      </c>
    </row>
    <row r="1748" spans="5:8" x14ac:dyDescent="0.25">
      <c r="E1748" t="str">
        <f>""</f>
        <v/>
      </c>
      <c r="F1748" t="str">
        <f>""</f>
        <v/>
      </c>
      <c r="G1748" t="str">
        <f t="shared" si="40"/>
        <v>SOCIAL SECURITY TAXES</v>
      </c>
      <c r="H1748" s="4">
        <v>2278.31</v>
      </c>
    </row>
    <row r="1749" spans="5:8" x14ac:dyDescent="0.25">
      <c r="E1749" t="str">
        <f>"T4 202201058185"</f>
        <v>T4 202201058185</v>
      </c>
      <c r="F1749" t="str">
        <f>"MEDICARE TAXES"</f>
        <v>MEDICARE TAXES</v>
      </c>
      <c r="G1749" t="str">
        <f t="shared" ref="G1749:G1803" si="41">"MEDICARE TAXES"</f>
        <v>MEDICARE TAXES</v>
      </c>
      <c r="H1749" s="4">
        <v>124.24</v>
      </c>
    </row>
    <row r="1750" spans="5:8" x14ac:dyDescent="0.25">
      <c r="E1750" t="str">
        <f>""</f>
        <v/>
      </c>
      <c r="F1750" t="str">
        <f>""</f>
        <v/>
      </c>
      <c r="G1750" t="str">
        <f t="shared" si="41"/>
        <v>MEDICARE TAXES</v>
      </c>
      <c r="H1750" s="4">
        <v>90.19</v>
      </c>
    </row>
    <row r="1751" spans="5:8" x14ac:dyDescent="0.25">
      <c r="E1751" t="str">
        <f>""</f>
        <v/>
      </c>
      <c r="F1751" t="str">
        <f>""</f>
        <v/>
      </c>
      <c r="G1751" t="str">
        <f t="shared" si="41"/>
        <v>MEDICARE TAXES</v>
      </c>
      <c r="H1751" s="4">
        <v>230.36</v>
      </c>
    </row>
    <row r="1752" spans="5:8" x14ac:dyDescent="0.25">
      <c r="E1752" t="str">
        <f>""</f>
        <v/>
      </c>
      <c r="F1752" t="str">
        <f>""</f>
        <v/>
      </c>
      <c r="G1752" t="str">
        <f t="shared" si="41"/>
        <v>MEDICARE TAXES</v>
      </c>
      <c r="H1752" s="4">
        <v>96.66</v>
      </c>
    </row>
    <row r="1753" spans="5:8" x14ac:dyDescent="0.25">
      <c r="E1753" t="str">
        <f>""</f>
        <v/>
      </c>
      <c r="F1753" t="str">
        <f>""</f>
        <v/>
      </c>
      <c r="G1753" t="str">
        <f t="shared" si="41"/>
        <v>MEDICARE TAXES</v>
      </c>
      <c r="H1753" s="4">
        <v>54.08</v>
      </c>
    </row>
    <row r="1754" spans="5:8" x14ac:dyDescent="0.25">
      <c r="E1754" t="str">
        <f>""</f>
        <v/>
      </c>
      <c r="F1754" t="str">
        <f>""</f>
        <v/>
      </c>
      <c r="G1754" t="str">
        <f t="shared" si="41"/>
        <v>MEDICARE TAXES</v>
      </c>
      <c r="H1754" s="4">
        <v>197.07</v>
      </c>
    </row>
    <row r="1755" spans="5:8" x14ac:dyDescent="0.25">
      <c r="E1755" t="str">
        <f>""</f>
        <v/>
      </c>
      <c r="F1755" t="str">
        <f>""</f>
        <v/>
      </c>
      <c r="G1755" t="str">
        <f t="shared" si="41"/>
        <v>MEDICARE TAXES</v>
      </c>
      <c r="H1755" s="4">
        <v>564.62</v>
      </c>
    </row>
    <row r="1756" spans="5:8" x14ac:dyDescent="0.25">
      <c r="E1756" t="str">
        <f>""</f>
        <v/>
      </c>
      <c r="F1756" t="str">
        <f>""</f>
        <v/>
      </c>
      <c r="G1756" t="str">
        <f t="shared" si="41"/>
        <v>MEDICARE TAXES</v>
      </c>
      <c r="H1756" s="4">
        <v>194.66</v>
      </c>
    </row>
    <row r="1757" spans="5:8" x14ac:dyDescent="0.25">
      <c r="E1757" t="str">
        <f>""</f>
        <v/>
      </c>
      <c r="F1757" t="str">
        <f>""</f>
        <v/>
      </c>
      <c r="G1757" t="str">
        <f t="shared" si="41"/>
        <v>MEDICARE TAXES</v>
      </c>
      <c r="H1757" s="4">
        <v>195.27</v>
      </c>
    </row>
    <row r="1758" spans="5:8" x14ac:dyDescent="0.25">
      <c r="E1758" t="str">
        <f>""</f>
        <v/>
      </c>
      <c r="F1758" t="str">
        <f>""</f>
        <v/>
      </c>
      <c r="G1758" t="str">
        <f t="shared" si="41"/>
        <v>MEDICARE TAXES</v>
      </c>
      <c r="H1758" s="4">
        <v>355.42</v>
      </c>
    </row>
    <row r="1759" spans="5:8" x14ac:dyDescent="0.25">
      <c r="E1759" t="str">
        <f>""</f>
        <v/>
      </c>
      <c r="F1759" t="str">
        <f>""</f>
        <v/>
      </c>
      <c r="G1759" t="str">
        <f t="shared" si="41"/>
        <v>MEDICARE TAXES</v>
      </c>
      <c r="H1759" s="4">
        <v>106.44</v>
      </c>
    </row>
    <row r="1760" spans="5:8" x14ac:dyDescent="0.25">
      <c r="E1760" t="str">
        <f>""</f>
        <v/>
      </c>
      <c r="F1760" t="str">
        <f>""</f>
        <v/>
      </c>
      <c r="G1760" t="str">
        <f t="shared" si="41"/>
        <v>MEDICARE TAXES</v>
      </c>
      <c r="H1760" s="4">
        <v>109.8</v>
      </c>
    </row>
    <row r="1761" spans="5:8" x14ac:dyDescent="0.25">
      <c r="E1761" t="str">
        <f>""</f>
        <v/>
      </c>
      <c r="F1761" t="str">
        <f>""</f>
        <v/>
      </c>
      <c r="G1761" t="str">
        <f t="shared" si="41"/>
        <v>MEDICARE TAXES</v>
      </c>
      <c r="H1761" s="4">
        <v>95</v>
      </c>
    </row>
    <row r="1762" spans="5:8" x14ac:dyDescent="0.25">
      <c r="E1762" t="str">
        <f>""</f>
        <v/>
      </c>
      <c r="F1762" t="str">
        <f>""</f>
        <v/>
      </c>
      <c r="G1762" t="str">
        <f t="shared" si="41"/>
        <v>MEDICARE TAXES</v>
      </c>
      <c r="H1762" s="4">
        <v>95.67</v>
      </c>
    </row>
    <row r="1763" spans="5:8" x14ac:dyDescent="0.25">
      <c r="E1763" t="str">
        <f>""</f>
        <v/>
      </c>
      <c r="F1763" t="str">
        <f>""</f>
        <v/>
      </c>
      <c r="G1763" t="str">
        <f t="shared" si="41"/>
        <v>MEDICARE TAXES</v>
      </c>
      <c r="H1763" s="4">
        <v>52.72</v>
      </c>
    </row>
    <row r="1764" spans="5:8" x14ac:dyDescent="0.25">
      <c r="E1764" t="str">
        <f>""</f>
        <v/>
      </c>
      <c r="F1764" t="str">
        <f>""</f>
        <v/>
      </c>
      <c r="G1764" t="str">
        <f t="shared" si="41"/>
        <v>MEDICARE TAXES</v>
      </c>
      <c r="H1764" s="4">
        <v>630.91</v>
      </c>
    </row>
    <row r="1765" spans="5:8" x14ac:dyDescent="0.25">
      <c r="E1765" t="str">
        <f>""</f>
        <v/>
      </c>
      <c r="F1765" t="str">
        <f>""</f>
        <v/>
      </c>
      <c r="G1765" t="str">
        <f t="shared" si="41"/>
        <v>MEDICARE TAXES</v>
      </c>
      <c r="H1765" s="4">
        <v>265.14</v>
      </c>
    </row>
    <row r="1766" spans="5:8" x14ac:dyDescent="0.25">
      <c r="E1766" t="str">
        <f>""</f>
        <v/>
      </c>
      <c r="F1766" t="str">
        <f>""</f>
        <v/>
      </c>
      <c r="G1766" t="str">
        <f t="shared" si="41"/>
        <v>MEDICARE TAXES</v>
      </c>
      <c r="H1766" s="4">
        <v>116.29</v>
      </c>
    </row>
    <row r="1767" spans="5:8" x14ac:dyDescent="0.25">
      <c r="E1767" t="str">
        <f>""</f>
        <v/>
      </c>
      <c r="F1767" t="str">
        <f>""</f>
        <v/>
      </c>
      <c r="G1767" t="str">
        <f t="shared" si="41"/>
        <v>MEDICARE TAXES</v>
      </c>
      <c r="H1767" s="4">
        <v>113.48</v>
      </c>
    </row>
    <row r="1768" spans="5:8" x14ac:dyDescent="0.25">
      <c r="E1768" t="str">
        <f>""</f>
        <v/>
      </c>
      <c r="F1768" t="str">
        <f>""</f>
        <v/>
      </c>
      <c r="G1768" t="str">
        <f t="shared" si="41"/>
        <v>MEDICARE TAXES</v>
      </c>
      <c r="H1768" s="4">
        <v>369.82</v>
      </c>
    </row>
    <row r="1769" spans="5:8" x14ac:dyDescent="0.25">
      <c r="E1769" t="str">
        <f>""</f>
        <v/>
      </c>
      <c r="F1769" t="str">
        <f>""</f>
        <v/>
      </c>
      <c r="G1769" t="str">
        <f t="shared" si="41"/>
        <v>MEDICARE TAXES</v>
      </c>
      <c r="H1769" s="4">
        <v>154.30000000000001</v>
      </c>
    </row>
    <row r="1770" spans="5:8" x14ac:dyDescent="0.25">
      <c r="E1770" t="str">
        <f>""</f>
        <v/>
      </c>
      <c r="F1770" t="str">
        <f>""</f>
        <v/>
      </c>
      <c r="G1770" t="str">
        <f t="shared" si="41"/>
        <v>MEDICARE TAXES</v>
      </c>
      <c r="H1770" s="4">
        <v>421.46</v>
      </c>
    </row>
    <row r="1771" spans="5:8" x14ac:dyDescent="0.25">
      <c r="E1771" t="str">
        <f>""</f>
        <v/>
      </c>
      <c r="F1771" t="str">
        <f>""</f>
        <v/>
      </c>
      <c r="G1771" t="str">
        <f t="shared" si="41"/>
        <v>MEDICARE TAXES</v>
      </c>
      <c r="H1771" s="4">
        <v>293.86</v>
      </c>
    </row>
    <row r="1772" spans="5:8" x14ac:dyDescent="0.25">
      <c r="E1772" t="str">
        <f>""</f>
        <v/>
      </c>
      <c r="F1772" t="str">
        <f>""</f>
        <v/>
      </c>
      <c r="G1772" t="str">
        <f t="shared" si="41"/>
        <v>MEDICARE TAXES</v>
      </c>
      <c r="H1772" s="4">
        <v>570.84</v>
      </c>
    </row>
    <row r="1773" spans="5:8" x14ac:dyDescent="0.25">
      <c r="E1773" t="str">
        <f>""</f>
        <v/>
      </c>
      <c r="F1773" t="str">
        <f>""</f>
        <v/>
      </c>
      <c r="G1773" t="str">
        <f t="shared" si="41"/>
        <v>MEDICARE TAXES</v>
      </c>
      <c r="H1773" s="4">
        <v>29.72</v>
      </c>
    </row>
    <row r="1774" spans="5:8" x14ac:dyDescent="0.25">
      <c r="E1774" t="str">
        <f>""</f>
        <v/>
      </c>
      <c r="F1774" t="str">
        <f>""</f>
        <v/>
      </c>
      <c r="G1774" t="str">
        <f t="shared" si="41"/>
        <v>MEDICARE TAXES</v>
      </c>
      <c r="H1774" s="4">
        <v>32.89</v>
      </c>
    </row>
    <row r="1775" spans="5:8" x14ac:dyDescent="0.25">
      <c r="E1775" t="str">
        <f>""</f>
        <v/>
      </c>
      <c r="F1775" t="str">
        <f>""</f>
        <v/>
      </c>
      <c r="G1775" t="str">
        <f t="shared" si="41"/>
        <v>MEDICARE TAXES</v>
      </c>
      <c r="H1775" s="4">
        <v>31.24</v>
      </c>
    </row>
    <row r="1776" spans="5:8" x14ac:dyDescent="0.25">
      <c r="E1776" t="str">
        <f>""</f>
        <v/>
      </c>
      <c r="F1776" t="str">
        <f>""</f>
        <v/>
      </c>
      <c r="G1776" t="str">
        <f t="shared" si="41"/>
        <v>MEDICARE TAXES</v>
      </c>
      <c r="H1776" s="4">
        <v>30.32</v>
      </c>
    </row>
    <row r="1777" spans="5:8" x14ac:dyDescent="0.25">
      <c r="E1777" t="str">
        <f>""</f>
        <v/>
      </c>
      <c r="F1777" t="str">
        <f>""</f>
        <v/>
      </c>
      <c r="G1777" t="str">
        <f t="shared" si="41"/>
        <v>MEDICARE TAXES</v>
      </c>
      <c r="H1777" s="4">
        <v>3172.85</v>
      </c>
    </row>
    <row r="1778" spans="5:8" x14ac:dyDescent="0.25">
      <c r="E1778" t="str">
        <f>""</f>
        <v/>
      </c>
      <c r="F1778" t="str">
        <f>""</f>
        <v/>
      </c>
      <c r="G1778" t="str">
        <f t="shared" si="41"/>
        <v>MEDICARE TAXES</v>
      </c>
      <c r="H1778" s="4">
        <v>127.04</v>
      </c>
    </row>
    <row r="1779" spans="5:8" x14ac:dyDescent="0.25">
      <c r="E1779" t="str">
        <f>""</f>
        <v/>
      </c>
      <c r="F1779" t="str">
        <f>""</f>
        <v/>
      </c>
      <c r="G1779" t="str">
        <f t="shared" si="41"/>
        <v>MEDICARE TAXES</v>
      </c>
      <c r="H1779" s="4">
        <v>2574.44</v>
      </c>
    </row>
    <row r="1780" spans="5:8" x14ac:dyDescent="0.25">
      <c r="E1780" t="str">
        <f>""</f>
        <v/>
      </c>
      <c r="F1780" t="str">
        <f>""</f>
        <v/>
      </c>
      <c r="G1780" t="str">
        <f t="shared" si="41"/>
        <v>MEDICARE TAXES</v>
      </c>
      <c r="H1780" s="4">
        <v>424.76</v>
      </c>
    </row>
    <row r="1781" spans="5:8" x14ac:dyDescent="0.25">
      <c r="E1781" t="str">
        <f>""</f>
        <v/>
      </c>
      <c r="F1781" t="str">
        <f>""</f>
        <v/>
      </c>
      <c r="G1781" t="str">
        <f t="shared" si="41"/>
        <v>MEDICARE TAXES</v>
      </c>
      <c r="H1781" s="4">
        <v>28.91</v>
      </c>
    </row>
    <row r="1782" spans="5:8" x14ac:dyDescent="0.25">
      <c r="E1782" t="str">
        <f>""</f>
        <v/>
      </c>
      <c r="F1782" t="str">
        <f>""</f>
        <v/>
      </c>
      <c r="G1782" t="str">
        <f t="shared" si="41"/>
        <v>MEDICARE TAXES</v>
      </c>
      <c r="H1782" s="4">
        <v>118.43</v>
      </c>
    </row>
    <row r="1783" spans="5:8" x14ac:dyDescent="0.25">
      <c r="E1783" t="str">
        <f>""</f>
        <v/>
      </c>
      <c r="F1783" t="str">
        <f>""</f>
        <v/>
      </c>
      <c r="G1783" t="str">
        <f t="shared" si="41"/>
        <v>MEDICARE TAXES</v>
      </c>
      <c r="H1783" s="4">
        <v>8.09</v>
      </c>
    </row>
    <row r="1784" spans="5:8" x14ac:dyDescent="0.25">
      <c r="E1784" t="str">
        <f>""</f>
        <v/>
      </c>
      <c r="F1784" t="str">
        <f>""</f>
        <v/>
      </c>
      <c r="G1784" t="str">
        <f t="shared" si="41"/>
        <v>MEDICARE TAXES</v>
      </c>
      <c r="H1784" s="4">
        <v>82.93</v>
      </c>
    </row>
    <row r="1785" spans="5:8" x14ac:dyDescent="0.25">
      <c r="E1785" t="str">
        <f>""</f>
        <v/>
      </c>
      <c r="F1785" t="str">
        <f>""</f>
        <v/>
      </c>
      <c r="G1785" t="str">
        <f t="shared" si="41"/>
        <v>MEDICARE TAXES</v>
      </c>
      <c r="H1785" s="4">
        <v>27.86</v>
      </c>
    </row>
    <row r="1786" spans="5:8" x14ac:dyDescent="0.25">
      <c r="E1786" t="str">
        <f>""</f>
        <v/>
      </c>
      <c r="F1786" t="str">
        <f>""</f>
        <v/>
      </c>
      <c r="G1786" t="str">
        <f t="shared" si="41"/>
        <v>MEDICARE TAXES</v>
      </c>
      <c r="H1786" s="4">
        <v>154.31</v>
      </c>
    </row>
    <row r="1787" spans="5:8" x14ac:dyDescent="0.25">
      <c r="E1787" t="str">
        <f>""</f>
        <v/>
      </c>
      <c r="F1787" t="str">
        <f>""</f>
        <v/>
      </c>
      <c r="G1787" t="str">
        <f t="shared" si="41"/>
        <v>MEDICARE TAXES</v>
      </c>
      <c r="H1787" s="4">
        <v>71.77</v>
      </c>
    </row>
    <row r="1788" spans="5:8" x14ac:dyDescent="0.25">
      <c r="E1788" t="str">
        <f>""</f>
        <v/>
      </c>
      <c r="F1788" t="str">
        <f>""</f>
        <v/>
      </c>
      <c r="G1788" t="str">
        <f t="shared" si="41"/>
        <v>MEDICARE TAXES</v>
      </c>
      <c r="H1788" s="4">
        <v>146.72</v>
      </c>
    </row>
    <row r="1789" spans="5:8" x14ac:dyDescent="0.25">
      <c r="E1789" t="str">
        <f>""</f>
        <v/>
      </c>
      <c r="F1789" t="str">
        <f>""</f>
        <v/>
      </c>
      <c r="G1789" t="str">
        <f t="shared" si="41"/>
        <v>MEDICARE TAXES</v>
      </c>
      <c r="H1789" s="4">
        <v>325.35000000000002</v>
      </c>
    </row>
    <row r="1790" spans="5:8" x14ac:dyDescent="0.25">
      <c r="E1790" t="str">
        <f>""</f>
        <v/>
      </c>
      <c r="F1790" t="str">
        <f>""</f>
        <v/>
      </c>
      <c r="G1790" t="str">
        <f t="shared" si="41"/>
        <v>MEDICARE TAXES</v>
      </c>
      <c r="H1790" s="4">
        <v>373.65</v>
      </c>
    </row>
    <row r="1791" spans="5:8" x14ac:dyDescent="0.25">
      <c r="E1791" t="str">
        <f>""</f>
        <v/>
      </c>
      <c r="F1791" t="str">
        <f>""</f>
        <v/>
      </c>
      <c r="G1791" t="str">
        <f t="shared" si="41"/>
        <v>MEDICARE TAXES</v>
      </c>
      <c r="H1791" s="4">
        <v>384.99</v>
      </c>
    </row>
    <row r="1792" spans="5:8" x14ac:dyDescent="0.25">
      <c r="E1792" t="str">
        <f>""</f>
        <v/>
      </c>
      <c r="F1792" t="str">
        <f>""</f>
        <v/>
      </c>
      <c r="G1792" t="str">
        <f t="shared" si="41"/>
        <v>MEDICARE TAXES</v>
      </c>
      <c r="H1792" s="4">
        <v>421.67</v>
      </c>
    </row>
    <row r="1793" spans="1:8" x14ac:dyDescent="0.25">
      <c r="E1793" t="str">
        <f>""</f>
        <v/>
      </c>
      <c r="F1793" t="str">
        <f>""</f>
        <v/>
      </c>
      <c r="G1793" t="str">
        <f t="shared" si="41"/>
        <v>MEDICARE TAXES</v>
      </c>
      <c r="H1793" s="4">
        <v>54.5</v>
      </c>
    </row>
    <row r="1794" spans="1:8" x14ac:dyDescent="0.25">
      <c r="E1794" t="str">
        <f>""</f>
        <v/>
      </c>
      <c r="F1794" t="str">
        <f>""</f>
        <v/>
      </c>
      <c r="G1794" t="str">
        <f t="shared" si="41"/>
        <v>MEDICARE TAXES</v>
      </c>
      <c r="H1794" s="4">
        <v>3.48</v>
      </c>
    </row>
    <row r="1795" spans="1:8" x14ac:dyDescent="0.25">
      <c r="E1795" t="str">
        <f>""</f>
        <v/>
      </c>
      <c r="F1795" t="str">
        <f>""</f>
        <v/>
      </c>
      <c r="G1795" t="str">
        <f t="shared" si="41"/>
        <v>MEDICARE TAXES</v>
      </c>
      <c r="H1795" s="4">
        <v>1.1200000000000001</v>
      </c>
    </row>
    <row r="1796" spans="1:8" x14ac:dyDescent="0.25">
      <c r="E1796" t="str">
        <f>""</f>
        <v/>
      </c>
      <c r="F1796" t="str">
        <f>""</f>
        <v/>
      </c>
      <c r="G1796" t="str">
        <f t="shared" si="41"/>
        <v>MEDICARE TAXES</v>
      </c>
      <c r="H1796" s="4">
        <v>4.07</v>
      </c>
    </row>
    <row r="1797" spans="1:8" x14ac:dyDescent="0.25">
      <c r="E1797" t="str">
        <f>""</f>
        <v/>
      </c>
      <c r="F1797" t="str">
        <f>""</f>
        <v/>
      </c>
      <c r="G1797" t="str">
        <f t="shared" si="41"/>
        <v>MEDICARE TAXES</v>
      </c>
      <c r="H1797" s="4">
        <v>4.84</v>
      </c>
    </row>
    <row r="1798" spans="1:8" x14ac:dyDescent="0.25">
      <c r="E1798" t="str">
        <f>""</f>
        <v/>
      </c>
      <c r="F1798" t="str">
        <f>""</f>
        <v/>
      </c>
      <c r="G1798" t="str">
        <f t="shared" si="41"/>
        <v>MEDICARE TAXES</v>
      </c>
      <c r="H1798" s="4">
        <v>88.31</v>
      </c>
    </row>
    <row r="1799" spans="1:8" x14ac:dyDescent="0.25">
      <c r="E1799" t="str">
        <f>""</f>
        <v/>
      </c>
      <c r="F1799" t="str">
        <f>""</f>
        <v/>
      </c>
      <c r="G1799" t="str">
        <f t="shared" si="41"/>
        <v>MEDICARE TAXES</v>
      </c>
      <c r="H1799" s="4">
        <v>14222.56</v>
      </c>
    </row>
    <row r="1800" spans="1:8" x14ac:dyDescent="0.25">
      <c r="E1800" t="str">
        <f>"T4 202201058186"</f>
        <v>T4 202201058186</v>
      </c>
      <c r="F1800" t="str">
        <f>"MEDICARE TAXES"</f>
        <v>MEDICARE TAXES</v>
      </c>
      <c r="G1800" t="str">
        <f t="shared" si="41"/>
        <v>MEDICARE TAXES</v>
      </c>
      <c r="H1800" s="4">
        <v>454.31</v>
      </c>
    </row>
    <row r="1801" spans="1:8" x14ac:dyDescent="0.25">
      <c r="E1801" t="str">
        <f>""</f>
        <v/>
      </c>
      <c r="F1801" t="str">
        <f>""</f>
        <v/>
      </c>
      <c r="G1801" t="str">
        <f t="shared" si="41"/>
        <v>MEDICARE TAXES</v>
      </c>
      <c r="H1801" s="4">
        <v>454.31</v>
      </c>
    </row>
    <row r="1802" spans="1:8" x14ac:dyDescent="0.25">
      <c r="E1802" t="str">
        <f>"T4 202201058187"</f>
        <v>T4 202201058187</v>
      </c>
      <c r="F1802" t="str">
        <f>"MEDICARE TAXES"</f>
        <v>MEDICARE TAXES</v>
      </c>
      <c r="G1802" t="str">
        <f t="shared" si="41"/>
        <v>MEDICARE TAXES</v>
      </c>
      <c r="H1802" s="4">
        <v>532.83000000000004</v>
      </c>
    </row>
    <row r="1803" spans="1:8" x14ac:dyDescent="0.25">
      <c r="E1803" t="str">
        <f>""</f>
        <v/>
      </c>
      <c r="F1803" t="str">
        <f>""</f>
        <v/>
      </c>
      <c r="G1803" t="str">
        <f t="shared" si="41"/>
        <v>MEDICARE TAXES</v>
      </c>
      <c r="H1803" s="4">
        <v>532.83000000000004</v>
      </c>
    </row>
    <row r="1804" spans="1:8" x14ac:dyDescent="0.25">
      <c r="A1804" t="s">
        <v>448</v>
      </c>
      <c r="B1804">
        <v>1578</v>
      </c>
      <c r="C1804" s="4">
        <v>247573.01</v>
      </c>
      <c r="D1804" s="5">
        <v>44582</v>
      </c>
      <c r="E1804" t="str">
        <f>"T1 202201198473"</f>
        <v>T1 202201198473</v>
      </c>
      <c r="F1804" t="str">
        <f t="shared" ref="F1804:G1806" si="42">"FEDERAL WITHHOLDING"</f>
        <v>FEDERAL WITHHOLDING</v>
      </c>
      <c r="G1804" t="str">
        <f t="shared" si="42"/>
        <v>FEDERAL WITHHOLDING</v>
      </c>
      <c r="H1804" s="4">
        <v>80854.09</v>
      </c>
    </row>
    <row r="1805" spans="1:8" x14ac:dyDescent="0.25">
      <c r="E1805" t="str">
        <f>"T1 202201198474"</f>
        <v>T1 202201198474</v>
      </c>
      <c r="F1805" t="str">
        <f t="shared" si="42"/>
        <v>FEDERAL WITHHOLDING</v>
      </c>
      <c r="G1805" t="str">
        <f t="shared" si="42"/>
        <v>FEDERAL WITHHOLDING</v>
      </c>
      <c r="H1805" s="4">
        <v>2630.64</v>
      </c>
    </row>
    <row r="1806" spans="1:8" x14ac:dyDescent="0.25">
      <c r="E1806" t="str">
        <f>"T1 202201198475"</f>
        <v>T1 202201198475</v>
      </c>
      <c r="F1806" t="str">
        <f t="shared" si="42"/>
        <v>FEDERAL WITHHOLDING</v>
      </c>
      <c r="G1806" t="str">
        <f t="shared" si="42"/>
        <v>FEDERAL WITHHOLDING</v>
      </c>
      <c r="H1806" s="4">
        <v>2874.9</v>
      </c>
    </row>
    <row r="1807" spans="1:8" x14ac:dyDescent="0.25">
      <c r="E1807" t="str">
        <f>"T3 202201198473"</f>
        <v>T3 202201198473</v>
      </c>
      <c r="F1807" t="str">
        <f>"SOCIAL SECURITY TAXES"</f>
        <v>SOCIAL SECURITY TAXES</v>
      </c>
      <c r="G1807" t="str">
        <f t="shared" ref="G1807:G1861" si="43">"SOCIAL SECURITY TAXES"</f>
        <v>SOCIAL SECURITY TAXES</v>
      </c>
      <c r="H1807" s="4">
        <v>531.22</v>
      </c>
    </row>
    <row r="1808" spans="1:8" x14ac:dyDescent="0.25">
      <c r="E1808" t="str">
        <f>""</f>
        <v/>
      </c>
      <c r="F1808" t="str">
        <f>""</f>
        <v/>
      </c>
      <c r="G1808" t="str">
        <f t="shared" si="43"/>
        <v>SOCIAL SECURITY TAXES</v>
      </c>
      <c r="H1808" s="4">
        <v>385.58</v>
      </c>
    </row>
    <row r="1809" spans="5:8" x14ac:dyDescent="0.25">
      <c r="E1809" t="str">
        <f>""</f>
        <v/>
      </c>
      <c r="F1809" t="str">
        <f>""</f>
        <v/>
      </c>
      <c r="G1809" t="str">
        <f t="shared" si="43"/>
        <v>SOCIAL SECURITY TAXES</v>
      </c>
      <c r="H1809" s="4">
        <v>922.04</v>
      </c>
    </row>
    <row r="1810" spans="5:8" x14ac:dyDescent="0.25">
      <c r="E1810" t="str">
        <f>""</f>
        <v/>
      </c>
      <c r="F1810" t="str">
        <f>""</f>
        <v/>
      </c>
      <c r="G1810" t="str">
        <f t="shared" si="43"/>
        <v>SOCIAL SECURITY TAXES</v>
      </c>
      <c r="H1810" s="4">
        <v>413.29</v>
      </c>
    </row>
    <row r="1811" spans="5:8" x14ac:dyDescent="0.25">
      <c r="E1811" t="str">
        <f>""</f>
        <v/>
      </c>
      <c r="F1811" t="str">
        <f>""</f>
        <v/>
      </c>
      <c r="G1811" t="str">
        <f t="shared" si="43"/>
        <v>SOCIAL SECURITY TAXES</v>
      </c>
      <c r="H1811" s="4">
        <v>231.24</v>
      </c>
    </row>
    <row r="1812" spans="5:8" x14ac:dyDescent="0.25">
      <c r="E1812" t="str">
        <f>""</f>
        <v/>
      </c>
      <c r="F1812" t="str">
        <f>""</f>
        <v/>
      </c>
      <c r="G1812" t="str">
        <f t="shared" si="43"/>
        <v>SOCIAL SECURITY TAXES</v>
      </c>
      <c r="H1812" s="4">
        <v>738.01</v>
      </c>
    </row>
    <row r="1813" spans="5:8" x14ac:dyDescent="0.25">
      <c r="E1813" t="str">
        <f>""</f>
        <v/>
      </c>
      <c r="F1813" t="str">
        <f>""</f>
        <v/>
      </c>
      <c r="G1813" t="str">
        <f t="shared" si="43"/>
        <v>SOCIAL SECURITY TAXES</v>
      </c>
      <c r="H1813" s="4">
        <v>2375.59</v>
      </c>
    </row>
    <row r="1814" spans="5:8" x14ac:dyDescent="0.25">
      <c r="E1814" t="str">
        <f>""</f>
        <v/>
      </c>
      <c r="F1814" t="str">
        <f>""</f>
        <v/>
      </c>
      <c r="G1814" t="str">
        <f t="shared" si="43"/>
        <v>SOCIAL SECURITY TAXES</v>
      </c>
      <c r="H1814" s="4">
        <v>832.33</v>
      </c>
    </row>
    <row r="1815" spans="5:8" x14ac:dyDescent="0.25">
      <c r="E1815" t="str">
        <f>""</f>
        <v/>
      </c>
      <c r="F1815" t="str">
        <f>""</f>
        <v/>
      </c>
      <c r="G1815" t="str">
        <f t="shared" si="43"/>
        <v>SOCIAL SECURITY TAXES</v>
      </c>
      <c r="H1815" s="4">
        <v>878.35</v>
      </c>
    </row>
    <row r="1816" spans="5:8" x14ac:dyDescent="0.25">
      <c r="E1816" t="str">
        <f>""</f>
        <v/>
      </c>
      <c r="F1816" t="str">
        <f>""</f>
        <v/>
      </c>
      <c r="G1816" t="str">
        <f t="shared" si="43"/>
        <v>SOCIAL SECURITY TAXES</v>
      </c>
      <c r="H1816" s="4">
        <v>1519.77</v>
      </c>
    </row>
    <row r="1817" spans="5:8" x14ac:dyDescent="0.25">
      <c r="E1817" t="str">
        <f>""</f>
        <v/>
      </c>
      <c r="F1817" t="str">
        <f>""</f>
        <v/>
      </c>
      <c r="G1817" t="str">
        <f t="shared" si="43"/>
        <v>SOCIAL SECURITY TAXES</v>
      </c>
      <c r="H1817" s="4">
        <v>455.1</v>
      </c>
    </row>
    <row r="1818" spans="5:8" x14ac:dyDescent="0.25">
      <c r="E1818" t="str">
        <f>""</f>
        <v/>
      </c>
      <c r="F1818" t="str">
        <f>""</f>
        <v/>
      </c>
      <c r="G1818" t="str">
        <f t="shared" si="43"/>
        <v>SOCIAL SECURITY TAXES</v>
      </c>
      <c r="H1818" s="4">
        <v>469.52</v>
      </c>
    </row>
    <row r="1819" spans="5:8" x14ac:dyDescent="0.25">
      <c r="E1819" t="str">
        <f>""</f>
        <v/>
      </c>
      <c r="F1819" t="str">
        <f>""</f>
        <v/>
      </c>
      <c r="G1819" t="str">
        <f t="shared" si="43"/>
        <v>SOCIAL SECURITY TAXES</v>
      </c>
      <c r="H1819" s="4">
        <v>380.96</v>
      </c>
    </row>
    <row r="1820" spans="5:8" x14ac:dyDescent="0.25">
      <c r="E1820" t="str">
        <f>""</f>
        <v/>
      </c>
      <c r="F1820" t="str">
        <f>""</f>
        <v/>
      </c>
      <c r="G1820" t="str">
        <f t="shared" si="43"/>
        <v>SOCIAL SECURITY TAXES</v>
      </c>
      <c r="H1820" s="4">
        <v>409.09</v>
      </c>
    </row>
    <row r="1821" spans="5:8" x14ac:dyDescent="0.25">
      <c r="E1821" t="str">
        <f>""</f>
        <v/>
      </c>
      <c r="F1821" t="str">
        <f>""</f>
        <v/>
      </c>
      <c r="G1821" t="str">
        <f t="shared" si="43"/>
        <v>SOCIAL SECURITY TAXES</v>
      </c>
      <c r="H1821" s="4">
        <v>225.39</v>
      </c>
    </row>
    <row r="1822" spans="5:8" x14ac:dyDescent="0.25">
      <c r="E1822" t="str">
        <f>""</f>
        <v/>
      </c>
      <c r="F1822" t="str">
        <f>""</f>
        <v/>
      </c>
      <c r="G1822" t="str">
        <f t="shared" si="43"/>
        <v>SOCIAL SECURITY TAXES</v>
      </c>
      <c r="H1822" s="4">
        <v>2697.59</v>
      </c>
    </row>
    <row r="1823" spans="5:8" x14ac:dyDescent="0.25">
      <c r="E1823" t="str">
        <f>""</f>
        <v/>
      </c>
      <c r="F1823" t="str">
        <f>""</f>
        <v/>
      </c>
      <c r="G1823" t="str">
        <f t="shared" si="43"/>
        <v>SOCIAL SECURITY TAXES</v>
      </c>
      <c r="H1823" s="4">
        <v>1274.48</v>
      </c>
    </row>
    <row r="1824" spans="5:8" x14ac:dyDescent="0.25">
      <c r="E1824" t="str">
        <f>""</f>
        <v/>
      </c>
      <c r="F1824" t="str">
        <f>""</f>
        <v/>
      </c>
      <c r="G1824" t="str">
        <f t="shared" si="43"/>
        <v>SOCIAL SECURITY TAXES</v>
      </c>
      <c r="H1824" s="4">
        <v>497.27</v>
      </c>
    </row>
    <row r="1825" spans="5:8" x14ac:dyDescent="0.25">
      <c r="E1825" t="str">
        <f>""</f>
        <v/>
      </c>
      <c r="F1825" t="str">
        <f>""</f>
        <v/>
      </c>
      <c r="G1825" t="str">
        <f t="shared" si="43"/>
        <v>SOCIAL SECURITY TAXES</v>
      </c>
      <c r="H1825" s="4">
        <v>485.22</v>
      </c>
    </row>
    <row r="1826" spans="5:8" x14ac:dyDescent="0.25">
      <c r="E1826" t="str">
        <f>""</f>
        <v/>
      </c>
      <c r="F1826" t="str">
        <f>""</f>
        <v/>
      </c>
      <c r="G1826" t="str">
        <f t="shared" si="43"/>
        <v>SOCIAL SECURITY TAXES</v>
      </c>
      <c r="H1826" s="4">
        <v>1558.59</v>
      </c>
    </row>
    <row r="1827" spans="5:8" x14ac:dyDescent="0.25">
      <c r="E1827" t="str">
        <f>""</f>
        <v/>
      </c>
      <c r="F1827" t="str">
        <f>""</f>
        <v/>
      </c>
      <c r="G1827" t="str">
        <f t="shared" si="43"/>
        <v>SOCIAL SECURITY TAXES</v>
      </c>
      <c r="H1827" s="4">
        <v>1070.32</v>
      </c>
    </row>
    <row r="1828" spans="5:8" x14ac:dyDescent="0.25">
      <c r="E1828" t="str">
        <f>""</f>
        <v/>
      </c>
      <c r="F1828" t="str">
        <f>""</f>
        <v/>
      </c>
      <c r="G1828" t="str">
        <f t="shared" si="43"/>
        <v>SOCIAL SECURITY TAXES</v>
      </c>
      <c r="H1828" s="4">
        <v>1802.08</v>
      </c>
    </row>
    <row r="1829" spans="5:8" x14ac:dyDescent="0.25">
      <c r="E1829" t="str">
        <f>""</f>
        <v/>
      </c>
      <c r="F1829" t="str">
        <f>""</f>
        <v/>
      </c>
      <c r="G1829" t="str">
        <f t="shared" si="43"/>
        <v>SOCIAL SECURITY TAXES</v>
      </c>
      <c r="H1829" s="4">
        <v>1293.05</v>
      </c>
    </row>
    <row r="1830" spans="5:8" x14ac:dyDescent="0.25">
      <c r="E1830" t="str">
        <f>""</f>
        <v/>
      </c>
      <c r="F1830" t="str">
        <f>""</f>
        <v/>
      </c>
      <c r="G1830" t="str">
        <f t="shared" si="43"/>
        <v>SOCIAL SECURITY TAXES</v>
      </c>
      <c r="H1830" s="4">
        <v>2284.0300000000002</v>
      </c>
    </row>
    <row r="1831" spans="5:8" x14ac:dyDescent="0.25">
      <c r="E1831" t="str">
        <f>""</f>
        <v/>
      </c>
      <c r="F1831" t="str">
        <f>""</f>
        <v/>
      </c>
      <c r="G1831" t="str">
        <f t="shared" si="43"/>
        <v>SOCIAL SECURITY TAXES</v>
      </c>
      <c r="H1831" s="4">
        <v>127.07</v>
      </c>
    </row>
    <row r="1832" spans="5:8" x14ac:dyDescent="0.25">
      <c r="E1832" t="str">
        <f>""</f>
        <v/>
      </c>
      <c r="F1832" t="str">
        <f>""</f>
        <v/>
      </c>
      <c r="G1832" t="str">
        <f t="shared" si="43"/>
        <v>SOCIAL SECURITY TAXES</v>
      </c>
      <c r="H1832" s="4">
        <v>140.62</v>
      </c>
    </row>
    <row r="1833" spans="5:8" x14ac:dyDescent="0.25">
      <c r="E1833" t="str">
        <f>""</f>
        <v/>
      </c>
      <c r="F1833" t="str">
        <f>""</f>
        <v/>
      </c>
      <c r="G1833" t="str">
        <f t="shared" si="43"/>
        <v>SOCIAL SECURITY TAXES</v>
      </c>
      <c r="H1833" s="4">
        <v>133.58000000000001</v>
      </c>
    </row>
    <row r="1834" spans="5:8" x14ac:dyDescent="0.25">
      <c r="E1834" t="str">
        <f>""</f>
        <v/>
      </c>
      <c r="F1834" t="str">
        <f>""</f>
        <v/>
      </c>
      <c r="G1834" t="str">
        <f t="shared" si="43"/>
        <v>SOCIAL SECURITY TAXES</v>
      </c>
      <c r="H1834" s="4">
        <v>129.66</v>
      </c>
    </row>
    <row r="1835" spans="5:8" x14ac:dyDescent="0.25">
      <c r="E1835" t="str">
        <f>""</f>
        <v/>
      </c>
      <c r="F1835" t="str">
        <f>""</f>
        <v/>
      </c>
      <c r="G1835" t="str">
        <f t="shared" si="43"/>
        <v>SOCIAL SECURITY TAXES</v>
      </c>
      <c r="H1835" s="4">
        <v>13572.88</v>
      </c>
    </row>
    <row r="1836" spans="5:8" x14ac:dyDescent="0.25">
      <c r="E1836" t="str">
        <f>""</f>
        <v/>
      </c>
      <c r="F1836" t="str">
        <f>""</f>
        <v/>
      </c>
      <c r="G1836" t="str">
        <f t="shared" si="43"/>
        <v>SOCIAL SECURITY TAXES</v>
      </c>
      <c r="H1836" s="4">
        <v>613.58000000000004</v>
      </c>
    </row>
    <row r="1837" spans="5:8" x14ac:dyDescent="0.25">
      <c r="E1837" t="str">
        <f>""</f>
        <v/>
      </c>
      <c r="F1837" t="str">
        <f>""</f>
        <v/>
      </c>
      <c r="G1837" t="str">
        <f t="shared" si="43"/>
        <v>SOCIAL SECURITY TAXES</v>
      </c>
      <c r="H1837" s="4">
        <v>11261</v>
      </c>
    </row>
    <row r="1838" spans="5:8" x14ac:dyDescent="0.25">
      <c r="E1838" t="str">
        <f>""</f>
        <v/>
      </c>
      <c r="F1838" t="str">
        <f>""</f>
        <v/>
      </c>
      <c r="G1838" t="str">
        <f t="shared" si="43"/>
        <v>SOCIAL SECURITY TAXES</v>
      </c>
      <c r="H1838" s="4">
        <v>1814.41</v>
      </c>
    </row>
    <row r="1839" spans="5:8" x14ac:dyDescent="0.25">
      <c r="E1839" t="str">
        <f>""</f>
        <v/>
      </c>
      <c r="F1839" t="str">
        <f>""</f>
        <v/>
      </c>
      <c r="G1839" t="str">
        <f t="shared" si="43"/>
        <v>SOCIAL SECURITY TAXES</v>
      </c>
      <c r="H1839" s="4">
        <v>224.67</v>
      </c>
    </row>
    <row r="1840" spans="5:8" x14ac:dyDescent="0.25">
      <c r="E1840" t="str">
        <f>""</f>
        <v/>
      </c>
      <c r="F1840" t="str">
        <f>""</f>
        <v/>
      </c>
      <c r="G1840" t="str">
        <f t="shared" si="43"/>
        <v>SOCIAL SECURITY TAXES</v>
      </c>
      <c r="H1840" s="4">
        <v>506.43</v>
      </c>
    </row>
    <row r="1841" spans="5:8" x14ac:dyDescent="0.25">
      <c r="E1841" t="str">
        <f>""</f>
        <v/>
      </c>
      <c r="F1841" t="str">
        <f>""</f>
        <v/>
      </c>
      <c r="G1841" t="str">
        <f t="shared" si="43"/>
        <v>SOCIAL SECURITY TAXES</v>
      </c>
      <c r="H1841" s="4">
        <v>34.619999999999997</v>
      </c>
    </row>
    <row r="1842" spans="5:8" x14ac:dyDescent="0.25">
      <c r="E1842" t="str">
        <f>""</f>
        <v/>
      </c>
      <c r="F1842" t="str">
        <f>""</f>
        <v/>
      </c>
      <c r="G1842" t="str">
        <f t="shared" si="43"/>
        <v>SOCIAL SECURITY TAXES</v>
      </c>
      <c r="H1842" s="4">
        <v>221.05</v>
      </c>
    </row>
    <row r="1843" spans="5:8" x14ac:dyDescent="0.25">
      <c r="E1843" t="str">
        <f>""</f>
        <v/>
      </c>
      <c r="F1843" t="str">
        <f>""</f>
        <v/>
      </c>
      <c r="G1843" t="str">
        <f t="shared" si="43"/>
        <v>SOCIAL SECURITY TAXES</v>
      </c>
      <c r="H1843" s="4">
        <v>118.44</v>
      </c>
    </row>
    <row r="1844" spans="5:8" x14ac:dyDescent="0.25">
      <c r="E1844" t="str">
        <f>""</f>
        <v/>
      </c>
      <c r="F1844" t="str">
        <f>""</f>
        <v/>
      </c>
      <c r="G1844" t="str">
        <f t="shared" si="43"/>
        <v>SOCIAL SECURITY TAXES</v>
      </c>
      <c r="H1844" s="4">
        <v>659.8</v>
      </c>
    </row>
    <row r="1845" spans="5:8" x14ac:dyDescent="0.25">
      <c r="E1845" t="str">
        <f>""</f>
        <v/>
      </c>
      <c r="F1845" t="str">
        <f>""</f>
        <v/>
      </c>
      <c r="G1845" t="str">
        <f t="shared" si="43"/>
        <v>SOCIAL SECURITY TAXES</v>
      </c>
      <c r="H1845" s="4">
        <v>306.87</v>
      </c>
    </row>
    <row r="1846" spans="5:8" x14ac:dyDescent="0.25">
      <c r="E1846" t="str">
        <f>""</f>
        <v/>
      </c>
      <c r="F1846" t="str">
        <f>""</f>
        <v/>
      </c>
      <c r="G1846" t="str">
        <f t="shared" si="43"/>
        <v>SOCIAL SECURITY TAXES</v>
      </c>
      <c r="H1846" s="4">
        <v>57.38</v>
      </c>
    </row>
    <row r="1847" spans="5:8" x14ac:dyDescent="0.25">
      <c r="E1847" t="str">
        <f>""</f>
        <v/>
      </c>
      <c r="F1847" t="str">
        <f>""</f>
        <v/>
      </c>
      <c r="G1847" t="str">
        <f t="shared" si="43"/>
        <v>SOCIAL SECURITY TAXES</v>
      </c>
      <c r="H1847" s="4">
        <v>1406.19</v>
      </c>
    </row>
    <row r="1848" spans="5:8" x14ac:dyDescent="0.25">
      <c r="E1848" t="str">
        <f>""</f>
        <v/>
      </c>
      <c r="F1848" t="str">
        <f>""</f>
        <v/>
      </c>
      <c r="G1848" t="str">
        <f t="shared" si="43"/>
        <v>SOCIAL SECURITY TAXES</v>
      </c>
      <c r="H1848" s="4">
        <v>1779</v>
      </c>
    </row>
    <row r="1849" spans="5:8" x14ac:dyDescent="0.25">
      <c r="E1849" t="str">
        <f>""</f>
        <v/>
      </c>
      <c r="F1849" t="str">
        <f>""</f>
        <v/>
      </c>
      <c r="G1849" t="str">
        <f t="shared" si="43"/>
        <v>SOCIAL SECURITY TAXES</v>
      </c>
      <c r="H1849" s="4">
        <v>1736.25</v>
      </c>
    </row>
    <row r="1850" spans="5:8" x14ac:dyDescent="0.25">
      <c r="E1850" t="str">
        <f>""</f>
        <v/>
      </c>
      <c r="F1850" t="str">
        <f>""</f>
        <v/>
      </c>
      <c r="G1850" t="str">
        <f t="shared" si="43"/>
        <v>SOCIAL SECURITY TAXES</v>
      </c>
      <c r="H1850" s="4">
        <v>1911.29</v>
      </c>
    </row>
    <row r="1851" spans="5:8" x14ac:dyDescent="0.25">
      <c r="E1851" t="str">
        <f>""</f>
        <v/>
      </c>
      <c r="F1851" t="str">
        <f>""</f>
        <v/>
      </c>
      <c r="G1851" t="str">
        <f t="shared" si="43"/>
        <v>SOCIAL SECURITY TAXES</v>
      </c>
      <c r="H1851" s="4">
        <v>232.98</v>
      </c>
    </row>
    <row r="1852" spans="5:8" x14ac:dyDescent="0.25">
      <c r="E1852" t="str">
        <f>""</f>
        <v/>
      </c>
      <c r="F1852" t="str">
        <f>""</f>
        <v/>
      </c>
      <c r="G1852" t="str">
        <f t="shared" si="43"/>
        <v>SOCIAL SECURITY TAXES</v>
      </c>
      <c r="H1852" s="4">
        <v>14.9</v>
      </c>
    </row>
    <row r="1853" spans="5:8" x14ac:dyDescent="0.25">
      <c r="E1853" t="str">
        <f>""</f>
        <v/>
      </c>
      <c r="F1853" t="str">
        <f>""</f>
        <v/>
      </c>
      <c r="G1853" t="str">
        <f t="shared" si="43"/>
        <v>SOCIAL SECURITY TAXES</v>
      </c>
      <c r="H1853" s="4">
        <v>4.8</v>
      </c>
    </row>
    <row r="1854" spans="5:8" x14ac:dyDescent="0.25">
      <c r="E1854" t="str">
        <f>""</f>
        <v/>
      </c>
      <c r="F1854" t="str">
        <f>""</f>
        <v/>
      </c>
      <c r="G1854" t="str">
        <f t="shared" si="43"/>
        <v>SOCIAL SECURITY TAXES</v>
      </c>
      <c r="H1854" s="4">
        <v>17.39</v>
      </c>
    </row>
    <row r="1855" spans="5:8" x14ac:dyDescent="0.25">
      <c r="E1855" t="str">
        <f>""</f>
        <v/>
      </c>
      <c r="F1855" t="str">
        <f>""</f>
        <v/>
      </c>
      <c r="G1855" t="str">
        <f t="shared" si="43"/>
        <v>SOCIAL SECURITY TAXES</v>
      </c>
      <c r="H1855" s="4">
        <v>20.71</v>
      </c>
    </row>
    <row r="1856" spans="5:8" x14ac:dyDescent="0.25">
      <c r="E1856" t="str">
        <f>""</f>
        <v/>
      </c>
      <c r="F1856" t="str">
        <f>""</f>
        <v/>
      </c>
      <c r="G1856" t="str">
        <f t="shared" si="43"/>
        <v>SOCIAL SECURITY TAXES</v>
      </c>
      <c r="H1856" s="4">
        <v>377.6</v>
      </c>
    </row>
    <row r="1857" spans="5:8" x14ac:dyDescent="0.25">
      <c r="E1857" t="str">
        <f>""</f>
        <v/>
      </c>
      <c r="F1857" t="str">
        <f>""</f>
        <v/>
      </c>
      <c r="G1857" t="str">
        <f t="shared" si="43"/>
        <v>SOCIAL SECURITY TAXES</v>
      </c>
      <c r="H1857" s="4">
        <v>61153.279999999999</v>
      </c>
    </row>
    <row r="1858" spans="5:8" x14ac:dyDescent="0.25">
      <c r="E1858" t="str">
        <f>"T3 202201198474"</f>
        <v>T3 202201198474</v>
      </c>
      <c r="F1858" t="str">
        <f>"SOCIAL SECURITY TAXES"</f>
        <v>SOCIAL SECURITY TAXES</v>
      </c>
      <c r="G1858" t="str">
        <f t="shared" si="43"/>
        <v>SOCIAL SECURITY TAXES</v>
      </c>
      <c r="H1858" s="4">
        <v>1870.52</v>
      </c>
    </row>
    <row r="1859" spans="5:8" x14ac:dyDescent="0.25">
      <c r="E1859" t="str">
        <f>""</f>
        <v/>
      </c>
      <c r="F1859" t="str">
        <f>""</f>
        <v/>
      </c>
      <c r="G1859" t="str">
        <f t="shared" si="43"/>
        <v>SOCIAL SECURITY TAXES</v>
      </c>
      <c r="H1859" s="4">
        <v>1870.52</v>
      </c>
    </row>
    <row r="1860" spans="5:8" x14ac:dyDescent="0.25">
      <c r="E1860" t="str">
        <f>"T3 202201198475"</f>
        <v>T3 202201198475</v>
      </c>
      <c r="F1860" t="str">
        <f>"SOCIAL SECURITY TAXES"</f>
        <v>SOCIAL SECURITY TAXES</v>
      </c>
      <c r="G1860" t="str">
        <f t="shared" si="43"/>
        <v>SOCIAL SECURITY TAXES</v>
      </c>
      <c r="H1860" s="4">
        <v>2304.44</v>
      </c>
    </row>
    <row r="1861" spans="5:8" x14ac:dyDescent="0.25">
      <c r="E1861" t="str">
        <f>""</f>
        <v/>
      </c>
      <c r="F1861" t="str">
        <f>""</f>
        <v/>
      </c>
      <c r="G1861" t="str">
        <f t="shared" si="43"/>
        <v>SOCIAL SECURITY TAXES</v>
      </c>
      <c r="H1861" s="4">
        <v>2304.44</v>
      </c>
    </row>
    <row r="1862" spans="5:8" x14ac:dyDescent="0.25">
      <c r="E1862" t="str">
        <f>"T4 202201198473"</f>
        <v>T4 202201198473</v>
      </c>
      <c r="F1862" t="str">
        <f>"MEDICARE TAXES"</f>
        <v>MEDICARE TAXES</v>
      </c>
      <c r="G1862" t="str">
        <f t="shared" ref="G1862:G1916" si="44">"MEDICARE TAXES"</f>
        <v>MEDICARE TAXES</v>
      </c>
      <c r="H1862" s="4">
        <v>124.24</v>
      </c>
    </row>
    <row r="1863" spans="5:8" x14ac:dyDescent="0.25">
      <c r="E1863" t="str">
        <f>""</f>
        <v/>
      </c>
      <c r="F1863" t="str">
        <f>""</f>
        <v/>
      </c>
      <c r="G1863" t="str">
        <f t="shared" si="44"/>
        <v>MEDICARE TAXES</v>
      </c>
      <c r="H1863" s="4">
        <v>90.19</v>
      </c>
    </row>
    <row r="1864" spans="5:8" x14ac:dyDescent="0.25">
      <c r="E1864" t="str">
        <f>""</f>
        <v/>
      </c>
      <c r="F1864" t="str">
        <f>""</f>
        <v/>
      </c>
      <c r="G1864" t="str">
        <f t="shared" si="44"/>
        <v>MEDICARE TAXES</v>
      </c>
      <c r="H1864" s="4">
        <v>215.64</v>
      </c>
    </row>
    <row r="1865" spans="5:8" x14ac:dyDescent="0.25">
      <c r="E1865" t="str">
        <f>""</f>
        <v/>
      </c>
      <c r="F1865" t="str">
        <f>""</f>
        <v/>
      </c>
      <c r="G1865" t="str">
        <f t="shared" si="44"/>
        <v>MEDICARE TAXES</v>
      </c>
      <c r="H1865" s="4">
        <v>96.66</v>
      </c>
    </row>
    <row r="1866" spans="5:8" x14ac:dyDescent="0.25">
      <c r="E1866" t="str">
        <f>""</f>
        <v/>
      </c>
      <c r="F1866" t="str">
        <f>""</f>
        <v/>
      </c>
      <c r="G1866" t="str">
        <f t="shared" si="44"/>
        <v>MEDICARE TAXES</v>
      </c>
      <c r="H1866" s="4">
        <v>54.08</v>
      </c>
    </row>
    <row r="1867" spans="5:8" x14ac:dyDescent="0.25">
      <c r="E1867" t="str">
        <f>""</f>
        <v/>
      </c>
      <c r="F1867" t="str">
        <f>""</f>
        <v/>
      </c>
      <c r="G1867" t="str">
        <f t="shared" si="44"/>
        <v>MEDICARE TAXES</v>
      </c>
      <c r="H1867" s="4">
        <v>172.61</v>
      </c>
    </row>
    <row r="1868" spans="5:8" x14ac:dyDescent="0.25">
      <c r="E1868" t="str">
        <f>""</f>
        <v/>
      </c>
      <c r="F1868" t="str">
        <f>""</f>
        <v/>
      </c>
      <c r="G1868" t="str">
        <f t="shared" si="44"/>
        <v>MEDICARE TAXES</v>
      </c>
      <c r="H1868" s="4">
        <v>555.58000000000004</v>
      </c>
    </row>
    <row r="1869" spans="5:8" x14ac:dyDescent="0.25">
      <c r="E1869" t="str">
        <f>""</f>
        <v/>
      </c>
      <c r="F1869" t="str">
        <f>""</f>
        <v/>
      </c>
      <c r="G1869" t="str">
        <f t="shared" si="44"/>
        <v>MEDICARE TAXES</v>
      </c>
      <c r="H1869" s="4">
        <v>194.66</v>
      </c>
    </row>
    <row r="1870" spans="5:8" x14ac:dyDescent="0.25">
      <c r="E1870" t="str">
        <f>""</f>
        <v/>
      </c>
      <c r="F1870" t="str">
        <f>""</f>
        <v/>
      </c>
      <c r="G1870" t="str">
        <f t="shared" si="44"/>
        <v>MEDICARE TAXES</v>
      </c>
      <c r="H1870" s="4">
        <v>205.42</v>
      </c>
    </row>
    <row r="1871" spans="5:8" x14ac:dyDescent="0.25">
      <c r="E1871" t="str">
        <f>""</f>
        <v/>
      </c>
      <c r="F1871" t="str">
        <f>""</f>
        <v/>
      </c>
      <c r="G1871" t="str">
        <f t="shared" si="44"/>
        <v>MEDICARE TAXES</v>
      </c>
      <c r="H1871" s="4">
        <v>355.42</v>
      </c>
    </row>
    <row r="1872" spans="5:8" x14ac:dyDescent="0.25">
      <c r="E1872" t="str">
        <f>""</f>
        <v/>
      </c>
      <c r="F1872" t="str">
        <f>""</f>
        <v/>
      </c>
      <c r="G1872" t="str">
        <f t="shared" si="44"/>
        <v>MEDICARE TAXES</v>
      </c>
      <c r="H1872" s="4">
        <v>106.44</v>
      </c>
    </row>
    <row r="1873" spans="5:8" x14ac:dyDescent="0.25">
      <c r="E1873" t="str">
        <f>""</f>
        <v/>
      </c>
      <c r="F1873" t="str">
        <f>""</f>
        <v/>
      </c>
      <c r="G1873" t="str">
        <f t="shared" si="44"/>
        <v>MEDICARE TAXES</v>
      </c>
      <c r="H1873" s="4">
        <v>109.8</v>
      </c>
    </row>
    <row r="1874" spans="5:8" x14ac:dyDescent="0.25">
      <c r="E1874" t="str">
        <f>""</f>
        <v/>
      </c>
      <c r="F1874" t="str">
        <f>""</f>
        <v/>
      </c>
      <c r="G1874" t="str">
        <f t="shared" si="44"/>
        <v>MEDICARE TAXES</v>
      </c>
      <c r="H1874" s="4">
        <v>89.1</v>
      </c>
    </row>
    <row r="1875" spans="5:8" x14ac:dyDescent="0.25">
      <c r="E1875" t="str">
        <f>""</f>
        <v/>
      </c>
      <c r="F1875" t="str">
        <f>""</f>
        <v/>
      </c>
      <c r="G1875" t="str">
        <f t="shared" si="44"/>
        <v>MEDICARE TAXES</v>
      </c>
      <c r="H1875" s="4">
        <v>95.67</v>
      </c>
    </row>
    <row r="1876" spans="5:8" x14ac:dyDescent="0.25">
      <c r="E1876" t="str">
        <f>""</f>
        <v/>
      </c>
      <c r="F1876" t="str">
        <f>""</f>
        <v/>
      </c>
      <c r="G1876" t="str">
        <f t="shared" si="44"/>
        <v>MEDICARE TAXES</v>
      </c>
      <c r="H1876" s="4">
        <v>52.72</v>
      </c>
    </row>
    <row r="1877" spans="5:8" x14ac:dyDescent="0.25">
      <c r="E1877" t="str">
        <f>""</f>
        <v/>
      </c>
      <c r="F1877" t="str">
        <f>""</f>
        <v/>
      </c>
      <c r="G1877" t="str">
        <f t="shared" si="44"/>
        <v>MEDICARE TAXES</v>
      </c>
      <c r="H1877" s="4">
        <v>630.91</v>
      </c>
    </row>
    <row r="1878" spans="5:8" x14ac:dyDescent="0.25">
      <c r="E1878" t="str">
        <f>""</f>
        <v/>
      </c>
      <c r="F1878" t="str">
        <f>""</f>
        <v/>
      </c>
      <c r="G1878" t="str">
        <f t="shared" si="44"/>
        <v>MEDICARE TAXES</v>
      </c>
      <c r="H1878" s="4">
        <v>298.08</v>
      </c>
    </row>
    <row r="1879" spans="5:8" x14ac:dyDescent="0.25">
      <c r="E1879" t="str">
        <f>""</f>
        <v/>
      </c>
      <c r="F1879" t="str">
        <f>""</f>
        <v/>
      </c>
      <c r="G1879" t="str">
        <f t="shared" si="44"/>
        <v>MEDICARE TAXES</v>
      </c>
      <c r="H1879" s="4">
        <v>116.29</v>
      </c>
    </row>
    <row r="1880" spans="5:8" x14ac:dyDescent="0.25">
      <c r="E1880" t="str">
        <f>""</f>
        <v/>
      </c>
      <c r="F1880" t="str">
        <f>""</f>
        <v/>
      </c>
      <c r="G1880" t="str">
        <f t="shared" si="44"/>
        <v>MEDICARE TAXES</v>
      </c>
      <c r="H1880" s="4">
        <v>113.48</v>
      </c>
    </row>
    <row r="1881" spans="5:8" x14ac:dyDescent="0.25">
      <c r="E1881" t="str">
        <f>""</f>
        <v/>
      </c>
      <c r="F1881" t="str">
        <f>""</f>
        <v/>
      </c>
      <c r="G1881" t="str">
        <f t="shared" si="44"/>
        <v>MEDICARE TAXES</v>
      </c>
      <c r="H1881" s="4">
        <v>364.51</v>
      </c>
    </row>
    <row r="1882" spans="5:8" x14ac:dyDescent="0.25">
      <c r="E1882" t="str">
        <f>""</f>
        <v/>
      </c>
      <c r="F1882" t="str">
        <f>""</f>
        <v/>
      </c>
      <c r="G1882" t="str">
        <f t="shared" si="44"/>
        <v>MEDICARE TAXES</v>
      </c>
      <c r="H1882" s="4">
        <v>250.32</v>
      </c>
    </row>
    <row r="1883" spans="5:8" x14ac:dyDescent="0.25">
      <c r="E1883" t="str">
        <f>""</f>
        <v/>
      </c>
      <c r="F1883" t="str">
        <f>""</f>
        <v/>
      </c>
      <c r="G1883" t="str">
        <f t="shared" si="44"/>
        <v>MEDICARE TAXES</v>
      </c>
      <c r="H1883" s="4">
        <v>421.46</v>
      </c>
    </row>
    <row r="1884" spans="5:8" x14ac:dyDescent="0.25">
      <c r="E1884" t="str">
        <f>""</f>
        <v/>
      </c>
      <c r="F1884" t="str">
        <f>""</f>
        <v/>
      </c>
      <c r="G1884" t="str">
        <f t="shared" si="44"/>
        <v>MEDICARE TAXES</v>
      </c>
      <c r="H1884" s="4">
        <v>302.41000000000003</v>
      </c>
    </row>
    <row r="1885" spans="5:8" x14ac:dyDescent="0.25">
      <c r="E1885" t="str">
        <f>""</f>
        <v/>
      </c>
      <c r="F1885" t="str">
        <f>""</f>
        <v/>
      </c>
      <c r="G1885" t="str">
        <f t="shared" si="44"/>
        <v>MEDICARE TAXES</v>
      </c>
      <c r="H1885" s="4">
        <v>534.16</v>
      </c>
    </row>
    <row r="1886" spans="5:8" x14ac:dyDescent="0.25">
      <c r="E1886" t="str">
        <f>""</f>
        <v/>
      </c>
      <c r="F1886" t="str">
        <f>""</f>
        <v/>
      </c>
      <c r="G1886" t="str">
        <f t="shared" si="44"/>
        <v>MEDICARE TAXES</v>
      </c>
      <c r="H1886" s="4">
        <v>29.72</v>
      </c>
    </row>
    <row r="1887" spans="5:8" x14ac:dyDescent="0.25">
      <c r="E1887" t="str">
        <f>""</f>
        <v/>
      </c>
      <c r="F1887" t="str">
        <f>""</f>
        <v/>
      </c>
      <c r="G1887" t="str">
        <f t="shared" si="44"/>
        <v>MEDICARE TAXES</v>
      </c>
      <c r="H1887" s="4">
        <v>32.89</v>
      </c>
    </row>
    <row r="1888" spans="5:8" x14ac:dyDescent="0.25">
      <c r="E1888" t="str">
        <f>""</f>
        <v/>
      </c>
      <c r="F1888" t="str">
        <f>""</f>
        <v/>
      </c>
      <c r="G1888" t="str">
        <f t="shared" si="44"/>
        <v>MEDICARE TAXES</v>
      </c>
      <c r="H1888" s="4">
        <v>31.24</v>
      </c>
    </row>
    <row r="1889" spans="5:8" x14ac:dyDescent="0.25">
      <c r="E1889" t="str">
        <f>""</f>
        <v/>
      </c>
      <c r="F1889" t="str">
        <f>""</f>
        <v/>
      </c>
      <c r="G1889" t="str">
        <f t="shared" si="44"/>
        <v>MEDICARE TAXES</v>
      </c>
      <c r="H1889" s="4">
        <v>30.32</v>
      </c>
    </row>
    <row r="1890" spans="5:8" x14ac:dyDescent="0.25">
      <c r="E1890" t="str">
        <f>""</f>
        <v/>
      </c>
      <c r="F1890" t="str">
        <f>""</f>
        <v/>
      </c>
      <c r="G1890" t="str">
        <f t="shared" si="44"/>
        <v>MEDICARE TAXES</v>
      </c>
      <c r="H1890" s="4">
        <v>3174.21</v>
      </c>
    </row>
    <row r="1891" spans="5:8" x14ac:dyDescent="0.25">
      <c r="E1891" t="str">
        <f>""</f>
        <v/>
      </c>
      <c r="F1891" t="str">
        <f>""</f>
        <v/>
      </c>
      <c r="G1891" t="str">
        <f t="shared" si="44"/>
        <v>MEDICARE TAXES</v>
      </c>
      <c r="H1891" s="4">
        <v>143.49</v>
      </c>
    </row>
    <row r="1892" spans="5:8" x14ac:dyDescent="0.25">
      <c r="E1892" t="str">
        <f>""</f>
        <v/>
      </c>
      <c r="F1892" t="str">
        <f>""</f>
        <v/>
      </c>
      <c r="G1892" t="str">
        <f t="shared" si="44"/>
        <v>MEDICARE TAXES</v>
      </c>
      <c r="H1892" s="4">
        <v>2633.75</v>
      </c>
    </row>
    <row r="1893" spans="5:8" x14ac:dyDescent="0.25">
      <c r="E1893" t="str">
        <f>""</f>
        <v/>
      </c>
      <c r="F1893" t="str">
        <f>""</f>
        <v/>
      </c>
      <c r="G1893" t="str">
        <f t="shared" si="44"/>
        <v>MEDICARE TAXES</v>
      </c>
      <c r="H1893" s="4">
        <v>424.34</v>
      </c>
    </row>
    <row r="1894" spans="5:8" x14ac:dyDescent="0.25">
      <c r="E1894" t="str">
        <f>""</f>
        <v/>
      </c>
      <c r="F1894" t="str">
        <f>""</f>
        <v/>
      </c>
      <c r="G1894" t="str">
        <f t="shared" si="44"/>
        <v>MEDICARE TAXES</v>
      </c>
      <c r="H1894" s="4">
        <v>52.54</v>
      </c>
    </row>
    <row r="1895" spans="5:8" x14ac:dyDescent="0.25">
      <c r="E1895" t="str">
        <f>""</f>
        <v/>
      </c>
      <c r="F1895" t="str">
        <f>""</f>
        <v/>
      </c>
      <c r="G1895" t="str">
        <f t="shared" si="44"/>
        <v>MEDICARE TAXES</v>
      </c>
      <c r="H1895" s="4">
        <v>118.43</v>
      </c>
    </row>
    <row r="1896" spans="5:8" x14ac:dyDescent="0.25">
      <c r="E1896" t="str">
        <f>""</f>
        <v/>
      </c>
      <c r="F1896" t="str">
        <f>""</f>
        <v/>
      </c>
      <c r="G1896" t="str">
        <f t="shared" si="44"/>
        <v>MEDICARE TAXES</v>
      </c>
      <c r="H1896" s="4">
        <v>8.09</v>
      </c>
    </row>
    <row r="1897" spans="5:8" x14ac:dyDescent="0.25">
      <c r="E1897" t="str">
        <f>""</f>
        <v/>
      </c>
      <c r="F1897" t="str">
        <f>""</f>
        <v/>
      </c>
      <c r="G1897" t="str">
        <f t="shared" si="44"/>
        <v>MEDICARE TAXES</v>
      </c>
      <c r="H1897" s="4">
        <v>51.7</v>
      </c>
    </row>
    <row r="1898" spans="5:8" x14ac:dyDescent="0.25">
      <c r="E1898" t="str">
        <f>""</f>
        <v/>
      </c>
      <c r="F1898" t="str">
        <f>""</f>
        <v/>
      </c>
      <c r="G1898" t="str">
        <f t="shared" si="44"/>
        <v>MEDICARE TAXES</v>
      </c>
      <c r="H1898" s="4">
        <v>27.7</v>
      </c>
    </row>
    <row r="1899" spans="5:8" x14ac:dyDescent="0.25">
      <c r="E1899" t="str">
        <f>""</f>
        <v/>
      </c>
      <c r="F1899" t="str">
        <f>""</f>
        <v/>
      </c>
      <c r="G1899" t="str">
        <f t="shared" si="44"/>
        <v>MEDICARE TAXES</v>
      </c>
      <c r="H1899" s="4">
        <v>154.31</v>
      </c>
    </row>
    <row r="1900" spans="5:8" x14ac:dyDescent="0.25">
      <c r="E1900" t="str">
        <f>""</f>
        <v/>
      </c>
      <c r="F1900" t="str">
        <f>""</f>
        <v/>
      </c>
      <c r="G1900" t="str">
        <f t="shared" si="44"/>
        <v>MEDICARE TAXES</v>
      </c>
      <c r="H1900" s="4">
        <v>71.77</v>
      </c>
    </row>
    <row r="1901" spans="5:8" x14ac:dyDescent="0.25">
      <c r="E1901" t="str">
        <f>""</f>
        <v/>
      </c>
      <c r="F1901" t="str">
        <f>""</f>
        <v/>
      </c>
      <c r="G1901" t="str">
        <f t="shared" si="44"/>
        <v>MEDICARE TAXES</v>
      </c>
      <c r="H1901" s="4">
        <v>13.43</v>
      </c>
    </row>
    <row r="1902" spans="5:8" x14ac:dyDescent="0.25">
      <c r="E1902" t="str">
        <f>""</f>
        <v/>
      </c>
      <c r="F1902" t="str">
        <f>""</f>
        <v/>
      </c>
      <c r="G1902" t="str">
        <f t="shared" si="44"/>
        <v>MEDICARE TAXES</v>
      </c>
      <c r="H1902" s="4">
        <v>328.87</v>
      </c>
    </row>
    <row r="1903" spans="5:8" x14ac:dyDescent="0.25">
      <c r="E1903" t="str">
        <f>""</f>
        <v/>
      </c>
      <c r="F1903" t="str">
        <f>""</f>
        <v/>
      </c>
      <c r="G1903" t="str">
        <f t="shared" si="44"/>
        <v>MEDICARE TAXES</v>
      </c>
      <c r="H1903" s="4">
        <v>416.04</v>
      </c>
    </row>
    <row r="1904" spans="5:8" x14ac:dyDescent="0.25">
      <c r="E1904" t="str">
        <f>""</f>
        <v/>
      </c>
      <c r="F1904" t="str">
        <f>""</f>
        <v/>
      </c>
      <c r="G1904" t="str">
        <f t="shared" si="44"/>
        <v>MEDICARE TAXES</v>
      </c>
      <c r="H1904" s="4">
        <v>406.05</v>
      </c>
    </row>
    <row r="1905" spans="1:8" x14ac:dyDescent="0.25">
      <c r="E1905" t="str">
        <f>""</f>
        <v/>
      </c>
      <c r="F1905" t="str">
        <f>""</f>
        <v/>
      </c>
      <c r="G1905" t="str">
        <f t="shared" si="44"/>
        <v>MEDICARE TAXES</v>
      </c>
      <c r="H1905" s="4">
        <v>446.99</v>
      </c>
    </row>
    <row r="1906" spans="1:8" x14ac:dyDescent="0.25">
      <c r="E1906" t="str">
        <f>""</f>
        <v/>
      </c>
      <c r="F1906" t="str">
        <f>""</f>
        <v/>
      </c>
      <c r="G1906" t="str">
        <f t="shared" si="44"/>
        <v>MEDICARE TAXES</v>
      </c>
      <c r="H1906" s="4">
        <v>54.5</v>
      </c>
    </row>
    <row r="1907" spans="1:8" x14ac:dyDescent="0.25">
      <c r="E1907" t="str">
        <f>""</f>
        <v/>
      </c>
      <c r="F1907" t="str">
        <f>""</f>
        <v/>
      </c>
      <c r="G1907" t="str">
        <f t="shared" si="44"/>
        <v>MEDICARE TAXES</v>
      </c>
      <c r="H1907" s="4">
        <v>3.48</v>
      </c>
    </row>
    <row r="1908" spans="1:8" x14ac:dyDescent="0.25">
      <c r="E1908" t="str">
        <f>""</f>
        <v/>
      </c>
      <c r="F1908" t="str">
        <f>""</f>
        <v/>
      </c>
      <c r="G1908" t="str">
        <f t="shared" si="44"/>
        <v>MEDICARE TAXES</v>
      </c>
      <c r="H1908" s="4">
        <v>1.1200000000000001</v>
      </c>
    </row>
    <row r="1909" spans="1:8" x14ac:dyDescent="0.25">
      <c r="E1909" t="str">
        <f>""</f>
        <v/>
      </c>
      <c r="F1909" t="str">
        <f>""</f>
        <v/>
      </c>
      <c r="G1909" t="str">
        <f t="shared" si="44"/>
        <v>MEDICARE TAXES</v>
      </c>
      <c r="H1909" s="4">
        <v>4.07</v>
      </c>
    </row>
    <row r="1910" spans="1:8" x14ac:dyDescent="0.25">
      <c r="E1910" t="str">
        <f>""</f>
        <v/>
      </c>
      <c r="F1910" t="str">
        <f>""</f>
        <v/>
      </c>
      <c r="G1910" t="str">
        <f t="shared" si="44"/>
        <v>MEDICARE TAXES</v>
      </c>
      <c r="H1910" s="4">
        <v>4.84</v>
      </c>
    </row>
    <row r="1911" spans="1:8" x14ac:dyDescent="0.25">
      <c r="E1911" t="str">
        <f>""</f>
        <v/>
      </c>
      <c r="F1911" t="str">
        <f>""</f>
        <v/>
      </c>
      <c r="G1911" t="str">
        <f t="shared" si="44"/>
        <v>MEDICARE TAXES</v>
      </c>
      <c r="H1911" s="4">
        <v>88.31</v>
      </c>
    </row>
    <row r="1912" spans="1:8" x14ac:dyDescent="0.25">
      <c r="E1912" t="str">
        <f>""</f>
        <v/>
      </c>
      <c r="F1912" t="str">
        <f>""</f>
        <v/>
      </c>
      <c r="G1912" t="str">
        <f t="shared" si="44"/>
        <v>MEDICARE TAXES</v>
      </c>
      <c r="H1912" s="4">
        <v>14302.05</v>
      </c>
    </row>
    <row r="1913" spans="1:8" x14ac:dyDescent="0.25">
      <c r="E1913" t="str">
        <f>"T4 202201198474"</f>
        <v>T4 202201198474</v>
      </c>
      <c r="F1913" t="str">
        <f>"MEDICARE TAXES"</f>
        <v>MEDICARE TAXES</v>
      </c>
      <c r="G1913" t="str">
        <f t="shared" si="44"/>
        <v>MEDICARE TAXES</v>
      </c>
      <c r="H1913" s="4">
        <v>437.46</v>
      </c>
    </row>
    <row r="1914" spans="1:8" x14ac:dyDescent="0.25">
      <c r="E1914" t="str">
        <f>""</f>
        <v/>
      </c>
      <c r="F1914" t="str">
        <f>""</f>
        <v/>
      </c>
      <c r="G1914" t="str">
        <f t="shared" si="44"/>
        <v>MEDICARE TAXES</v>
      </c>
      <c r="H1914" s="4">
        <v>437.46</v>
      </c>
    </row>
    <row r="1915" spans="1:8" x14ac:dyDescent="0.25">
      <c r="E1915" t="str">
        <f>"T4 202201198475"</f>
        <v>T4 202201198475</v>
      </c>
      <c r="F1915" t="str">
        <f>"MEDICARE TAXES"</f>
        <v>MEDICARE TAXES</v>
      </c>
      <c r="G1915" t="str">
        <f t="shared" si="44"/>
        <v>MEDICARE TAXES</v>
      </c>
      <c r="H1915" s="4">
        <v>538.94000000000005</v>
      </c>
    </row>
    <row r="1916" spans="1:8" x14ac:dyDescent="0.25">
      <c r="E1916" t="str">
        <f>""</f>
        <v/>
      </c>
      <c r="F1916" t="str">
        <f>""</f>
        <v/>
      </c>
      <c r="G1916" t="str">
        <f t="shared" si="44"/>
        <v>MEDICARE TAXES</v>
      </c>
      <c r="H1916" s="4">
        <v>538.94000000000005</v>
      </c>
    </row>
    <row r="1917" spans="1:8" x14ac:dyDescent="0.25">
      <c r="A1917" t="s">
        <v>449</v>
      </c>
      <c r="B1917">
        <v>1587</v>
      </c>
      <c r="C1917" s="4">
        <v>321.56</v>
      </c>
      <c r="D1917" s="5">
        <v>44588</v>
      </c>
      <c r="E1917" t="str">
        <f>"LIX202201058185"</f>
        <v>LIX202201058185</v>
      </c>
      <c r="F1917" t="str">
        <f>"TEXAS LIFE/OLIVO GROUP"</f>
        <v>TEXAS LIFE/OLIVO GROUP</v>
      </c>
      <c r="G1917" t="str">
        <f>"TEXAS LIFE/OLIVO GROUP"</f>
        <v>TEXAS LIFE/OLIVO GROUP</v>
      </c>
      <c r="H1917" s="4">
        <v>160.78</v>
      </c>
    </row>
    <row r="1918" spans="1:8" x14ac:dyDescent="0.25">
      <c r="E1918" t="str">
        <f>"LIX202201198473"</f>
        <v>LIX202201198473</v>
      </c>
      <c r="F1918" t="str">
        <f>"TEXAS LIFE/OLIVO GROUP"</f>
        <v>TEXAS LIFE/OLIVO GROUP</v>
      </c>
      <c r="G1918" t="str">
        <f>"TEXAS LIFE/OLIVO GROUP"</f>
        <v>TEXAS LIFE/OLIVO GROUP</v>
      </c>
      <c r="H1918" s="4">
        <v>160.78</v>
      </c>
    </row>
    <row r="1919" spans="1:8" x14ac:dyDescent="0.25">
      <c r="A1919" t="s">
        <v>450</v>
      </c>
      <c r="B1919">
        <v>48577</v>
      </c>
      <c r="C1919" s="4">
        <v>300</v>
      </c>
      <c r="D1919" s="5">
        <v>44588</v>
      </c>
      <c r="E1919" t="str">
        <f>"202201278598"</f>
        <v>202201278598</v>
      </c>
      <c r="F1919" t="str">
        <f>"ADJ - JANUARY 2022"</f>
        <v>ADJ - JANUARY 2022</v>
      </c>
      <c r="G1919" t="str">
        <f>"ADJ - JANUARY 2022"</f>
        <v>ADJ - JANUARY 2022</v>
      </c>
      <c r="H1919" s="4">
        <v>-50</v>
      </c>
    </row>
    <row r="1920" spans="1:8" x14ac:dyDescent="0.25">
      <c r="E1920" t="str">
        <f>"PHI202201058185"</f>
        <v>PHI202201058185</v>
      </c>
      <c r="F1920" t="str">
        <f>"PHI AIR"</f>
        <v>PHI AIR</v>
      </c>
      <c r="G1920" t="str">
        <f>"PHI AIR"</f>
        <v>PHI AIR</v>
      </c>
      <c r="H1920" s="4">
        <v>175</v>
      </c>
    </row>
    <row r="1921" spans="1:8" x14ac:dyDescent="0.25">
      <c r="E1921" t="str">
        <f>"PHI202201198473"</f>
        <v>PHI202201198473</v>
      </c>
      <c r="F1921" t="str">
        <f>"PHI AIR"</f>
        <v>PHI AIR</v>
      </c>
      <c r="G1921" t="str">
        <f>"PHI AIR"</f>
        <v>PHI AIR</v>
      </c>
      <c r="H1921" s="4">
        <v>175</v>
      </c>
    </row>
    <row r="1922" spans="1:8" x14ac:dyDescent="0.25">
      <c r="A1922" t="s">
        <v>451</v>
      </c>
      <c r="B1922">
        <v>1536</v>
      </c>
      <c r="C1922" s="4">
        <v>7567.55</v>
      </c>
      <c r="D1922" s="5">
        <v>44568</v>
      </c>
      <c r="E1922" t="str">
        <f>"FSA202201058185"</f>
        <v>FSA202201058185</v>
      </c>
      <c r="F1922" t="str">
        <f>"STERLING FSA"</f>
        <v>STERLING FSA</v>
      </c>
      <c r="G1922" t="str">
        <f>"STERLING FSA"</f>
        <v>STERLING FSA</v>
      </c>
      <c r="H1922" s="4">
        <v>7107.55</v>
      </c>
    </row>
    <row r="1923" spans="1:8" x14ac:dyDescent="0.25">
      <c r="E1923" t="str">
        <f>"FSA202201058186"</f>
        <v>FSA202201058186</v>
      </c>
      <c r="F1923" t="str">
        <f>"STERLING FSA"</f>
        <v>STERLING FSA</v>
      </c>
      <c r="G1923" t="str">
        <f>"STERLING FSA"</f>
        <v>STERLING FSA</v>
      </c>
      <c r="H1923" s="4">
        <v>360</v>
      </c>
    </row>
    <row r="1924" spans="1:8" x14ac:dyDescent="0.25">
      <c r="E1924" t="str">
        <f>"FSC202201058185"</f>
        <v>FSC202201058185</v>
      </c>
      <c r="F1924" t="str">
        <f>"STERLING DEPENDENT CARE"</f>
        <v>STERLING DEPENDENT CARE</v>
      </c>
      <c r="G1924" t="str">
        <f>"STERLING DEPENDENT CARE"</f>
        <v>STERLING DEPENDENT CARE</v>
      </c>
      <c r="H1924" s="4">
        <v>100</v>
      </c>
    </row>
    <row r="1925" spans="1:8" x14ac:dyDescent="0.25">
      <c r="A1925" t="s">
        <v>451</v>
      </c>
      <c r="B1925">
        <v>1537</v>
      </c>
      <c r="C1925" s="4">
        <v>6458.85</v>
      </c>
      <c r="D1925" s="5">
        <v>44568</v>
      </c>
      <c r="E1925" t="str">
        <f>"HRA202201058185"</f>
        <v>HRA202201058185</v>
      </c>
      <c r="F1925" t="str">
        <f>"STERLING HRA"</f>
        <v>STERLING HRA</v>
      </c>
      <c r="G1925" t="str">
        <f t="shared" ref="G1925:G1931" si="45">"STERLING HRA"</f>
        <v>STERLING HRA</v>
      </c>
      <c r="H1925" s="4">
        <v>375.03</v>
      </c>
    </row>
    <row r="1926" spans="1:8" x14ac:dyDescent="0.25">
      <c r="E1926" t="str">
        <f>""</f>
        <v/>
      </c>
      <c r="F1926" t="str">
        <f>""</f>
        <v/>
      </c>
      <c r="G1926" t="str">
        <f t="shared" si="45"/>
        <v>STERLING HRA</v>
      </c>
      <c r="H1926" s="4">
        <v>375.03</v>
      </c>
    </row>
    <row r="1927" spans="1:8" x14ac:dyDescent="0.25">
      <c r="E1927" t="str">
        <f>""</f>
        <v/>
      </c>
      <c r="F1927" t="str">
        <f>""</f>
        <v/>
      </c>
      <c r="G1927" t="str">
        <f t="shared" si="45"/>
        <v>STERLING HRA</v>
      </c>
      <c r="H1927" s="4">
        <v>375.03</v>
      </c>
    </row>
    <row r="1928" spans="1:8" x14ac:dyDescent="0.25">
      <c r="E1928" t="str">
        <f>""</f>
        <v/>
      </c>
      <c r="F1928" t="str">
        <f>""</f>
        <v/>
      </c>
      <c r="G1928" t="str">
        <f t="shared" si="45"/>
        <v>STERLING HRA</v>
      </c>
      <c r="H1928" s="4">
        <v>791.67</v>
      </c>
    </row>
    <row r="1929" spans="1:8" x14ac:dyDescent="0.25">
      <c r="E1929" t="str">
        <f>""</f>
        <v/>
      </c>
      <c r="F1929" t="str">
        <f>""</f>
        <v/>
      </c>
      <c r="G1929" t="str">
        <f t="shared" si="45"/>
        <v>STERLING HRA</v>
      </c>
      <c r="H1929" s="4">
        <v>3333.66</v>
      </c>
    </row>
    <row r="1930" spans="1:8" x14ac:dyDescent="0.25">
      <c r="E1930" t="str">
        <f>""</f>
        <v/>
      </c>
      <c r="F1930" t="str">
        <f>""</f>
        <v/>
      </c>
      <c r="G1930" t="str">
        <f t="shared" si="45"/>
        <v>STERLING HRA</v>
      </c>
      <c r="H1930" s="4">
        <v>750.06</v>
      </c>
    </row>
    <row r="1931" spans="1:8" x14ac:dyDescent="0.25">
      <c r="E1931" t="str">
        <f>"HRA202201058186"</f>
        <v>HRA202201058186</v>
      </c>
      <c r="F1931" t="str">
        <f>"STERLING HRA"</f>
        <v>STERLING HRA</v>
      </c>
      <c r="G1931" t="str">
        <f t="shared" si="45"/>
        <v>STERLING HRA</v>
      </c>
      <c r="H1931" s="4">
        <v>458.37</v>
      </c>
    </row>
    <row r="1932" spans="1:8" x14ac:dyDescent="0.25">
      <c r="A1932" t="s">
        <v>451</v>
      </c>
      <c r="B1932">
        <v>1579</v>
      </c>
      <c r="C1932" s="4">
        <v>7650.89</v>
      </c>
      <c r="D1932" s="5">
        <v>44582</v>
      </c>
      <c r="E1932" t="str">
        <f>"FSA202201198473"</f>
        <v>FSA202201198473</v>
      </c>
      <c r="F1932" t="str">
        <f>"STERLING FSA"</f>
        <v>STERLING FSA</v>
      </c>
      <c r="G1932" t="str">
        <f>"STERLING FSA"</f>
        <v>STERLING FSA</v>
      </c>
      <c r="H1932" s="4">
        <v>7190.89</v>
      </c>
    </row>
    <row r="1933" spans="1:8" x14ac:dyDescent="0.25">
      <c r="E1933" t="str">
        <f>"FSA202201198474"</f>
        <v>FSA202201198474</v>
      </c>
      <c r="F1933" t="str">
        <f>"STERLING FSA"</f>
        <v>STERLING FSA</v>
      </c>
      <c r="G1933" t="str">
        <f>"STERLING FSA"</f>
        <v>STERLING FSA</v>
      </c>
      <c r="H1933" s="4">
        <v>360</v>
      </c>
    </row>
    <row r="1934" spans="1:8" x14ac:dyDescent="0.25">
      <c r="E1934" t="str">
        <f>"FSC202201198473"</f>
        <v>FSC202201198473</v>
      </c>
      <c r="F1934" t="str">
        <f>"STERLING DEPENDENT CARE"</f>
        <v>STERLING DEPENDENT CARE</v>
      </c>
      <c r="G1934" t="str">
        <f>"STERLING DEPENDENT CARE"</f>
        <v>STERLING DEPENDENT CARE</v>
      </c>
      <c r="H1934" s="4">
        <v>100</v>
      </c>
    </row>
    <row r="1935" spans="1:8" x14ac:dyDescent="0.25">
      <c r="A1935" t="s">
        <v>451</v>
      </c>
      <c r="B1935">
        <v>1580</v>
      </c>
      <c r="C1935" s="4">
        <v>375.03</v>
      </c>
      <c r="D1935" s="5">
        <v>44582</v>
      </c>
      <c r="E1935" t="str">
        <f>"HRA202201198473"</f>
        <v>HRA202201198473</v>
      </c>
      <c r="F1935" t="str">
        <f>"STERLING HRA"</f>
        <v>STERLING HRA</v>
      </c>
      <c r="G1935" t="str">
        <f>"STERLING HRA"</f>
        <v>STERLING HRA</v>
      </c>
      <c r="H1935" s="4">
        <v>375.03</v>
      </c>
    </row>
    <row r="1936" spans="1:8" x14ac:dyDescent="0.25">
      <c r="A1936" t="s">
        <v>451</v>
      </c>
      <c r="B1936">
        <v>1593</v>
      </c>
      <c r="C1936" s="4">
        <v>2250.5</v>
      </c>
      <c r="D1936" s="5">
        <v>44588</v>
      </c>
      <c r="E1936" t="str">
        <f>"202201278600"</f>
        <v>202201278600</v>
      </c>
      <c r="F1936" t="str">
        <f>"ADJ - JANUARY 2022"</f>
        <v>ADJ - JANUARY 2022</v>
      </c>
      <c r="G1936" t="str">
        <f>"ADJ - JANUARY 2022"</f>
        <v>ADJ - JANUARY 2022</v>
      </c>
      <c r="H1936" s="4">
        <v>28</v>
      </c>
    </row>
    <row r="1937" spans="5:8" x14ac:dyDescent="0.25">
      <c r="E1937" t="str">
        <f>"FSF202201058185"</f>
        <v>FSF202201058185</v>
      </c>
      <c r="F1937" t="str">
        <f>"STERLING - FSA  FEES"</f>
        <v>STERLING - FSA  FEES</v>
      </c>
      <c r="G1937" t="str">
        <f t="shared" ref="G1937:G2000" si="46">"STERLING - FSA  FEES"</f>
        <v>STERLING - FSA  FEES</v>
      </c>
      <c r="H1937" s="4">
        <v>8.6</v>
      </c>
    </row>
    <row r="1938" spans="5:8" x14ac:dyDescent="0.25">
      <c r="E1938" t="str">
        <f>""</f>
        <v/>
      </c>
      <c r="F1938" t="str">
        <f>""</f>
        <v/>
      </c>
      <c r="G1938" t="str">
        <f t="shared" si="46"/>
        <v>STERLING - FSA  FEES</v>
      </c>
      <c r="H1938" s="4">
        <v>3.5</v>
      </c>
    </row>
    <row r="1939" spans="5:8" x14ac:dyDescent="0.25">
      <c r="E1939" t="str">
        <f>""</f>
        <v/>
      </c>
      <c r="F1939" t="str">
        <f>""</f>
        <v/>
      </c>
      <c r="G1939" t="str">
        <f t="shared" si="46"/>
        <v>STERLING - FSA  FEES</v>
      </c>
      <c r="H1939" s="4">
        <v>12.25</v>
      </c>
    </row>
    <row r="1940" spans="5:8" x14ac:dyDescent="0.25">
      <c r="E1940" t="str">
        <f>""</f>
        <v/>
      </c>
      <c r="F1940" t="str">
        <f>""</f>
        <v/>
      </c>
      <c r="G1940" t="str">
        <f t="shared" si="46"/>
        <v>STERLING - FSA  FEES</v>
      </c>
      <c r="H1940" s="4">
        <v>5</v>
      </c>
    </row>
    <row r="1941" spans="5:8" x14ac:dyDescent="0.25">
      <c r="E1941" t="str">
        <f>""</f>
        <v/>
      </c>
      <c r="F1941" t="str">
        <f>""</f>
        <v/>
      </c>
      <c r="G1941" t="str">
        <f t="shared" si="46"/>
        <v>STERLING - FSA  FEES</v>
      </c>
      <c r="H1941" s="4">
        <v>1.75</v>
      </c>
    </row>
    <row r="1942" spans="5:8" x14ac:dyDescent="0.25">
      <c r="E1942" t="str">
        <f>""</f>
        <v/>
      </c>
      <c r="F1942" t="str">
        <f>""</f>
        <v/>
      </c>
      <c r="G1942" t="str">
        <f t="shared" si="46"/>
        <v>STERLING - FSA  FEES</v>
      </c>
      <c r="H1942" s="4">
        <v>8.75</v>
      </c>
    </row>
    <row r="1943" spans="5:8" x14ac:dyDescent="0.25">
      <c r="E1943" t="str">
        <f>""</f>
        <v/>
      </c>
      <c r="F1943" t="str">
        <f>""</f>
        <v/>
      </c>
      <c r="G1943" t="str">
        <f t="shared" si="46"/>
        <v>STERLING - FSA  FEES</v>
      </c>
      <c r="H1943" s="4">
        <v>5.25</v>
      </c>
    </row>
    <row r="1944" spans="5:8" x14ac:dyDescent="0.25">
      <c r="E1944" t="str">
        <f>""</f>
        <v/>
      </c>
      <c r="F1944" t="str">
        <f>""</f>
        <v/>
      </c>
      <c r="G1944" t="str">
        <f t="shared" si="46"/>
        <v>STERLING - FSA  FEES</v>
      </c>
      <c r="H1944" s="4">
        <v>3.5</v>
      </c>
    </row>
    <row r="1945" spans="5:8" x14ac:dyDescent="0.25">
      <c r="E1945" t="str">
        <f>""</f>
        <v/>
      </c>
      <c r="F1945" t="str">
        <f>""</f>
        <v/>
      </c>
      <c r="G1945" t="str">
        <f t="shared" si="46"/>
        <v>STERLING - FSA  FEES</v>
      </c>
      <c r="H1945" s="4">
        <v>1.75</v>
      </c>
    </row>
    <row r="1946" spans="5:8" x14ac:dyDescent="0.25">
      <c r="E1946" t="str">
        <f>""</f>
        <v/>
      </c>
      <c r="F1946" t="str">
        <f>""</f>
        <v/>
      </c>
      <c r="G1946" t="str">
        <f t="shared" si="46"/>
        <v>STERLING - FSA  FEES</v>
      </c>
      <c r="H1946" s="4">
        <v>15.67</v>
      </c>
    </row>
    <row r="1947" spans="5:8" x14ac:dyDescent="0.25">
      <c r="E1947" t="str">
        <f>""</f>
        <v/>
      </c>
      <c r="F1947" t="str">
        <f>""</f>
        <v/>
      </c>
      <c r="G1947" t="str">
        <f t="shared" si="46"/>
        <v>STERLING - FSA  FEES</v>
      </c>
      <c r="H1947" s="4">
        <v>5.25</v>
      </c>
    </row>
    <row r="1948" spans="5:8" x14ac:dyDescent="0.25">
      <c r="E1948" t="str">
        <f>""</f>
        <v/>
      </c>
      <c r="F1948" t="str">
        <f>""</f>
        <v/>
      </c>
      <c r="G1948" t="str">
        <f t="shared" si="46"/>
        <v>STERLING - FSA  FEES</v>
      </c>
      <c r="H1948" s="4">
        <v>3.5</v>
      </c>
    </row>
    <row r="1949" spans="5:8" x14ac:dyDescent="0.25">
      <c r="E1949" t="str">
        <f>""</f>
        <v/>
      </c>
      <c r="F1949" t="str">
        <f>""</f>
        <v/>
      </c>
      <c r="G1949" t="str">
        <f t="shared" si="46"/>
        <v>STERLING - FSA  FEES</v>
      </c>
      <c r="H1949" s="4">
        <v>1.75</v>
      </c>
    </row>
    <row r="1950" spans="5:8" x14ac:dyDescent="0.25">
      <c r="E1950" t="str">
        <f>""</f>
        <v/>
      </c>
      <c r="F1950" t="str">
        <f>""</f>
        <v/>
      </c>
      <c r="G1950" t="str">
        <f t="shared" si="46"/>
        <v>STERLING - FSA  FEES</v>
      </c>
      <c r="H1950" s="4">
        <v>3.5</v>
      </c>
    </row>
    <row r="1951" spans="5:8" x14ac:dyDescent="0.25">
      <c r="E1951" t="str">
        <f>""</f>
        <v/>
      </c>
      <c r="F1951" t="str">
        <f>""</f>
        <v/>
      </c>
      <c r="G1951" t="str">
        <f t="shared" si="46"/>
        <v>STERLING - FSA  FEES</v>
      </c>
      <c r="H1951" s="4">
        <v>3.5</v>
      </c>
    </row>
    <row r="1952" spans="5:8" x14ac:dyDescent="0.25">
      <c r="E1952" t="str">
        <f>""</f>
        <v/>
      </c>
      <c r="F1952" t="str">
        <f>""</f>
        <v/>
      </c>
      <c r="G1952" t="str">
        <f t="shared" si="46"/>
        <v>STERLING - FSA  FEES</v>
      </c>
      <c r="H1952" s="4">
        <v>14</v>
      </c>
    </row>
    <row r="1953" spans="5:8" x14ac:dyDescent="0.25">
      <c r="E1953" t="str">
        <f>""</f>
        <v/>
      </c>
      <c r="F1953" t="str">
        <f>""</f>
        <v/>
      </c>
      <c r="G1953" t="str">
        <f t="shared" si="46"/>
        <v>STERLING - FSA  FEES</v>
      </c>
      <c r="H1953" s="4">
        <v>3.5</v>
      </c>
    </row>
    <row r="1954" spans="5:8" x14ac:dyDescent="0.25">
      <c r="E1954" t="str">
        <f>""</f>
        <v/>
      </c>
      <c r="F1954" t="str">
        <f>""</f>
        <v/>
      </c>
      <c r="G1954" t="str">
        <f t="shared" si="46"/>
        <v>STERLING - FSA  FEES</v>
      </c>
      <c r="H1954" s="4">
        <v>15.75</v>
      </c>
    </row>
    <row r="1955" spans="5:8" x14ac:dyDescent="0.25">
      <c r="E1955" t="str">
        <f>""</f>
        <v/>
      </c>
      <c r="F1955" t="str">
        <f>""</f>
        <v/>
      </c>
      <c r="G1955" t="str">
        <f t="shared" si="46"/>
        <v>STERLING - FSA  FEES</v>
      </c>
      <c r="H1955" s="4">
        <v>1.75</v>
      </c>
    </row>
    <row r="1956" spans="5:8" x14ac:dyDescent="0.25">
      <c r="E1956" t="str">
        <f>""</f>
        <v/>
      </c>
      <c r="F1956" t="str">
        <f>""</f>
        <v/>
      </c>
      <c r="G1956" t="str">
        <f t="shared" si="46"/>
        <v>STERLING - FSA  FEES</v>
      </c>
      <c r="H1956" s="4">
        <v>1.75</v>
      </c>
    </row>
    <row r="1957" spans="5:8" x14ac:dyDescent="0.25">
      <c r="E1957" t="str">
        <f>""</f>
        <v/>
      </c>
      <c r="F1957" t="str">
        <f>""</f>
        <v/>
      </c>
      <c r="G1957" t="str">
        <f t="shared" si="46"/>
        <v>STERLING - FSA  FEES</v>
      </c>
      <c r="H1957" s="4">
        <v>1.75</v>
      </c>
    </row>
    <row r="1958" spans="5:8" x14ac:dyDescent="0.25">
      <c r="E1958" t="str">
        <f>""</f>
        <v/>
      </c>
      <c r="F1958" t="str">
        <f>""</f>
        <v/>
      </c>
      <c r="G1958" t="str">
        <f t="shared" si="46"/>
        <v>STERLING - FSA  FEES</v>
      </c>
      <c r="H1958" s="4">
        <v>33.74</v>
      </c>
    </row>
    <row r="1959" spans="5:8" x14ac:dyDescent="0.25">
      <c r="E1959" t="str">
        <f>""</f>
        <v/>
      </c>
      <c r="F1959" t="str">
        <f>""</f>
        <v/>
      </c>
      <c r="G1959" t="str">
        <f t="shared" si="46"/>
        <v>STERLING - FSA  FEES</v>
      </c>
      <c r="H1959" s="4">
        <v>3.45</v>
      </c>
    </row>
    <row r="1960" spans="5:8" x14ac:dyDescent="0.25">
      <c r="E1960" t="str">
        <f>""</f>
        <v/>
      </c>
      <c r="F1960" t="str">
        <f>""</f>
        <v/>
      </c>
      <c r="G1960" t="str">
        <f t="shared" si="46"/>
        <v>STERLING - FSA  FEES</v>
      </c>
      <c r="H1960" s="4">
        <v>38.06</v>
      </c>
    </row>
    <row r="1961" spans="5:8" x14ac:dyDescent="0.25">
      <c r="E1961" t="str">
        <f>""</f>
        <v/>
      </c>
      <c r="F1961" t="str">
        <f>""</f>
        <v/>
      </c>
      <c r="G1961" t="str">
        <f t="shared" si="46"/>
        <v>STERLING - FSA  FEES</v>
      </c>
      <c r="H1961" s="4">
        <v>7</v>
      </c>
    </row>
    <row r="1962" spans="5:8" x14ac:dyDescent="0.25">
      <c r="E1962" t="str">
        <f>""</f>
        <v/>
      </c>
      <c r="F1962" t="str">
        <f>""</f>
        <v/>
      </c>
      <c r="G1962" t="str">
        <f t="shared" si="46"/>
        <v>STERLING - FSA  FEES</v>
      </c>
      <c r="H1962" s="4">
        <v>1.75</v>
      </c>
    </row>
    <row r="1963" spans="5:8" x14ac:dyDescent="0.25">
      <c r="E1963" t="str">
        <f>""</f>
        <v/>
      </c>
      <c r="F1963" t="str">
        <f>""</f>
        <v/>
      </c>
      <c r="G1963" t="str">
        <f t="shared" si="46"/>
        <v>STERLING - FSA  FEES</v>
      </c>
      <c r="H1963" s="4">
        <v>3.5</v>
      </c>
    </row>
    <row r="1964" spans="5:8" x14ac:dyDescent="0.25">
      <c r="E1964" t="str">
        <f>""</f>
        <v/>
      </c>
      <c r="F1964" t="str">
        <f>""</f>
        <v/>
      </c>
      <c r="G1964" t="str">
        <f t="shared" si="46"/>
        <v>STERLING - FSA  FEES</v>
      </c>
      <c r="H1964" s="4">
        <v>0.45</v>
      </c>
    </row>
    <row r="1965" spans="5:8" x14ac:dyDescent="0.25">
      <c r="E1965" t="str">
        <f>""</f>
        <v/>
      </c>
      <c r="F1965" t="str">
        <f>""</f>
        <v/>
      </c>
      <c r="G1965" t="str">
        <f t="shared" si="46"/>
        <v>STERLING - FSA  FEES</v>
      </c>
      <c r="H1965" s="4">
        <v>1.75</v>
      </c>
    </row>
    <row r="1966" spans="5:8" x14ac:dyDescent="0.25">
      <c r="E1966" t="str">
        <f>""</f>
        <v/>
      </c>
      <c r="F1966" t="str">
        <f>""</f>
        <v/>
      </c>
      <c r="G1966" t="str">
        <f t="shared" si="46"/>
        <v>STERLING - FSA  FEES</v>
      </c>
      <c r="H1966" s="4">
        <v>3.5</v>
      </c>
    </row>
    <row r="1967" spans="5:8" x14ac:dyDescent="0.25">
      <c r="E1967" t="str">
        <f>""</f>
        <v/>
      </c>
      <c r="F1967" t="str">
        <f>""</f>
        <v/>
      </c>
      <c r="G1967" t="str">
        <f t="shared" si="46"/>
        <v>STERLING - FSA  FEES</v>
      </c>
      <c r="H1967" s="4">
        <v>3.65</v>
      </c>
    </row>
    <row r="1968" spans="5:8" x14ac:dyDescent="0.25">
      <c r="E1968" t="str">
        <f>""</f>
        <v/>
      </c>
      <c r="F1968" t="str">
        <f>""</f>
        <v/>
      </c>
      <c r="G1968" t="str">
        <f t="shared" si="46"/>
        <v>STERLING - FSA  FEES</v>
      </c>
      <c r="H1968" s="4">
        <v>1.75</v>
      </c>
    </row>
    <row r="1969" spans="5:8" x14ac:dyDescent="0.25">
      <c r="E1969" t="str">
        <f>""</f>
        <v/>
      </c>
      <c r="F1969" t="str">
        <f>""</f>
        <v/>
      </c>
      <c r="G1969" t="str">
        <f t="shared" si="46"/>
        <v>STERLING - FSA  FEES</v>
      </c>
      <c r="H1969" s="4">
        <v>7</v>
      </c>
    </row>
    <row r="1970" spans="5:8" x14ac:dyDescent="0.25">
      <c r="E1970" t="str">
        <f>""</f>
        <v/>
      </c>
      <c r="F1970" t="str">
        <f>""</f>
        <v/>
      </c>
      <c r="G1970" t="str">
        <f t="shared" si="46"/>
        <v>STERLING - FSA  FEES</v>
      </c>
      <c r="H1970" s="4">
        <v>8.75</v>
      </c>
    </row>
    <row r="1971" spans="5:8" x14ac:dyDescent="0.25">
      <c r="E1971" t="str">
        <f>""</f>
        <v/>
      </c>
      <c r="F1971" t="str">
        <f>""</f>
        <v/>
      </c>
      <c r="G1971" t="str">
        <f t="shared" si="46"/>
        <v>STERLING - FSA  FEES</v>
      </c>
      <c r="H1971" s="4">
        <v>3.05</v>
      </c>
    </row>
    <row r="1972" spans="5:8" x14ac:dyDescent="0.25">
      <c r="E1972" t="str">
        <f>""</f>
        <v/>
      </c>
      <c r="F1972" t="str">
        <f>""</f>
        <v/>
      </c>
      <c r="G1972" t="str">
        <f t="shared" si="46"/>
        <v>STERLING - FSA  FEES</v>
      </c>
      <c r="H1972" s="4">
        <v>0.08</v>
      </c>
    </row>
    <row r="1973" spans="5:8" x14ac:dyDescent="0.25">
      <c r="E1973" t="str">
        <f>""</f>
        <v/>
      </c>
      <c r="F1973" t="str">
        <f>""</f>
        <v/>
      </c>
      <c r="G1973" t="str">
        <f t="shared" si="46"/>
        <v>STERLING - FSA  FEES</v>
      </c>
      <c r="H1973" s="4">
        <v>0.25</v>
      </c>
    </row>
    <row r="1974" spans="5:8" x14ac:dyDescent="0.25">
      <c r="E1974" t="str">
        <f>"FSF202201058186"</f>
        <v>FSF202201058186</v>
      </c>
      <c r="F1974" t="str">
        <f>"STERLING - FSA  FEES"</f>
        <v>STERLING - FSA  FEES</v>
      </c>
      <c r="G1974" t="str">
        <f t="shared" si="46"/>
        <v>STERLING - FSA  FEES</v>
      </c>
      <c r="H1974" s="4">
        <v>8.75</v>
      </c>
    </row>
    <row r="1975" spans="5:8" x14ac:dyDescent="0.25">
      <c r="E1975" t="str">
        <f>"FSF202201198473"</f>
        <v>FSF202201198473</v>
      </c>
      <c r="F1975" t="str">
        <f>"STERLING - FSA  FEES"</f>
        <v>STERLING - FSA  FEES</v>
      </c>
      <c r="G1975" t="str">
        <f t="shared" si="46"/>
        <v>STERLING - FSA  FEES</v>
      </c>
      <c r="H1975" s="4">
        <v>8.57</v>
      </c>
    </row>
    <row r="1976" spans="5:8" x14ac:dyDescent="0.25">
      <c r="E1976" t="str">
        <f>""</f>
        <v/>
      </c>
      <c r="F1976" t="str">
        <f>""</f>
        <v/>
      </c>
      <c r="G1976" t="str">
        <f t="shared" si="46"/>
        <v>STERLING - FSA  FEES</v>
      </c>
      <c r="H1976" s="4">
        <v>3.5</v>
      </c>
    </row>
    <row r="1977" spans="5:8" x14ac:dyDescent="0.25">
      <c r="E1977" t="str">
        <f>""</f>
        <v/>
      </c>
      <c r="F1977" t="str">
        <f>""</f>
        <v/>
      </c>
      <c r="G1977" t="str">
        <f t="shared" si="46"/>
        <v>STERLING - FSA  FEES</v>
      </c>
      <c r="H1977" s="4">
        <v>8.75</v>
      </c>
    </row>
    <row r="1978" spans="5:8" x14ac:dyDescent="0.25">
      <c r="E1978" t="str">
        <f>""</f>
        <v/>
      </c>
      <c r="F1978" t="str">
        <f>""</f>
        <v/>
      </c>
      <c r="G1978" t="str">
        <f t="shared" si="46"/>
        <v>STERLING - FSA  FEES</v>
      </c>
      <c r="H1978" s="4">
        <v>5</v>
      </c>
    </row>
    <row r="1979" spans="5:8" x14ac:dyDescent="0.25">
      <c r="E1979" t="str">
        <f>""</f>
        <v/>
      </c>
      <c r="F1979" t="str">
        <f>""</f>
        <v/>
      </c>
      <c r="G1979" t="str">
        <f t="shared" si="46"/>
        <v>STERLING - FSA  FEES</v>
      </c>
      <c r="H1979" s="4">
        <v>1.75</v>
      </c>
    </row>
    <row r="1980" spans="5:8" x14ac:dyDescent="0.25">
      <c r="E1980" t="str">
        <f>""</f>
        <v/>
      </c>
      <c r="F1980" t="str">
        <f>""</f>
        <v/>
      </c>
      <c r="G1980" t="str">
        <f t="shared" si="46"/>
        <v>STERLING - FSA  FEES</v>
      </c>
      <c r="H1980" s="4">
        <v>8.75</v>
      </c>
    </row>
    <row r="1981" spans="5:8" x14ac:dyDescent="0.25">
      <c r="E1981" t="str">
        <f>""</f>
        <v/>
      </c>
      <c r="F1981" t="str">
        <f>""</f>
        <v/>
      </c>
      <c r="G1981" t="str">
        <f t="shared" si="46"/>
        <v>STERLING - FSA  FEES</v>
      </c>
      <c r="H1981" s="4">
        <v>5.25</v>
      </c>
    </row>
    <row r="1982" spans="5:8" x14ac:dyDescent="0.25">
      <c r="E1982" t="str">
        <f>""</f>
        <v/>
      </c>
      <c r="F1982" t="str">
        <f>""</f>
        <v/>
      </c>
      <c r="G1982" t="str">
        <f t="shared" si="46"/>
        <v>STERLING - FSA  FEES</v>
      </c>
      <c r="H1982" s="4">
        <v>3.5</v>
      </c>
    </row>
    <row r="1983" spans="5:8" x14ac:dyDescent="0.25">
      <c r="E1983" t="str">
        <f>""</f>
        <v/>
      </c>
      <c r="F1983" t="str">
        <f>""</f>
        <v/>
      </c>
      <c r="G1983" t="str">
        <f t="shared" si="46"/>
        <v>STERLING - FSA  FEES</v>
      </c>
      <c r="H1983" s="4">
        <v>1.75</v>
      </c>
    </row>
    <row r="1984" spans="5:8" x14ac:dyDescent="0.25">
      <c r="E1984" t="str">
        <f>""</f>
        <v/>
      </c>
      <c r="F1984" t="str">
        <f>""</f>
        <v/>
      </c>
      <c r="G1984" t="str">
        <f t="shared" si="46"/>
        <v>STERLING - FSA  FEES</v>
      </c>
      <c r="H1984" s="4">
        <v>15.67</v>
      </c>
    </row>
    <row r="1985" spans="5:8" x14ac:dyDescent="0.25">
      <c r="E1985" t="str">
        <f>""</f>
        <v/>
      </c>
      <c r="F1985" t="str">
        <f>""</f>
        <v/>
      </c>
      <c r="G1985" t="str">
        <f t="shared" si="46"/>
        <v>STERLING - FSA  FEES</v>
      </c>
      <c r="H1985" s="4">
        <v>5.25</v>
      </c>
    </row>
    <row r="1986" spans="5:8" x14ac:dyDescent="0.25">
      <c r="E1986" t="str">
        <f>""</f>
        <v/>
      </c>
      <c r="F1986" t="str">
        <f>""</f>
        <v/>
      </c>
      <c r="G1986" t="str">
        <f t="shared" si="46"/>
        <v>STERLING - FSA  FEES</v>
      </c>
      <c r="H1986" s="4">
        <v>3.5</v>
      </c>
    </row>
    <row r="1987" spans="5:8" x14ac:dyDescent="0.25">
      <c r="E1987" t="str">
        <f>""</f>
        <v/>
      </c>
      <c r="F1987" t="str">
        <f>""</f>
        <v/>
      </c>
      <c r="G1987" t="str">
        <f t="shared" si="46"/>
        <v>STERLING - FSA  FEES</v>
      </c>
      <c r="H1987" s="4">
        <v>1.75</v>
      </c>
    </row>
    <row r="1988" spans="5:8" x14ac:dyDescent="0.25">
      <c r="E1988" t="str">
        <f>""</f>
        <v/>
      </c>
      <c r="F1988" t="str">
        <f>""</f>
        <v/>
      </c>
      <c r="G1988" t="str">
        <f t="shared" si="46"/>
        <v>STERLING - FSA  FEES</v>
      </c>
      <c r="H1988" s="4">
        <v>3.63</v>
      </c>
    </row>
    <row r="1989" spans="5:8" x14ac:dyDescent="0.25">
      <c r="E1989" t="str">
        <f>""</f>
        <v/>
      </c>
      <c r="F1989" t="str">
        <f>""</f>
        <v/>
      </c>
      <c r="G1989" t="str">
        <f t="shared" si="46"/>
        <v>STERLING - FSA  FEES</v>
      </c>
      <c r="H1989" s="4">
        <v>3.37</v>
      </c>
    </row>
    <row r="1990" spans="5:8" x14ac:dyDescent="0.25">
      <c r="E1990" t="str">
        <f>""</f>
        <v/>
      </c>
      <c r="F1990" t="str">
        <f>""</f>
        <v/>
      </c>
      <c r="G1990" t="str">
        <f t="shared" si="46"/>
        <v>STERLING - FSA  FEES</v>
      </c>
      <c r="H1990" s="4">
        <v>14</v>
      </c>
    </row>
    <row r="1991" spans="5:8" x14ac:dyDescent="0.25">
      <c r="E1991" t="str">
        <f>""</f>
        <v/>
      </c>
      <c r="F1991" t="str">
        <f>""</f>
        <v/>
      </c>
      <c r="G1991" t="str">
        <f t="shared" si="46"/>
        <v>STERLING - FSA  FEES</v>
      </c>
      <c r="H1991" s="4">
        <v>3.5</v>
      </c>
    </row>
    <row r="1992" spans="5:8" x14ac:dyDescent="0.25">
      <c r="E1992" t="str">
        <f>""</f>
        <v/>
      </c>
      <c r="F1992" t="str">
        <f>""</f>
        <v/>
      </c>
      <c r="G1992" t="str">
        <f t="shared" si="46"/>
        <v>STERLING - FSA  FEES</v>
      </c>
      <c r="H1992" s="4">
        <v>8.75</v>
      </c>
    </row>
    <row r="1993" spans="5:8" x14ac:dyDescent="0.25">
      <c r="E1993" t="str">
        <f>""</f>
        <v/>
      </c>
      <c r="F1993" t="str">
        <f>""</f>
        <v/>
      </c>
      <c r="G1993" t="str">
        <f t="shared" si="46"/>
        <v>STERLING - FSA  FEES</v>
      </c>
      <c r="H1993" s="4">
        <v>1.75</v>
      </c>
    </row>
    <row r="1994" spans="5:8" x14ac:dyDescent="0.25">
      <c r="E1994" t="str">
        <f>""</f>
        <v/>
      </c>
      <c r="F1994" t="str">
        <f>""</f>
        <v/>
      </c>
      <c r="G1994" t="str">
        <f t="shared" si="46"/>
        <v>STERLING - FSA  FEES</v>
      </c>
      <c r="H1994" s="4">
        <v>1.75</v>
      </c>
    </row>
    <row r="1995" spans="5:8" x14ac:dyDescent="0.25">
      <c r="E1995" t="str">
        <f>""</f>
        <v/>
      </c>
      <c r="F1995" t="str">
        <f>""</f>
        <v/>
      </c>
      <c r="G1995" t="str">
        <f t="shared" si="46"/>
        <v>STERLING - FSA  FEES</v>
      </c>
      <c r="H1995" s="4">
        <v>1.75</v>
      </c>
    </row>
    <row r="1996" spans="5:8" x14ac:dyDescent="0.25">
      <c r="E1996" t="str">
        <f>""</f>
        <v/>
      </c>
      <c r="F1996" t="str">
        <f>""</f>
        <v/>
      </c>
      <c r="G1996" t="str">
        <f t="shared" si="46"/>
        <v>STERLING - FSA  FEES</v>
      </c>
      <c r="H1996" s="4">
        <v>33.74</v>
      </c>
    </row>
    <row r="1997" spans="5:8" x14ac:dyDescent="0.25">
      <c r="E1997" t="str">
        <f>""</f>
        <v/>
      </c>
      <c r="F1997" t="str">
        <f>""</f>
        <v/>
      </c>
      <c r="G1997" t="str">
        <f t="shared" si="46"/>
        <v>STERLING - FSA  FEES</v>
      </c>
      <c r="H1997" s="4">
        <v>3.45</v>
      </c>
    </row>
    <row r="1998" spans="5:8" x14ac:dyDescent="0.25">
      <c r="E1998" t="str">
        <f>""</f>
        <v/>
      </c>
      <c r="F1998" t="str">
        <f>""</f>
        <v/>
      </c>
      <c r="G1998" t="str">
        <f t="shared" si="46"/>
        <v>STERLING - FSA  FEES</v>
      </c>
      <c r="H1998" s="4">
        <v>38.06</v>
      </c>
    </row>
    <row r="1999" spans="5:8" x14ac:dyDescent="0.25">
      <c r="E1999" t="str">
        <f>""</f>
        <v/>
      </c>
      <c r="F1999" t="str">
        <f>""</f>
        <v/>
      </c>
      <c r="G1999" t="str">
        <f t="shared" si="46"/>
        <v>STERLING - FSA  FEES</v>
      </c>
      <c r="H1999" s="4">
        <v>7</v>
      </c>
    </row>
    <row r="2000" spans="5:8" x14ac:dyDescent="0.25">
      <c r="E2000" t="str">
        <f>""</f>
        <v/>
      </c>
      <c r="F2000" t="str">
        <f>""</f>
        <v/>
      </c>
      <c r="G2000" t="str">
        <f t="shared" si="46"/>
        <v>STERLING - FSA  FEES</v>
      </c>
      <c r="H2000" s="4">
        <v>1.75</v>
      </c>
    </row>
    <row r="2001" spans="5:8" x14ac:dyDescent="0.25">
      <c r="E2001" t="str">
        <f>""</f>
        <v/>
      </c>
      <c r="F2001" t="str">
        <f>""</f>
        <v/>
      </c>
      <c r="G2001" t="str">
        <f t="shared" ref="G2001:G2012" si="47">"STERLING - FSA  FEES"</f>
        <v>STERLING - FSA  FEES</v>
      </c>
      <c r="H2001" s="4">
        <v>3.5</v>
      </c>
    </row>
    <row r="2002" spans="5:8" x14ac:dyDescent="0.25">
      <c r="E2002" t="str">
        <f>""</f>
        <v/>
      </c>
      <c r="F2002" t="str">
        <f>""</f>
        <v/>
      </c>
      <c r="G2002" t="str">
        <f t="shared" si="47"/>
        <v>STERLING - FSA  FEES</v>
      </c>
      <c r="H2002" s="4">
        <v>0.45</v>
      </c>
    </row>
    <row r="2003" spans="5:8" x14ac:dyDescent="0.25">
      <c r="E2003" t="str">
        <f>""</f>
        <v/>
      </c>
      <c r="F2003" t="str">
        <f>""</f>
        <v/>
      </c>
      <c r="G2003" t="str">
        <f t="shared" si="47"/>
        <v>STERLING - FSA  FEES</v>
      </c>
      <c r="H2003" s="4">
        <v>1.75</v>
      </c>
    </row>
    <row r="2004" spans="5:8" x14ac:dyDescent="0.25">
      <c r="E2004" t="str">
        <f>""</f>
        <v/>
      </c>
      <c r="F2004" t="str">
        <f>""</f>
        <v/>
      </c>
      <c r="G2004" t="str">
        <f t="shared" si="47"/>
        <v>STERLING - FSA  FEES</v>
      </c>
      <c r="H2004" s="4">
        <v>3.5</v>
      </c>
    </row>
    <row r="2005" spans="5:8" x14ac:dyDescent="0.25">
      <c r="E2005" t="str">
        <f>""</f>
        <v/>
      </c>
      <c r="F2005" t="str">
        <f>""</f>
        <v/>
      </c>
      <c r="G2005" t="str">
        <f t="shared" si="47"/>
        <v>STERLING - FSA  FEES</v>
      </c>
      <c r="H2005" s="4">
        <v>0.18</v>
      </c>
    </row>
    <row r="2006" spans="5:8" x14ac:dyDescent="0.25">
      <c r="E2006" t="str">
        <f>""</f>
        <v/>
      </c>
      <c r="F2006" t="str">
        <f>""</f>
        <v/>
      </c>
      <c r="G2006" t="str">
        <f t="shared" si="47"/>
        <v>STERLING - FSA  FEES</v>
      </c>
      <c r="H2006" s="4">
        <v>1.75</v>
      </c>
    </row>
    <row r="2007" spans="5:8" x14ac:dyDescent="0.25">
      <c r="E2007" t="str">
        <f>""</f>
        <v/>
      </c>
      <c r="F2007" t="str">
        <f>""</f>
        <v/>
      </c>
      <c r="G2007" t="str">
        <f t="shared" si="47"/>
        <v>STERLING - FSA  FEES</v>
      </c>
      <c r="H2007" s="4">
        <v>7</v>
      </c>
    </row>
    <row r="2008" spans="5:8" x14ac:dyDescent="0.25">
      <c r="E2008" t="str">
        <f>""</f>
        <v/>
      </c>
      <c r="F2008" t="str">
        <f>""</f>
        <v/>
      </c>
      <c r="G2008" t="str">
        <f t="shared" si="47"/>
        <v>STERLING - FSA  FEES</v>
      </c>
      <c r="H2008" s="4">
        <v>8.75</v>
      </c>
    </row>
    <row r="2009" spans="5:8" x14ac:dyDescent="0.25">
      <c r="E2009" t="str">
        <f>""</f>
        <v/>
      </c>
      <c r="F2009" t="str">
        <f>""</f>
        <v/>
      </c>
      <c r="G2009" t="str">
        <f t="shared" si="47"/>
        <v>STERLING - FSA  FEES</v>
      </c>
      <c r="H2009" s="4">
        <v>3.05</v>
      </c>
    </row>
    <row r="2010" spans="5:8" x14ac:dyDescent="0.25">
      <c r="E2010" t="str">
        <f>""</f>
        <v/>
      </c>
      <c r="F2010" t="str">
        <f>""</f>
        <v/>
      </c>
      <c r="G2010" t="str">
        <f t="shared" si="47"/>
        <v>STERLING - FSA  FEES</v>
      </c>
      <c r="H2010" s="4">
        <v>0.08</v>
      </c>
    </row>
    <row r="2011" spans="5:8" x14ac:dyDescent="0.25">
      <c r="E2011" t="str">
        <f>""</f>
        <v/>
      </c>
      <c r="F2011" t="str">
        <f>""</f>
        <v/>
      </c>
      <c r="G2011" t="str">
        <f t="shared" si="47"/>
        <v>STERLING - FSA  FEES</v>
      </c>
      <c r="H2011" s="4">
        <v>0.25</v>
      </c>
    </row>
    <row r="2012" spans="5:8" x14ac:dyDescent="0.25">
      <c r="E2012" t="str">
        <f>"FSF202201198474"</f>
        <v>FSF202201198474</v>
      </c>
      <c r="F2012" t="str">
        <f>"STERLING - FSA  FEES"</f>
        <v>STERLING - FSA  FEES</v>
      </c>
      <c r="G2012" t="str">
        <f t="shared" si="47"/>
        <v>STERLING - FSA  FEES</v>
      </c>
      <c r="H2012" s="4">
        <v>8.75</v>
      </c>
    </row>
    <row r="2013" spans="5:8" x14ac:dyDescent="0.25">
      <c r="E2013" t="str">
        <f>"HRF202201058185"</f>
        <v>HRF202201058185</v>
      </c>
      <c r="F2013" t="str">
        <f>"STERLING - HRA FEES"</f>
        <v>STERLING - HRA FEES</v>
      </c>
      <c r="G2013" t="str">
        <f t="shared" ref="G2013:G2076" si="48">"STERLING - HRA FEES"</f>
        <v>STERLING - HRA FEES</v>
      </c>
      <c r="H2013" s="4">
        <v>5.25</v>
      </c>
    </row>
    <row r="2014" spans="5:8" x14ac:dyDescent="0.25">
      <c r="E2014" t="str">
        <f>""</f>
        <v/>
      </c>
      <c r="F2014" t="str">
        <f>""</f>
        <v/>
      </c>
      <c r="G2014" t="str">
        <f t="shared" si="48"/>
        <v>STERLING - HRA FEES</v>
      </c>
      <c r="H2014" s="4">
        <v>3.04</v>
      </c>
    </row>
    <row r="2015" spans="5:8" x14ac:dyDescent="0.25">
      <c r="E2015" t="str">
        <f>""</f>
        <v/>
      </c>
      <c r="F2015" t="str">
        <f>""</f>
        <v/>
      </c>
      <c r="G2015" t="str">
        <f t="shared" si="48"/>
        <v>STERLING - HRA FEES</v>
      </c>
      <c r="H2015" s="4">
        <v>17.3</v>
      </c>
    </row>
    <row r="2016" spans="5:8" x14ac:dyDescent="0.25">
      <c r="E2016" t="str">
        <f>""</f>
        <v/>
      </c>
      <c r="F2016" t="str">
        <f>""</f>
        <v/>
      </c>
      <c r="G2016" t="str">
        <f t="shared" si="48"/>
        <v>STERLING - HRA FEES</v>
      </c>
      <c r="H2016" s="4">
        <v>5.25</v>
      </c>
    </row>
    <row r="2017" spans="5:8" x14ac:dyDescent="0.25">
      <c r="E2017" t="str">
        <f>""</f>
        <v/>
      </c>
      <c r="F2017" t="str">
        <f>""</f>
        <v/>
      </c>
      <c r="G2017" t="str">
        <f t="shared" si="48"/>
        <v>STERLING - HRA FEES</v>
      </c>
      <c r="H2017" s="4">
        <v>1.75</v>
      </c>
    </row>
    <row r="2018" spans="5:8" x14ac:dyDescent="0.25">
      <c r="E2018" t="str">
        <f>""</f>
        <v/>
      </c>
      <c r="F2018" t="str">
        <f>""</f>
        <v/>
      </c>
      <c r="G2018" t="str">
        <f t="shared" si="48"/>
        <v>STERLING - HRA FEES</v>
      </c>
      <c r="H2018" s="4">
        <v>12.25</v>
      </c>
    </row>
    <row r="2019" spans="5:8" x14ac:dyDescent="0.25">
      <c r="E2019" t="str">
        <f>""</f>
        <v/>
      </c>
      <c r="F2019" t="str">
        <f>""</f>
        <v/>
      </c>
      <c r="G2019" t="str">
        <f t="shared" si="48"/>
        <v>STERLING - HRA FEES</v>
      </c>
      <c r="H2019" s="4">
        <v>38.5</v>
      </c>
    </row>
    <row r="2020" spans="5:8" x14ac:dyDescent="0.25">
      <c r="E2020" t="str">
        <f>""</f>
        <v/>
      </c>
      <c r="F2020" t="str">
        <f>""</f>
        <v/>
      </c>
      <c r="G2020" t="str">
        <f t="shared" si="48"/>
        <v>STERLING - HRA FEES</v>
      </c>
      <c r="H2020" s="4">
        <v>6.75</v>
      </c>
    </row>
    <row r="2021" spans="5:8" x14ac:dyDescent="0.25">
      <c r="E2021" t="str">
        <f>""</f>
        <v/>
      </c>
      <c r="F2021" t="str">
        <f>""</f>
        <v/>
      </c>
      <c r="G2021" t="str">
        <f t="shared" si="48"/>
        <v>STERLING - HRA FEES</v>
      </c>
      <c r="H2021" s="4">
        <v>8.75</v>
      </c>
    </row>
    <row r="2022" spans="5:8" x14ac:dyDescent="0.25">
      <c r="E2022" t="str">
        <f>""</f>
        <v/>
      </c>
      <c r="F2022" t="str">
        <f>""</f>
        <v/>
      </c>
      <c r="G2022" t="str">
        <f t="shared" si="48"/>
        <v>STERLING - HRA FEES</v>
      </c>
      <c r="H2022" s="4">
        <v>28</v>
      </c>
    </row>
    <row r="2023" spans="5:8" x14ac:dyDescent="0.25">
      <c r="E2023" t="str">
        <f>""</f>
        <v/>
      </c>
      <c r="F2023" t="str">
        <f>""</f>
        <v/>
      </c>
      <c r="G2023" t="str">
        <f t="shared" si="48"/>
        <v>STERLING - HRA FEES</v>
      </c>
      <c r="H2023" s="4">
        <v>7</v>
      </c>
    </row>
    <row r="2024" spans="5:8" x14ac:dyDescent="0.25">
      <c r="E2024" t="str">
        <f>""</f>
        <v/>
      </c>
      <c r="F2024" t="str">
        <f>""</f>
        <v/>
      </c>
      <c r="G2024" t="str">
        <f t="shared" si="48"/>
        <v>STERLING - HRA FEES</v>
      </c>
      <c r="H2024" s="4">
        <v>7</v>
      </c>
    </row>
    <row r="2025" spans="5:8" x14ac:dyDescent="0.25">
      <c r="E2025" t="str">
        <f>""</f>
        <v/>
      </c>
      <c r="F2025" t="str">
        <f>""</f>
        <v/>
      </c>
      <c r="G2025" t="str">
        <f t="shared" si="48"/>
        <v>STERLING - HRA FEES</v>
      </c>
      <c r="H2025" s="4">
        <v>8.75</v>
      </c>
    </row>
    <row r="2026" spans="5:8" x14ac:dyDescent="0.25">
      <c r="E2026" t="str">
        <f>""</f>
        <v/>
      </c>
      <c r="F2026" t="str">
        <f>""</f>
        <v/>
      </c>
      <c r="G2026" t="str">
        <f t="shared" si="48"/>
        <v>STERLING - HRA FEES</v>
      </c>
      <c r="H2026" s="4">
        <v>7</v>
      </c>
    </row>
    <row r="2027" spans="5:8" x14ac:dyDescent="0.25">
      <c r="E2027" t="str">
        <f>""</f>
        <v/>
      </c>
      <c r="F2027" t="str">
        <f>""</f>
        <v/>
      </c>
      <c r="G2027" t="str">
        <f t="shared" si="48"/>
        <v>STERLING - HRA FEES</v>
      </c>
      <c r="H2027" s="4">
        <v>3.5</v>
      </c>
    </row>
    <row r="2028" spans="5:8" x14ac:dyDescent="0.25">
      <c r="E2028" t="str">
        <f>""</f>
        <v/>
      </c>
      <c r="F2028" t="str">
        <f>""</f>
        <v/>
      </c>
      <c r="G2028" t="str">
        <f t="shared" si="48"/>
        <v>STERLING - HRA FEES</v>
      </c>
      <c r="H2028" s="4">
        <v>29.47</v>
      </c>
    </row>
    <row r="2029" spans="5:8" x14ac:dyDescent="0.25">
      <c r="E2029" t="str">
        <f>""</f>
        <v/>
      </c>
      <c r="F2029" t="str">
        <f>""</f>
        <v/>
      </c>
      <c r="G2029" t="str">
        <f t="shared" si="48"/>
        <v>STERLING - HRA FEES</v>
      </c>
      <c r="H2029" s="4">
        <v>15.75</v>
      </c>
    </row>
    <row r="2030" spans="5:8" x14ac:dyDescent="0.25">
      <c r="E2030" t="str">
        <f>""</f>
        <v/>
      </c>
      <c r="F2030" t="str">
        <f>""</f>
        <v/>
      </c>
      <c r="G2030" t="str">
        <f t="shared" si="48"/>
        <v>STERLING - HRA FEES</v>
      </c>
      <c r="H2030" s="4">
        <v>7</v>
      </c>
    </row>
    <row r="2031" spans="5:8" x14ac:dyDescent="0.25">
      <c r="E2031" t="str">
        <f>""</f>
        <v/>
      </c>
      <c r="F2031" t="str">
        <f>""</f>
        <v/>
      </c>
      <c r="G2031" t="str">
        <f t="shared" si="48"/>
        <v>STERLING - HRA FEES</v>
      </c>
      <c r="H2031" s="4">
        <v>7</v>
      </c>
    </row>
    <row r="2032" spans="5:8" x14ac:dyDescent="0.25">
      <c r="E2032" t="str">
        <f>""</f>
        <v/>
      </c>
      <c r="F2032" t="str">
        <f>""</f>
        <v/>
      </c>
      <c r="G2032" t="str">
        <f t="shared" si="48"/>
        <v>STERLING - HRA FEES</v>
      </c>
      <c r="H2032" s="4">
        <v>26.25</v>
      </c>
    </row>
    <row r="2033" spans="5:8" x14ac:dyDescent="0.25">
      <c r="E2033" t="str">
        <f>""</f>
        <v/>
      </c>
      <c r="F2033" t="str">
        <f>""</f>
        <v/>
      </c>
      <c r="G2033" t="str">
        <f t="shared" si="48"/>
        <v>STERLING - HRA FEES</v>
      </c>
      <c r="H2033" s="4">
        <v>14</v>
      </c>
    </row>
    <row r="2034" spans="5:8" x14ac:dyDescent="0.25">
      <c r="E2034" t="str">
        <f>""</f>
        <v/>
      </c>
      <c r="F2034" t="str">
        <f>""</f>
        <v/>
      </c>
      <c r="G2034" t="str">
        <f t="shared" si="48"/>
        <v>STERLING - HRA FEES</v>
      </c>
      <c r="H2034" s="4">
        <v>21</v>
      </c>
    </row>
    <row r="2035" spans="5:8" x14ac:dyDescent="0.25">
      <c r="E2035" t="str">
        <f>""</f>
        <v/>
      </c>
      <c r="F2035" t="str">
        <f>""</f>
        <v/>
      </c>
      <c r="G2035" t="str">
        <f t="shared" si="48"/>
        <v>STERLING - HRA FEES</v>
      </c>
      <c r="H2035" s="4">
        <v>24.5</v>
      </c>
    </row>
    <row r="2036" spans="5:8" x14ac:dyDescent="0.25">
      <c r="E2036" t="str">
        <f>""</f>
        <v/>
      </c>
      <c r="F2036" t="str">
        <f>""</f>
        <v/>
      </c>
      <c r="G2036" t="str">
        <f t="shared" si="48"/>
        <v>STERLING - HRA FEES</v>
      </c>
      <c r="H2036" s="4">
        <v>42.03</v>
      </c>
    </row>
    <row r="2037" spans="5:8" x14ac:dyDescent="0.25">
      <c r="E2037" t="str">
        <f>""</f>
        <v/>
      </c>
      <c r="F2037" t="str">
        <f>""</f>
        <v/>
      </c>
      <c r="G2037" t="str">
        <f t="shared" si="48"/>
        <v>STERLING - HRA FEES</v>
      </c>
      <c r="H2037" s="4">
        <v>1.75</v>
      </c>
    </row>
    <row r="2038" spans="5:8" x14ac:dyDescent="0.25">
      <c r="E2038" t="str">
        <f>""</f>
        <v/>
      </c>
      <c r="F2038" t="str">
        <f>""</f>
        <v/>
      </c>
      <c r="G2038" t="str">
        <f t="shared" si="48"/>
        <v>STERLING - HRA FEES</v>
      </c>
      <c r="H2038" s="4">
        <v>1.75</v>
      </c>
    </row>
    <row r="2039" spans="5:8" x14ac:dyDescent="0.25">
      <c r="E2039" t="str">
        <f>""</f>
        <v/>
      </c>
      <c r="F2039" t="str">
        <f>""</f>
        <v/>
      </c>
      <c r="G2039" t="str">
        <f t="shared" si="48"/>
        <v>STERLING - HRA FEES</v>
      </c>
      <c r="H2039" s="4">
        <v>1.75</v>
      </c>
    </row>
    <row r="2040" spans="5:8" x14ac:dyDescent="0.25">
      <c r="E2040" t="str">
        <f>""</f>
        <v/>
      </c>
      <c r="F2040" t="str">
        <f>""</f>
        <v/>
      </c>
      <c r="G2040" t="str">
        <f t="shared" si="48"/>
        <v>STERLING - HRA FEES</v>
      </c>
      <c r="H2040" s="4">
        <v>1.75</v>
      </c>
    </row>
    <row r="2041" spans="5:8" x14ac:dyDescent="0.25">
      <c r="E2041" t="str">
        <f>""</f>
        <v/>
      </c>
      <c r="F2041" t="str">
        <f>""</f>
        <v/>
      </c>
      <c r="G2041" t="str">
        <f t="shared" si="48"/>
        <v>STERLING - HRA FEES</v>
      </c>
      <c r="H2041" s="4">
        <v>168.23</v>
      </c>
    </row>
    <row r="2042" spans="5:8" x14ac:dyDescent="0.25">
      <c r="E2042" t="str">
        <f>""</f>
        <v/>
      </c>
      <c r="F2042" t="str">
        <f>""</f>
        <v/>
      </c>
      <c r="G2042" t="str">
        <f t="shared" si="48"/>
        <v>STERLING - HRA FEES</v>
      </c>
      <c r="H2042" s="4">
        <v>6.9</v>
      </c>
    </row>
    <row r="2043" spans="5:8" x14ac:dyDescent="0.25">
      <c r="E2043" t="str">
        <f>""</f>
        <v/>
      </c>
      <c r="F2043" t="str">
        <f>""</f>
        <v/>
      </c>
      <c r="G2043" t="str">
        <f t="shared" si="48"/>
        <v>STERLING - HRA FEES</v>
      </c>
      <c r="H2043" s="4">
        <v>155.63</v>
      </c>
    </row>
    <row r="2044" spans="5:8" x14ac:dyDescent="0.25">
      <c r="E2044" t="str">
        <f>""</f>
        <v/>
      </c>
      <c r="F2044" t="str">
        <f>""</f>
        <v/>
      </c>
      <c r="G2044" t="str">
        <f t="shared" si="48"/>
        <v>STERLING - HRA FEES</v>
      </c>
      <c r="H2044" s="4">
        <v>29.75</v>
      </c>
    </row>
    <row r="2045" spans="5:8" x14ac:dyDescent="0.25">
      <c r="E2045" t="str">
        <f>""</f>
        <v/>
      </c>
      <c r="F2045" t="str">
        <f>""</f>
        <v/>
      </c>
      <c r="G2045" t="str">
        <f t="shared" si="48"/>
        <v>STERLING - HRA FEES</v>
      </c>
      <c r="H2045" s="4">
        <v>1.75</v>
      </c>
    </row>
    <row r="2046" spans="5:8" x14ac:dyDescent="0.25">
      <c r="E2046" t="str">
        <f>""</f>
        <v/>
      </c>
      <c r="F2046" t="str">
        <f>""</f>
        <v/>
      </c>
      <c r="G2046" t="str">
        <f t="shared" si="48"/>
        <v>STERLING - HRA FEES</v>
      </c>
      <c r="H2046" s="4">
        <v>8.75</v>
      </c>
    </row>
    <row r="2047" spans="5:8" x14ac:dyDescent="0.25">
      <c r="E2047" t="str">
        <f>""</f>
        <v/>
      </c>
      <c r="F2047" t="str">
        <f>""</f>
        <v/>
      </c>
      <c r="G2047" t="str">
        <f t="shared" si="48"/>
        <v>STERLING - HRA FEES</v>
      </c>
      <c r="H2047" s="4">
        <v>0.45</v>
      </c>
    </row>
    <row r="2048" spans="5:8" x14ac:dyDescent="0.25">
      <c r="E2048" t="str">
        <f>""</f>
        <v/>
      </c>
      <c r="F2048" t="str">
        <f>""</f>
        <v/>
      </c>
      <c r="G2048" t="str">
        <f t="shared" si="48"/>
        <v>STERLING - HRA FEES</v>
      </c>
      <c r="H2048" s="4">
        <v>7</v>
      </c>
    </row>
    <row r="2049" spans="5:8" x14ac:dyDescent="0.25">
      <c r="E2049" t="str">
        <f>""</f>
        <v/>
      </c>
      <c r="F2049" t="str">
        <f>""</f>
        <v/>
      </c>
      <c r="G2049" t="str">
        <f t="shared" si="48"/>
        <v>STERLING - HRA FEES</v>
      </c>
      <c r="H2049" s="4">
        <v>1.75</v>
      </c>
    </row>
    <row r="2050" spans="5:8" x14ac:dyDescent="0.25">
      <c r="E2050" t="str">
        <f>""</f>
        <v/>
      </c>
      <c r="F2050" t="str">
        <f>""</f>
        <v/>
      </c>
      <c r="G2050" t="str">
        <f t="shared" si="48"/>
        <v>STERLING - HRA FEES</v>
      </c>
      <c r="H2050" s="4">
        <v>7</v>
      </c>
    </row>
    <row r="2051" spans="5:8" x14ac:dyDescent="0.25">
      <c r="E2051" t="str">
        <f>""</f>
        <v/>
      </c>
      <c r="F2051" t="str">
        <f>""</f>
        <v/>
      </c>
      <c r="G2051" t="str">
        <f t="shared" si="48"/>
        <v>STERLING - HRA FEES</v>
      </c>
      <c r="H2051" s="4">
        <v>3.5</v>
      </c>
    </row>
    <row r="2052" spans="5:8" x14ac:dyDescent="0.25">
      <c r="E2052" t="str">
        <f>""</f>
        <v/>
      </c>
      <c r="F2052" t="str">
        <f>""</f>
        <v/>
      </c>
      <c r="G2052" t="str">
        <f t="shared" si="48"/>
        <v>STERLING - HRA FEES</v>
      </c>
      <c r="H2052" s="4">
        <v>3.7</v>
      </c>
    </row>
    <row r="2053" spans="5:8" x14ac:dyDescent="0.25">
      <c r="E2053" t="str">
        <f>""</f>
        <v/>
      </c>
      <c r="F2053" t="str">
        <f>""</f>
        <v/>
      </c>
      <c r="G2053" t="str">
        <f t="shared" si="48"/>
        <v>STERLING - HRA FEES</v>
      </c>
      <c r="H2053" s="4">
        <v>24.17</v>
      </c>
    </row>
    <row r="2054" spans="5:8" x14ac:dyDescent="0.25">
      <c r="E2054" t="str">
        <f>""</f>
        <v/>
      </c>
      <c r="F2054" t="str">
        <f>""</f>
        <v/>
      </c>
      <c r="G2054" t="str">
        <f t="shared" si="48"/>
        <v>STERLING - HRA FEES</v>
      </c>
      <c r="H2054" s="4">
        <v>24.17</v>
      </c>
    </row>
    <row r="2055" spans="5:8" x14ac:dyDescent="0.25">
      <c r="E2055" t="str">
        <f>""</f>
        <v/>
      </c>
      <c r="F2055" t="str">
        <f>""</f>
        <v/>
      </c>
      <c r="G2055" t="str">
        <f t="shared" si="48"/>
        <v>STERLING - HRA FEES</v>
      </c>
      <c r="H2055" s="4">
        <v>24.17</v>
      </c>
    </row>
    <row r="2056" spans="5:8" x14ac:dyDescent="0.25">
      <c r="E2056" t="str">
        <f>""</f>
        <v/>
      </c>
      <c r="F2056" t="str">
        <f>""</f>
        <v/>
      </c>
      <c r="G2056" t="str">
        <f t="shared" si="48"/>
        <v>STERLING - HRA FEES</v>
      </c>
      <c r="H2056" s="4">
        <v>25.92</v>
      </c>
    </row>
    <row r="2057" spans="5:8" x14ac:dyDescent="0.25">
      <c r="E2057" t="str">
        <f>""</f>
        <v/>
      </c>
      <c r="F2057" t="str">
        <f>""</f>
        <v/>
      </c>
      <c r="G2057" t="str">
        <f t="shared" si="48"/>
        <v>STERLING - HRA FEES</v>
      </c>
      <c r="H2057" s="4">
        <v>3.05</v>
      </c>
    </row>
    <row r="2058" spans="5:8" x14ac:dyDescent="0.25">
      <c r="E2058" t="str">
        <f>""</f>
        <v/>
      </c>
      <c r="F2058" t="str">
        <f>""</f>
        <v/>
      </c>
      <c r="G2058" t="str">
        <f t="shared" si="48"/>
        <v>STERLING - HRA FEES</v>
      </c>
      <c r="H2058" s="4">
        <v>0.05</v>
      </c>
    </row>
    <row r="2059" spans="5:8" x14ac:dyDescent="0.25">
      <c r="E2059" t="str">
        <f>""</f>
        <v/>
      </c>
      <c r="F2059" t="str">
        <f>""</f>
        <v/>
      </c>
      <c r="G2059" t="str">
        <f t="shared" si="48"/>
        <v>STERLING - HRA FEES</v>
      </c>
      <c r="H2059" s="4">
        <v>0.23</v>
      </c>
    </row>
    <row r="2060" spans="5:8" x14ac:dyDescent="0.25">
      <c r="E2060" t="str">
        <f>""</f>
        <v/>
      </c>
      <c r="F2060" t="str">
        <f>""</f>
        <v/>
      </c>
      <c r="G2060" t="str">
        <f t="shared" si="48"/>
        <v>STERLING - HRA FEES</v>
      </c>
      <c r="H2060" s="4">
        <v>0.25</v>
      </c>
    </row>
    <row r="2061" spans="5:8" x14ac:dyDescent="0.25">
      <c r="E2061" t="str">
        <f>""</f>
        <v/>
      </c>
      <c r="F2061" t="str">
        <f>""</f>
        <v/>
      </c>
      <c r="G2061" t="str">
        <f t="shared" si="48"/>
        <v>STERLING - HRA FEES</v>
      </c>
      <c r="H2061" s="4">
        <v>1.74</v>
      </c>
    </row>
    <row r="2062" spans="5:8" x14ac:dyDescent="0.25">
      <c r="E2062" t="str">
        <f>"HRF202201058186"</f>
        <v>HRF202201058186</v>
      </c>
      <c r="F2062" t="str">
        <f>"STERLING - HRA FEES"</f>
        <v>STERLING - HRA FEES</v>
      </c>
      <c r="G2062" t="str">
        <f t="shared" si="48"/>
        <v>STERLING - HRA FEES</v>
      </c>
      <c r="H2062" s="4">
        <v>26.25</v>
      </c>
    </row>
    <row r="2063" spans="5:8" x14ac:dyDescent="0.25">
      <c r="E2063" t="str">
        <f>"HRF202201198473"</f>
        <v>HRF202201198473</v>
      </c>
      <c r="F2063" t="str">
        <f>"STERLING - HRA FEES"</f>
        <v>STERLING - HRA FEES</v>
      </c>
      <c r="G2063" t="str">
        <f t="shared" si="48"/>
        <v>STERLING - HRA FEES</v>
      </c>
      <c r="H2063" s="4">
        <v>5.25</v>
      </c>
    </row>
    <row r="2064" spans="5:8" x14ac:dyDescent="0.25">
      <c r="E2064" t="str">
        <f>""</f>
        <v/>
      </c>
      <c r="F2064" t="str">
        <f>""</f>
        <v/>
      </c>
      <c r="G2064" t="str">
        <f t="shared" si="48"/>
        <v>STERLING - HRA FEES</v>
      </c>
      <c r="H2064" s="4">
        <v>3.04</v>
      </c>
    </row>
    <row r="2065" spans="5:8" x14ac:dyDescent="0.25">
      <c r="E2065" t="str">
        <f>""</f>
        <v/>
      </c>
      <c r="F2065" t="str">
        <f>""</f>
        <v/>
      </c>
      <c r="G2065" t="str">
        <f t="shared" si="48"/>
        <v>STERLING - HRA FEES</v>
      </c>
      <c r="H2065" s="4">
        <v>13.8</v>
      </c>
    </row>
    <row r="2066" spans="5:8" x14ac:dyDescent="0.25">
      <c r="E2066" t="str">
        <f>""</f>
        <v/>
      </c>
      <c r="F2066" t="str">
        <f>""</f>
        <v/>
      </c>
      <c r="G2066" t="str">
        <f t="shared" si="48"/>
        <v>STERLING - HRA FEES</v>
      </c>
      <c r="H2066" s="4">
        <v>5.25</v>
      </c>
    </row>
    <row r="2067" spans="5:8" x14ac:dyDescent="0.25">
      <c r="E2067" t="str">
        <f>""</f>
        <v/>
      </c>
      <c r="F2067" t="str">
        <f>""</f>
        <v/>
      </c>
      <c r="G2067" t="str">
        <f t="shared" si="48"/>
        <v>STERLING - HRA FEES</v>
      </c>
      <c r="H2067" s="4">
        <v>1.75</v>
      </c>
    </row>
    <row r="2068" spans="5:8" x14ac:dyDescent="0.25">
      <c r="E2068" t="str">
        <f>""</f>
        <v/>
      </c>
      <c r="F2068" t="str">
        <f>""</f>
        <v/>
      </c>
      <c r="G2068" t="str">
        <f t="shared" si="48"/>
        <v>STERLING - HRA FEES</v>
      </c>
      <c r="H2068" s="4">
        <v>10.5</v>
      </c>
    </row>
    <row r="2069" spans="5:8" x14ac:dyDescent="0.25">
      <c r="E2069" t="str">
        <f>""</f>
        <v/>
      </c>
      <c r="F2069" t="str">
        <f>""</f>
        <v/>
      </c>
      <c r="G2069" t="str">
        <f t="shared" si="48"/>
        <v>STERLING - HRA FEES</v>
      </c>
      <c r="H2069" s="4">
        <v>35</v>
      </c>
    </row>
    <row r="2070" spans="5:8" x14ac:dyDescent="0.25">
      <c r="E2070" t="str">
        <f>""</f>
        <v/>
      </c>
      <c r="F2070" t="str">
        <f>""</f>
        <v/>
      </c>
      <c r="G2070" t="str">
        <f t="shared" si="48"/>
        <v>STERLING - HRA FEES</v>
      </c>
      <c r="H2070" s="4">
        <v>6.75</v>
      </c>
    </row>
    <row r="2071" spans="5:8" x14ac:dyDescent="0.25">
      <c r="E2071" t="str">
        <f>""</f>
        <v/>
      </c>
      <c r="F2071" t="str">
        <f>""</f>
        <v/>
      </c>
      <c r="G2071" t="str">
        <f t="shared" si="48"/>
        <v>STERLING - HRA FEES</v>
      </c>
      <c r="H2071" s="4">
        <v>8.75</v>
      </c>
    </row>
    <row r="2072" spans="5:8" x14ac:dyDescent="0.25">
      <c r="E2072" t="str">
        <f>""</f>
        <v/>
      </c>
      <c r="F2072" t="str">
        <f>""</f>
        <v/>
      </c>
      <c r="G2072" t="str">
        <f t="shared" si="48"/>
        <v>STERLING - HRA FEES</v>
      </c>
      <c r="H2072" s="4">
        <v>28</v>
      </c>
    </row>
    <row r="2073" spans="5:8" x14ac:dyDescent="0.25">
      <c r="E2073" t="str">
        <f>""</f>
        <v/>
      </c>
      <c r="F2073" t="str">
        <f>""</f>
        <v/>
      </c>
      <c r="G2073" t="str">
        <f t="shared" si="48"/>
        <v>STERLING - HRA FEES</v>
      </c>
      <c r="H2073" s="4">
        <v>7</v>
      </c>
    </row>
    <row r="2074" spans="5:8" x14ac:dyDescent="0.25">
      <c r="E2074" t="str">
        <f>""</f>
        <v/>
      </c>
      <c r="F2074" t="str">
        <f>""</f>
        <v/>
      </c>
      <c r="G2074" t="str">
        <f t="shared" si="48"/>
        <v>STERLING - HRA FEES</v>
      </c>
      <c r="H2074" s="4">
        <v>7</v>
      </c>
    </row>
    <row r="2075" spans="5:8" x14ac:dyDescent="0.25">
      <c r="E2075" t="str">
        <f>""</f>
        <v/>
      </c>
      <c r="F2075" t="str">
        <f>""</f>
        <v/>
      </c>
      <c r="G2075" t="str">
        <f t="shared" si="48"/>
        <v>STERLING - HRA FEES</v>
      </c>
      <c r="H2075" s="4">
        <v>8.75</v>
      </c>
    </row>
    <row r="2076" spans="5:8" x14ac:dyDescent="0.25">
      <c r="E2076" t="str">
        <f>""</f>
        <v/>
      </c>
      <c r="F2076" t="str">
        <f>""</f>
        <v/>
      </c>
      <c r="G2076" t="str">
        <f t="shared" si="48"/>
        <v>STERLING - HRA FEES</v>
      </c>
      <c r="H2076" s="4">
        <v>7</v>
      </c>
    </row>
    <row r="2077" spans="5:8" x14ac:dyDescent="0.25">
      <c r="E2077" t="str">
        <f>""</f>
        <v/>
      </c>
      <c r="F2077" t="str">
        <f>""</f>
        <v/>
      </c>
      <c r="G2077" t="str">
        <f t="shared" ref="G2077:G2112" si="49">"STERLING - HRA FEES"</f>
        <v>STERLING - HRA FEES</v>
      </c>
      <c r="H2077" s="4">
        <v>3.5</v>
      </c>
    </row>
    <row r="2078" spans="5:8" x14ac:dyDescent="0.25">
      <c r="E2078" t="str">
        <f>""</f>
        <v/>
      </c>
      <c r="F2078" t="str">
        <f>""</f>
        <v/>
      </c>
      <c r="G2078" t="str">
        <f t="shared" si="49"/>
        <v>STERLING - HRA FEES</v>
      </c>
      <c r="H2078" s="4">
        <v>29.47</v>
      </c>
    </row>
    <row r="2079" spans="5:8" x14ac:dyDescent="0.25">
      <c r="E2079" t="str">
        <f>""</f>
        <v/>
      </c>
      <c r="F2079" t="str">
        <f>""</f>
        <v/>
      </c>
      <c r="G2079" t="str">
        <f t="shared" si="49"/>
        <v>STERLING - HRA FEES</v>
      </c>
      <c r="H2079" s="4">
        <v>15.75</v>
      </c>
    </row>
    <row r="2080" spans="5:8" x14ac:dyDescent="0.25">
      <c r="E2080" t="str">
        <f>""</f>
        <v/>
      </c>
      <c r="F2080" t="str">
        <f>""</f>
        <v/>
      </c>
      <c r="G2080" t="str">
        <f t="shared" si="49"/>
        <v>STERLING - HRA FEES</v>
      </c>
      <c r="H2080" s="4">
        <v>7</v>
      </c>
    </row>
    <row r="2081" spans="5:8" x14ac:dyDescent="0.25">
      <c r="E2081" t="str">
        <f>""</f>
        <v/>
      </c>
      <c r="F2081" t="str">
        <f>""</f>
        <v/>
      </c>
      <c r="G2081" t="str">
        <f t="shared" si="49"/>
        <v>STERLING - HRA FEES</v>
      </c>
      <c r="H2081" s="4">
        <v>7</v>
      </c>
    </row>
    <row r="2082" spans="5:8" x14ac:dyDescent="0.25">
      <c r="E2082" t="str">
        <f>""</f>
        <v/>
      </c>
      <c r="F2082" t="str">
        <f>""</f>
        <v/>
      </c>
      <c r="G2082" t="str">
        <f t="shared" si="49"/>
        <v>STERLING - HRA FEES</v>
      </c>
      <c r="H2082" s="4">
        <v>24.63</v>
      </c>
    </row>
    <row r="2083" spans="5:8" x14ac:dyDescent="0.25">
      <c r="E2083" t="str">
        <f>""</f>
        <v/>
      </c>
      <c r="F2083" t="str">
        <f>""</f>
        <v/>
      </c>
      <c r="G2083" t="str">
        <f t="shared" si="49"/>
        <v>STERLING - HRA FEES</v>
      </c>
      <c r="H2083" s="4">
        <v>12.12</v>
      </c>
    </row>
    <row r="2084" spans="5:8" x14ac:dyDescent="0.25">
      <c r="E2084" t="str">
        <f>""</f>
        <v/>
      </c>
      <c r="F2084" t="str">
        <f>""</f>
        <v/>
      </c>
      <c r="G2084" t="str">
        <f t="shared" si="49"/>
        <v>STERLING - HRA FEES</v>
      </c>
      <c r="H2084" s="4">
        <v>21</v>
      </c>
    </row>
    <row r="2085" spans="5:8" x14ac:dyDescent="0.25">
      <c r="E2085" t="str">
        <f>""</f>
        <v/>
      </c>
      <c r="F2085" t="str">
        <f>""</f>
        <v/>
      </c>
      <c r="G2085" t="str">
        <f t="shared" si="49"/>
        <v>STERLING - HRA FEES</v>
      </c>
      <c r="H2085" s="4">
        <v>24.5</v>
      </c>
    </row>
    <row r="2086" spans="5:8" x14ac:dyDescent="0.25">
      <c r="E2086" t="str">
        <f>""</f>
        <v/>
      </c>
      <c r="F2086" t="str">
        <f>""</f>
        <v/>
      </c>
      <c r="G2086" t="str">
        <f t="shared" si="49"/>
        <v>STERLING - HRA FEES</v>
      </c>
      <c r="H2086" s="4">
        <v>35.03</v>
      </c>
    </row>
    <row r="2087" spans="5:8" x14ac:dyDescent="0.25">
      <c r="E2087" t="str">
        <f>""</f>
        <v/>
      </c>
      <c r="F2087" t="str">
        <f>""</f>
        <v/>
      </c>
      <c r="G2087" t="str">
        <f t="shared" si="49"/>
        <v>STERLING - HRA FEES</v>
      </c>
      <c r="H2087" s="4">
        <v>1.75</v>
      </c>
    </row>
    <row r="2088" spans="5:8" x14ac:dyDescent="0.25">
      <c r="E2088" t="str">
        <f>""</f>
        <v/>
      </c>
      <c r="F2088" t="str">
        <f>""</f>
        <v/>
      </c>
      <c r="G2088" t="str">
        <f t="shared" si="49"/>
        <v>STERLING - HRA FEES</v>
      </c>
      <c r="H2088" s="4">
        <v>1.75</v>
      </c>
    </row>
    <row r="2089" spans="5:8" x14ac:dyDescent="0.25">
      <c r="E2089" t="str">
        <f>""</f>
        <v/>
      </c>
      <c r="F2089" t="str">
        <f>""</f>
        <v/>
      </c>
      <c r="G2089" t="str">
        <f t="shared" si="49"/>
        <v>STERLING - HRA FEES</v>
      </c>
      <c r="H2089" s="4">
        <v>1.75</v>
      </c>
    </row>
    <row r="2090" spans="5:8" x14ac:dyDescent="0.25">
      <c r="E2090" t="str">
        <f>""</f>
        <v/>
      </c>
      <c r="F2090" t="str">
        <f>""</f>
        <v/>
      </c>
      <c r="G2090" t="str">
        <f t="shared" si="49"/>
        <v>STERLING - HRA FEES</v>
      </c>
      <c r="H2090" s="4">
        <v>1.75</v>
      </c>
    </row>
    <row r="2091" spans="5:8" x14ac:dyDescent="0.25">
      <c r="E2091" t="str">
        <f>""</f>
        <v/>
      </c>
      <c r="F2091" t="str">
        <f>""</f>
        <v/>
      </c>
      <c r="G2091" t="str">
        <f t="shared" si="49"/>
        <v>STERLING - HRA FEES</v>
      </c>
      <c r="H2091" s="4">
        <v>168.26</v>
      </c>
    </row>
    <row r="2092" spans="5:8" x14ac:dyDescent="0.25">
      <c r="E2092" t="str">
        <f>""</f>
        <v/>
      </c>
      <c r="F2092" t="str">
        <f>""</f>
        <v/>
      </c>
      <c r="G2092" t="str">
        <f t="shared" si="49"/>
        <v>STERLING - HRA FEES</v>
      </c>
      <c r="H2092" s="4">
        <v>6.9</v>
      </c>
    </row>
    <row r="2093" spans="5:8" x14ac:dyDescent="0.25">
      <c r="E2093" t="str">
        <f>""</f>
        <v/>
      </c>
      <c r="F2093" t="str">
        <f>""</f>
        <v/>
      </c>
      <c r="G2093" t="str">
        <f t="shared" si="49"/>
        <v>STERLING - HRA FEES</v>
      </c>
      <c r="H2093" s="4">
        <v>155.6</v>
      </c>
    </row>
    <row r="2094" spans="5:8" x14ac:dyDescent="0.25">
      <c r="E2094" t="str">
        <f>""</f>
        <v/>
      </c>
      <c r="F2094" t="str">
        <f>""</f>
        <v/>
      </c>
      <c r="G2094" t="str">
        <f t="shared" si="49"/>
        <v>STERLING - HRA FEES</v>
      </c>
      <c r="H2094" s="4">
        <v>29.75</v>
      </c>
    </row>
    <row r="2095" spans="5:8" x14ac:dyDescent="0.25">
      <c r="E2095" t="str">
        <f>""</f>
        <v/>
      </c>
      <c r="F2095" t="str">
        <f>""</f>
        <v/>
      </c>
      <c r="G2095" t="str">
        <f t="shared" si="49"/>
        <v>STERLING - HRA FEES</v>
      </c>
      <c r="H2095" s="4">
        <v>3.5</v>
      </c>
    </row>
    <row r="2096" spans="5:8" x14ac:dyDescent="0.25">
      <c r="E2096" t="str">
        <f>""</f>
        <v/>
      </c>
      <c r="F2096" t="str">
        <f>""</f>
        <v/>
      </c>
      <c r="G2096" t="str">
        <f t="shared" si="49"/>
        <v>STERLING - HRA FEES</v>
      </c>
      <c r="H2096" s="4">
        <v>8.75</v>
      </c>
    </row>
    <row r="2097" spans="5:8" x14ac:dyDescent="0.25">
      <c r="E2097" t="str">
        <f>""</f>
        <v/>
      </c>
      <c r="F2097" t="str">
        <f>""</f>
        <v/>
      </c>
      <c r="G2097" t="str">
        <f t="shared" si="49"/>
        <v>STERLING - HRA FEES</v>
      </c>
      <c r="H2097" s="4">
        <v>0.45</v>
      </c>
    </row>
    <row r="2098" spans="5:8" x14ac:dyDescent="0.25">
      <c r="E2098" t="str">
        <f>""</f>
        <v/>
      </c>
      <c r="F2098" t="str">
        <f>""</f>
        <v/>
      </c>
      <c r="G2098" t="str">
        <f t="shared" si="49"/>
        <v>STERLING - HRA FEES</v>
      </c>
      <c r="H2098" s="4">
        <v>3.5</v>
      </c>
    </row>
    <row r="2099" spans="5:8" x14ac:dyDescent="0.25">
      <c r="E2099" t="str">
        <f>""</f>
        <v/>
      </c>
      <c r="F2099" t="str">
        <f>""</f>
        <v/>
      </c>
      <c r="G2099" t="str">
        <f t="shared" si="49"/>
        <v>STERLING - HRA FEES</v>
      </c>
      <c r="H2099" s="4">
        <v>1.75</v>
      </c>
    </row>
    <row r="2100" spans="5:8" x14ac:dyDescent="0.25">
      <c r="E2100" t="str">
        <f>""</f>
        <v/>
      </c>
      <c r="F2100" t="str">
        <f>""</f>
        <v/>
      </c>
      <c r="G2100" t="str">
        <f t="shared" si="49"/>
        <v>STERLING - HRA FEES</v>
      </c>
      <c r="H2100" s="4">
        <v>7</v>
      </c>
    </row>
    <row r="2101" spans="5:8" x14ac:dyDescent="0.25">
      <c r="E2101" t="str">
        <f>""</f>
        <v/>
      </c>
      <c r="F2101" t="str">
        <f>""</f>
        <v/>
      </c>
      <c r="G2101" t="str">
        <f t="shared" si="49"/>
        <v>STERLING - HRA FEES</v>
      </c>
      <c r="H2101" s="4">
        <v>3.5</v>
      </c>
    </row>
    <row r="2102" spans="5:8" x14ac:dyDescent="0.25">
      <c r="E2102" t="str">
        <f>""</f>
        <v/>
      </c>
      <c r="F2102" t="str">
        <f>""</f>
        <v/>
      </c>
      <c r="G2102" t="str">
        <f t="shared" si="49"/>
        <v>STERLING - HRA FEES</v>
      </c>
      <c r="H2102" s="4">
        <v>0.2</v>
      </c>
    </row>
    <row r="2103" spans="5:8" x14ac:dyDescent="0.25">
      <c r="E2103" t="str">
        <f>""</f>
        <v/>
      </c>
      <c r="F2103" t="str">
        <f>""</f>
        <v/>
      </c>
      <c r="G2103" t="str">
        <f t="shared" si="49"/>
        <v>STERLING - HRA FEES</v>
      </c>
      <c r="H2103" s="4">
        <v>20.67</v>
      </c>
    </row>
    <row r="2104" spans="5:8" x14ac:dyDescent="0.25">
      <c r="E2104" t="str">
        <f>""</f>
        <v/>
      </c>
      <c r="F2104" t="str">
        <f>""</f>
        <v/>
      </c>
      <c r="G2104" t="str">
        <f t="shared" si="49"/>
        <v>STERLING - HRA FEES</v>
      </c>
      <c r="H2104" s="4">
        <v>24.17</v>
      </c>
    </row>
    <row r="2105" spans="5:8" x14ac:dyDescent="0.25">
      <c r="E2105" t="str">
        <f>""</f>
        <v/>
      </c>
      <c r="F2105" t="str">
        <f>""</f>
        <v/>
      </c>
      <c r="G2105" t="str">
        <f t="shared" si="49"/>
        <v>STERLING - HRA FEES</v>
      </c>
      <c r="H2105" s="4">
        <v>24.17</v>
      </c>
    </row>
    <row r="2106" spans="5:8" x14ac:dyDescent="0.25">
      <c r="E2106" t="str">
        <f>""</f>
        <v/>
      </c>
      <c r="F2106" t="str">
        <f>""</f>
        <v/>
      </c>
      <c r="G2106" t="str">
        <f t="shared" si="49"/>
        <v>STERLING - HRA FEES</v>
      </c>
      <c r="H2106" s="4">
        <v>25.92</v>
      </c>
    </row>
    <row r="2107" spans="5:8" x14ac:dyDescent="0.25">
      <c r="E2107" t="str">
        <f>""</f>
        <v/>
      </c>
      <c r="F2107" t="str">
        <f>""</f>
        <v/>
      </c>
      <c r="G2107" t="str">
        <f t="shared" si="49"/>
        <v>STERLING - HRA FEES</v>
      </c>
      <c r="H2107" s="4">
        <v>3.05</v>
      </c>
    </row>
    <row r="2108" spans="5:8" x14ac:dyDescent="0.25">
      <c r="E2108" t="str">
        <f>""</f>
        <v/>
      </c>
      <c r="F2108" t="str">
        <f>""</f>
        <v/>
      </c>
      <c r="G2108" t="str">
        <f t="shared" si="49"/>
        <v>STERLING - HRA FEES</v>
      </c>
      <c r="H2108" s="4">
        <v>0.05</v>
      </c>
    </row>
    <row r="2109" spans="5:8" x14ac:dyDescent="0.25">
      <c r="E2109" t="str">
        <f>""</f>
        <v/>
      </c>
      <c r="F2109" t="str">
        <f>""</f>
        <v/>
      </c>
      <c r="G2109" t="str">
        <f t="shared" si="49"/>
        <v>STERLING - HRA FEES</v>
      </c>
      <c r="H2109" s="4">
        <v>0.23</v>
      </c>
    </row>
    <row r="2110" spans="5:8" x14ac:dyDescent="0.25">
      <c r="E2110" t="str">
        <f>""</f>
        <v/>
      </c>
      <c r="F2110" t="str">
        <f>""</f>
        <v/>
      </c>
      <c r="G2110" t="str">
        <f t="shared" si="49"/>
        <v>STERLING - HRA FEES</v>
      </c>
      <c r="H2110" s="4">
        <v>0.25</v>
      </c>
    </row>
    <row r="2111" spans="5:8" x14ac:dyDescent="0.25">
      <c r="E2111" t="str">
        <f>""</f>
        <v/>
      </c>
      <c r="F2111" t="str">
        <f>""</f>
        <v/>
      </c>
      <c r="G2111" t="str">
        <f t="shared" si="49"/>
        <v>STERLING - HRA FEES</v>
      </c>
      <c r="H2111" s="4">
        <v>1.74</v>
      </c>
    </row>
    <row r="2112" spans="5:8" x14ac:dyDescent="0.25">
      <c r="E2112" t="str">
        <f>"HRF202201198474"</f>
        <v>HRF202201198474</v>
      </c>
      <c r="F2112" t="str">
        <f>"STERLING - HRA FEES"</f>
        <v>STERLING - HRA FEES</v>
      </c>
      <c r="G2112" t="str">
        <f t="shared" si="49"/>
        <v>STERLING - HRA FEES</v>
      </c>
      <c r="H2112" s="4">
        <v>36.75</v>
      </c>
    </row>
    <row r="2113" spans="1:8" x14ac:dyDescent="0.25">
      <c r="A2113" t="s">
        <v>452</v>
      </c>
      <c r="B2113">
        <v>48579</v>
      </c>
      <c r="C2113" s="4">
        <v>419681.95</v>
      </c>
      <c r="D2113" s="5">
        <v>44588</v>
      </c>
      <c r="E2113" t="str">
        <f>"202201278589"</f>
        <v>202201278589</v>
      </c>
      <c r="F2113" t="str">
        <f>"ADJ - JANUARY 2022"</f>
        <v>ADJ - JANUARY 2022</v>
      </c>
      <c r="G2113" t="str">
        <f>"ADJ - JANUARY 2022"</f>
        <v>ADJ - JANUARY 2022</v>
      </c>
      <c r="H2113" s="4">
        <v>2590.13</v>
      </c>
    </row>
    <row r="2114" spans="1:8" x14ac:dyDescent="0.25">
      <c r="E2114" t="str">
        <f>"202201278594"</f>
        <v>202201278594</v>
      </c>
      <c r="F2114" t="str">
        <f>"RETIREE INS - JANUARY 2022"</f>
        <v>RETIREE INS - JANUARY 2022</v>
      </c>
      <c r="G2114" t="str">
        <f>"RETIREE INS - JANUARY 2022"</f>
        <v>RETIREE INS - JANUARY 2022</v>
      </c>
      <c r="H2114" s="4">
        <v>20772.52</v>
      </c>
    </row>
    <row r="2115" spans="1:8" x14ac:dyDescent="0.25">
      <c r="E2115" t="str">
        <f>"2EC202201058185"</f>
        <v>2EC202201058185</v>
      </c>
      <c r="F2115" t="str">
        <f>"BCBS PAYABLE"</f>
        <v>BCBS PAYABLE</v>
      </c>
      <c r="G2115" t="str">
        <f t="shared" ref="G2115:G2178" si="50">"BCBS PAYABLE"</f>
        <v>BCBS PAYABLE</v>
      </c>
      <c r="H2115" s="4">
        <v>374.3</v>
      </c>
    </row>
    <row r="2116" spans="1:8" x14ac:dyDescent="0.25">
      <c r="E2116" t="str">
        <f>""</f>
        <v/>
      </c>
      <c r="F2116" t="str">
        <f>""</f>
        <v/>
      </c>
      <c r="G2116" t="str">
        <f t="shared" si="50"/>
        <v>BCBS PAYABLE</v>
      </c>
      <c r="H2116" s="4">
        <v>748.6</v>
      </c>
    </row>
    <row r="2117" spans="1:8" x14ac:dyDescent="0.25">
      <c r="E2117" t="str">
        <f>""</f>
        <v/>
      </c>
      <c r="F2117" t="str">
        <f>""</f>
        <v/>
      </c>
      <c r="G2117" t="str">
        <f t="shared" si="50"/>
        <v>BCBS PAYABLE</v>
      </c>
      <c r="H2117" s="4">
        <v>1497.2</v>
      </c>
    </row>
    <row r="2118" spans="1:8" x14ac:dyDescent="0.25">
      <c r="E2118" t="str">
        <f>""</f>
        <v/>
      </c>
      <c r="F2118" t="str">
        <f>""</f>
        <v/>
      </c>
      <c r="G2118" t="str">
        <f t="shared" si="50"/>
        <v>BCBS PAYABLE</v>
      </c>
      <c r="H2118" s="4">
        <v>1497.2</v>
      </c>
    </row>
    <row r="2119" spans="1:8" x14ac:dyDescent="0.25">
      <c r="E2119" t="str">
        <f>""</f>
        <v/>
      </c>
      <c r="F2119" t="str">
        <f>""</f>
        <v/>
      </c>
      <c r="G2119" t="str">
        <f t="shared" si="50"/>
        <v>BCBS PAYABLE</v>
      </c>
      <c r="H2119" s="4">
        <v>321.16000000000003</v>
      </c>
    </row>
    <row r="2120" spans="1:8" x14ac:dyDescent="0.25">
      <c r="E2120" t="str">
        <f>""</f>
        <v/>
      </c>
      <c r="F2120" t="str">
        <f>""</f>
        <v/>
      </c>
      <c r="G2120" t="str">
        <f t="shared" si="50"/>
        <v>BCBS PAYABLE</v>
      </c>
      <c r="H2120" s="4">
        <v>374.3</v>
      </c>
    </row>
    <row r="2121" spans="1:8" x14ac:dyDescent="0.25">
      <c r="E2121" t="str">
        <f>""</f>
        <v/>
      </c>
      <c r="F2121" t="str">
        <f>""</f>
        <v/>
      </c>
      <c r="G2121" t="str">
        <f t="shared" si="50"/>
        <v>BCBS PAYABLE</v>
      </c>
      <c r="H2121" s="4">
        <v>1497.2</v>
      </c>
    </row>
    <row r="2122" spans="1:8" x14ac:dyDescent="0.25">
      <c r="E2122" t="str">
        <f>""</f>
        <v/>
      </c>
      <c r="F2122" t="str">
        <f>""</f>
        <v/>
      </c>
      <c r="G2122" t="str">
        <f t="shared" si="50"/>
        <v>BCBS PAYABLE</v>
      </c>
      <c r="H2122" s="4">
        <v>748.6</v>
      </c>
    </row>
    <row r="2123" spans="1:8" x14ac:dyDescent="0.25">
      <c r="E2123" t="str">
        <f>""</f>
        <v/>
      </c>
      <c r="F2123" t="str">
        <f>""</f>
        <v/>
      </c>
      <c r="G2123" t="str">
        <f t="shared" si="50"/>
        <v>BCBS PAYABLE</v>
      </c>
      <c r="H2123" s="4">
        <v>748.6</v>
      </c>
    </row>
    <row r="2124" spans="1:8" x14ac:dyDescent="0.25">
      <c r="E2124" t="str">
        <f>""</f>
        <v/>
      </c>
      <c r="F2124" t="str">
        <f>""</f>
        <v/>
      </c>
      <c r="G2124" t="str">
        <f t="shared" si="50"/>
        <v>BCBS PAYABLE</v>
      </c>
      <c r="H2124" s="4">
        <v>1479.13</v>
      </c>
    </row>
    <row r="2125" spans="1:8" x14ac:dyDescent="0.25">
      <c r="E2125" t="str">
        <f>""</f>
        <v/>
      </c>
      <c r="F2125" t="str">
        <f>""</f>
        <v/>
      </c>
      <c r="G2125" t="str">
        <f t="shared" si="50"/>
        <v>BCBS PAYABLE</v>
      </c>
      <c r="H2125" s="4">
        <v>1497.2</v>
      </c>
    </row>
    <row r="2126" spans="1:8" x14ac:dyDescent="0.25">
      <c r="E2126" t="str">
        <f>""</f>
        <v/>
      </c>
      <c r="F2126" t="str">
        <f>""</f>
        <v/>
      </c>
      <c r="G2126" t="str">
        <f t="shared" si="50"/>
        <v>BCBS PAYABLE</v>
      </c>
      <c r="H2126" s="4">
        <v>374.3</v>
      </c>
    </row>
    <row r="2127" spans="1:8" x14ac:dyDescent="0.25">
      <c r="E2127" t="str">
        <f>""</f>
        <v/>
      </c>
      <c r="F2127" t="str">
        <f>""</f>
        <v/>
      </c>
      <c r="G2127" t="str">
        <f t="shared" si="50"/>
        <v>BCBS PAYABLE</v>
      </c>
      <c r="H2127" s="4">
        <v>748.6</v>
      </c>
    </row>
    <row r="2128" spans="1:8" x14ac:dyDescent="0.25">
      <c r="E2128" t="str">
        <f>""</f>
        <v/>
      </c>
      <c r="F2128" t="str">
        <f>""</f>
        <v/>
      </c>
      <c r="G2128" t="str">
        <f t="shared" si="50"/>
        <v>BCBS PAYABLE</v>
      </c>
      <c r="H2128" s="4">
        <v>1122.9000000000001</v>
      </c>
    </row>
    <row r="2129" spans="5:8" x14ac:dyDescent="0.25">
      <c r="E2129" t="str">
        <f>""</f>
        <v/>
      </c>
      <c r="F2129" t="str">
        <f>""</f>
        <v/>
      </c>
      <c r="G2129" t="str">
        <f t="shared" si="50"/>
        <v>BCBS PAYABLE</v>
      </c>
      <c r="H2129" s="4">
        <v>748.6</v>
      </c>
    </row>
    <row r="2130" spans="5:8" x14ac:dyDescent="0.25">
      <c r="E2130" t="str">
        <f>""</f>
        <v/>
      </c>
      <c r="F2130" t="str">
        <f>""</f>
        <v/>
      </c>
      <c r="G2130" t="str">
        <f t="shared" si="50"/>
        <v>BCBS PAYABLE</v>
      </c>
      <c r="H2130" s="4">
        <v>1122.9000000000001</v>
      </c>
    </row>
    <row r="2131" spans="5:8" x14ac:dyDescent="0.25">
      <c r="E2131" t="str">
        <f>""</f>
        <v/>
      </c>
      <c r="F2131" t="str">
        <f>""</f>
        <v/>
      </c>
      <c r="G2131" t="str">
        <f t="shared" si="50"/>
        <v>BCBS PAYABLE</v>
      </c>
      <c r="H2131" s="4">
        <v>1122.9000000000001</v>
      </c>
    </row>
    <row r="2132" spans="5:8" x14ac:dyDescent="0.25">
      <c r="E2132" t="str">
        <f>""</f>
        <v/>
      </c>
      <c r="F2132" t="str">
        <f>""</f>
        <v/>
      </c>
      <c r="G2132" t="str">
        <f t="shared" si="50"/>
        <v>BCBS PAYABLE</v>
      </c>
      <c r="H2132" s="4">
        <v>1871.5</v>
      </c>
    </row>
    <row r="2133" spans="5:8" x14ac:dyDescent="0.25">
      <c r="E2133" t="str">
        <f>""</f>
        <v/>
      </c>
      <c r="F2133" t="str">
        <f>""</f>
        <v/>
      </c>
      <c r="G2133" t="str">
        <f t="shared" si="50"/>
        <v>BCBS PAYABLE</v>
      </c>
      <c r="H2133" s="4">
        <v>374.3</v>
      </c>
    </row>
    <row r="2134" spans="5:8" x14ac:dyDescent="0.25">
      <c r="E2134" t="str">
        <f>""</f>
        <v/>
      </c>
      <c r="F2134" t="str">
        <f>""</f>
        <v/>
      </c>
      <c r="G2134" t="str">
        <f t="shared" si="50"/>
        <v>BCBS PAYABLE</v>
      </c>
      <c r="H2134" s="4">
        <v>374.3</v>
      </c>
    </row>
    <row r="2135" spans="5:8" x14ac:dyDescent="0.25">
      <c r="E2135" t="str">
        <f>""</f>
        <v/>
      </c>
      <c r="F2135" t="str">
        <f>""</f>
        <v/>
      </c>
      <c r="G2135" t="str">
        <f t="shared" si="50"/>
        <v>BCBS PAYABLE</v>
      </c>
      <c r="H2135" s="4">
        <v>7953.95</v>
      </c>
    </row>
    <row r="2136" spans="5:8" x14ac:dyDescent="0.25">
      <c r="E2136" t="str">
        <f>""</f>
        <v/>
      </c>
      <c r="F2136" t="str">
        <f>""</f>
        <v/>
      </c>
      <c r="G2136" t="str">
        <f t="shared" si="50"/>
        <v>BCBS PAYABLE</v>
      </c>
      <c r="H2136" s="4">
        <v>363.21</v>
      </c>
    </row>
    <row r="2137" spans="5:8" x14ac:dyDescent="0.25">
      <c r="E2137" t="str">
        <f>""</f>
        <v/>
      </c>
      <c r="F2137" t="str">
        <f>""</f>
        <v/>
      </c>
      <c r="G2137" t="str">
        <f t="shared" si="50"/>
        <v>BCBS PAYABLE</v>
      </c>
      <c r="H2137" s="4">
        <v>6654.84</v>
      </c>
    </row>
    <row r="2138" spans="5:8" x14ac:dyDescent="0.25">
      <c r="E2138" t="str">
        <f>""</f>
        <v/>
      </c>
      <c r="F2138" t="str">
        <f>""</f>
        <v/>
      </c>
      <c r="G2138" t="str">
        <f t="shared" si="50"/>
        <v>BCBS PAYABLE</v>
      </c>
      <c r="H2138" s="4">
        <v>1497.2</v>
      </c>
    </row>
    <row r="2139" spans="5:8" x14ac:dyDescent="0.25">
      <c r="E2139" t="str">
        <f>""</f>
        <v/>
      </c>
      <c r="F2139" t="str">
        <f>""</f>
        <v/>
      </c>
      <c r="G2139" t="str">
        <f t="shared" si="50"/>
        <v>BCBS PAYABLE</v>
      </c>
      <c r="H2139" s="4">
        <v>374.3</v>
      </c>
    </row>
    <row r="2140" spans="5:8" x14ac:dyDescent="0.25">
      <c r="E2140" t="str">
        <f>""</f>
        <v/>
      </c>
      <c r="F2140" t="str">
        <f>""</f>
        <v/>
      </c>
      <c r="G2140" t="str">
        <f t="shared" si="50"/>
        <v>BCBS PAYABLE</v>
      </c>
      <c r="H2140" s="4">
        <v>374.3</v>
      </c>
    </row>
    <row r="2141" spans="5:8" x14ac:dyDescent="0.25">
      <c r="E2141" t="str">
        <f>""</f>
        <v/>
      </c>
      <c r="F2141" t="str">
        <f>""</f>
        <v/>
      </c>
      <c r="G2141" t="str">
        <f t="shared" si="50"/>
        <v>BCBS PAYABLE</v>
      </c>
      <c r="H2141" s="4">
        <v>374.3</v>
      </c>
    </row>
    <row r="2142" spans="5:8" x14ac:dyDescent="0.25">
      <c r="E2142" t="str">
        <f>""</f>
        <v/>
      </c>
      <c r="F2142" t="str">
        <f>""</f>
        <v/>
      </c>
      <c r="G2142" t="str">
        <f t="shared" si="50"/>
        <v>BCBS PAYABLE</v>
      </c>
      <c r="H2142" s="4">
        <v>1497.2</v>
      </c>
    </row>
    <row r="2143" spans="5:8" x14ac:dyDescent="0.25">
      <c r="E2143" t="str">
        <f>""</f>
        <v/>
      </c>
      <c r="F2143" t="str">
        <f>""</f>
        <v/>
      </c>
      <c r="G2143" t="str">
        <f t="shared" si="50"/>
        <v>BCBS PAYABLE</v>
      </c>
      <c r="H2143" s="4">
        <v>748.6</v>
      </c>
    </row>
    <row r="2144" spans="5:8" x14ac:dyDescent="0.25">
      <c r="E2144" t="str">
        <f>""</f>
        <v/>
      </c>
      <c r="F2144" t="str">
        <f>""</f>
        <v/>
      </c>
      <c r="G2144" t="str">
        <f t="shared" si="50"/>
        <v>BCBS PAYABLE</v>
      </c>
      <c r="H2144" s="4">
        <v>18.07</v>
      </c>
    </row>
    <row r="2145" spans="5:8" x14ac:dyDescent="0.25">
      <c r="E2145" t="str">
        <f>""</f>
        <v/>
      </c>
      <c r="F2145" t="str">
        <f>""</f>
        <v/>
      </c>
      <c r="G2145" t="str">
        <f t="shared" si="50"/>
        <v>BCBS PAYABLE</v>
      </c>
      <c r="H2145" s="4">
        <v>53.14</v>
      </c>
    </row>
    <row r="2146" spans="5:8" x14ac:dyDescent="0.25">
      <c r="E2146" t="str">
        <f>""</f>
        <v/>
      </c>
      <c r="F2146" t="str">
        <f>""</f>
        <v/>
      </c>
      <c r="G2146" t="str">
        <f t="shared" si="50"/>
        <v>BCBS PAYABLE</v>
      </c>
      <c r="H2146" s="4">
        <v>14568.32</v>
      </c>
    </row>
    <row r="2147" spans="5:8" x14ac:dyDescent="0.25">
      <c r="E2147" t="str">
        <f>"2EC202201058186"</f>
        <v>2EC202201058186</v>
      </c>
      <c r="F2147" t="str">
        <f>"BCBS PAYABLE"</f>
        <v>BCBS PAYABLE</v>
      </c>
      <c r="G2147" t="str">
        <f t="shared" si="50"/>
        <v>BCBS PAYABLE</v>
      </c>
      <c r="H2147" s="4">
        <v>1497.2</v>
      </c>
    </row>
    <row r="2148" spans="5:8" x14ac:dyDescent="0.25">
      <c r="E2148" t="str">
        <f>""</f>
        <v/>
      </c>
      <c r="F2148" t="str">
        <f>""</f>
        <v/>
      </c>
      <c r="G2148" t="str">
        <f t="shared" si="50"/>
        <v>BCBS PAYABLE</v>
      </c>
      <c r="H2148" s="4">
        <v>560.32000000000005</v>
      </c>
    </row>
    <row r="2149" spans="5:8" x14ac:dyDescent="0.25">
      <c r="E2149" t="str">
        <f>"2EC202201198473"</f>
        <v>2EC202201198473</v>
      </c>
      <c r="F2149" t="str">
        <f>"BCBS PAYABLE"</f>
        <v>BCBS PAYABLE</v>
      </c>
      <c r="G2149" t="str">
        <f t="shared" si="50"/>
        <v>BCBS PAYABLE</v>
      </c>
      <c r="H2149" s="4">
        <v>374.3</v>
      </c>
    </row>
    <row r="2150" spans="5:8" x14ac:dyDescent="0.25">
      <c r="E2150" t="str">
        <f>""</f>
        <v/>
      </c>
      <c r="F2150" t="str">
        <f>""</f>
        <v/>
      </c>
      <c r="G2150" t="str">
        <f t="shared" si="50"/>
        <v>BCBS PAYABLE</v>
      </c>
      <c r="H2150" s="4">
        <v>741.7</v>
      </c>
    </row>
    <row r="2151" spans="5:8" x14ac:dyDescent="0.25">
      <c r="E2151" t="str">
        <f>""</f>
        <v/>
      </c>
      <c r="F2151" t="str">
        <f>""</f>
        <v/>
      </c>
      <c r="G2151" t="str">
        <f t="shared" si="50"/>
        <v>BCBS PAYABLE</v>
      </c>
      <c r="H2151" s="4">
        <v>1497.2</v>
      </c>
    </row>
    <row r="2152" spans="5:8" x14ac:dyDescent="0.25">
      <c r="E2152" t="str">
        <f>""</f>
        <v/>
      </c>
      <c r="F2152" t="str">
        <f>""</f>
        <v/>
      </c>
      <c r="G2152" t="str">
        <f t="shared" si="50"/>
        <v>BCBS PAYABLE</v>
      </c>
      <c r="H2152" s="4">
        <v>1497.2</v>
      </c>
    </row>
    <row r="2153" spans="5:8" x14ac:dyDescent="0.25">
      <c r="E2153" t="str">
        <f>""</f>
        <v/>
      </c>
      <c r="F2153" t="str">
        <f>""</f>
        <v/>
      </c>
      <c r="G2153" t="str">
        <f t="shared" si="50"/>
        <v>BCBS PAYABLE</v>
      </c>
      <c r="H2153" s="4">
        <v>321.16000000000003</v>
      </c>
    </row>
    <row r="2154" spans="5:8" x14ac:dyDescent="0.25">
      <c r="E2154" t="str">
        <f>""</f>
        <v/>
      </c>
      <c r="F2154" t="str">
        <f>""</f>
        <v/>
      </c>
      <c r="G2154" t="str">
        <f t="shared" si="50"/>
        <v>BCBS PAYABLE</v>
      </c>
      <c r="H2154" s="4">
        <v>374.3</v>
      </c>
    </row>
    <row r="2155" spans="5:8" x14ac:dyDescent="0.25">
      <c r="E2155" t="str">
        <f>""</f>
        <v/>
      </c>
      <c r="F2155" t="str">
        <f>""</f>
        <v/>
      </c>
      <c r="G2155" t="str">
        <f t="shared" si="50"/>
        <v>BCBS PAYABLE</v>
      </c>
      <c r="H2155" s="4">
        <v>1497.2</v>
      </c>
    </row>
    <row r="2156" spans="5:8" x14ac:dyDescent="0.25">
      <c r="E2156" t="str">
        <f>""</f>
        <v/>
      </c>
      <c r="F2156" t="str">
        <f>""</f>
        <v/>
      </c>
      <c r="G2156" t="str">
        <f t="shared" si="50"/>
        <v>BCBS PAYABLE</v>
      </c>
      <c r="H2156" s="4">
        <v>748.6</v>
      </c>
    </row>
    <row r="2157" spans="5:8" x14ac:dyDescent="0.25">
      <c r="E2157" t="str">
        <f>""</f>
        <v/>
      </c>
      <c r="F2157" t="str">
        <f>""</f>
        <v/>
      </c>
      <c r="G2157" t="str">
        <f t="shared" si="50"/>
        <v>BCBS PAYABLE</v>
      </c>
      <c r="H2157" s="4">
        <v>1497.2</v>
      </c>
    </row>
    <row r="2158" spans="5:8" x14ac:dyDescent="0.25">
      <c r="E2158" t="str">
        <f>""</f>
        <v/>
      </c>
      <c r="F2158" t="str">
        <f>""</f>
        <v/>
      </c>
      <c r="G2158" t="str">
        <f t="shared" si="50"/>
        <v>BCBS PAYABLE</v>
      </c>
      <c r="H2158" s="4">
        <v>1479.13</v>
      </c>
    </row>
    <row r="2159" spans="5:8" x14ac:dyDescent="0.25">
      <c r="E2159" t="str">
        <f>""</f>
        <v/>
      </c>
      <c r="F2159" t="str">
        <f>""</f>
        <v/>
      </c>
      <c r="G2159" t="str">
        <f t="shared" si="50"/>
        <v>BCBS PAYABLE</v>
      </c>
      <c r="H2159" s="4">
        <v>1497.2</v>
      </c>
    </row>
    <row r="2160" spans="5:8" x14ac:dyDescent="0.25">
      <c r="E2160" t="str">
        <f>""</f>
        <v/>
      </c>
      <c r="F2160" t="str">
        <f>""</f>
        <v/>
      </c>
      <c r="G2160" t="str">
        <f t="shared" si="50"/>
        <v>BCBS PAYABLE</v>
      </c>
      <c r="H2160" s="4">
        <v>374.3</v>
      </c>
    </row>
    <row r="2161" spans="5:8" x14ac:dyDescent="0.25">
      <c r="E2161" t="str">
        <f>""</f>
        <v/>
      </c>
      <c r="F2161" t="str">
        <f>""</f>
        <v/>
      </c>
      <c r="G2161" t="str">
        <f t="shared" si="50"/>
        <v>BCBS PAYABLE</v>
      </c>
      <c r="H2161" s="4">
        <v>748.6</v>
      </c>
    </row>
    <row r="2162" spans="5:8" x14ac:dyDescent="0.25">
      <c r="E2162" t="str">
        <f>""</f>
        <v/>
      </c>
      <c r="F2162" t="str">
        <f>""</f>
        <v/>
      </c>
      <c r="G2162" t="str">
        <f t="shared" si="50"/>
        <v>BCBS PAYABLE</v>
      </c>
      <c r="H2162" s="4">
        <v>748.6</v>
      </c>
    </row>
    <row r="2163" spans="5:8" x14ac:dyDescent="0.25">
      <c r="E2163" t="str">
        <f>""</f>
        <v/>
      </c>
      <c r="F2163" t="str">
        <f>""</f>
        <v/>
      </c>
      <c r="G2163" t="str">
        <f t="shared" si="50"/>
        <v>BCBS PAYABLE</v>
      </c>
      <c r="H2163" s="4">
        <v>1122.9000000000001</v>
      </c>
    </row>
    <row r="2164" spans="5:8" x14ac:dyDescent="0.25">
      <c r="E2164" t="str">
        <f>""</f>
        <v/>
      </c>
      <c r="F2164" t="str">
        <f>""</f>
        <v/>
      </c>
      <c r="G2164" t="str">
        <f t="shared" si="50"/>
        <v>BCBS PAYABLE</v>
      </c>
      <c r="H2164" s="4">
        <v>1122.9000000000001</v>
      </c>
    </row>
    <row r="2165" spans="5:8" x14ac:dyDescent="0.25">
      <c r="E2165" t="str">
        <f>""</f>
        <v/>
      </c>
      <c r="F2165" t="str">
        <f>""</f>
        <v/>
      </c>
      <c r="G2165" t="str">
        <f t="shared" si="50"/>
        <v>BCBS PAYABLE</v>
      </c>
      <c r="H2165" s="4">
        <v>1122.9000000000001</v>
      </c>
    </row>
    <row r="2166" spans="5:8" x14ac:dyDescent="0.25">
      <c r="E2166" t="str">
        <f>""</f>
        <v/>
      </c>
      <c r="F2166" t="str">
        <f>""</f>
        <v/>
      </c>
      <c r="G2166" t="str">
        <f t="shared" si="50"/>
        <v>BCBS PAYABLE</v>
      </c>
      <c r="H2166" s="4">
        <v>1871.5</v>
      </c>
    </row>
    <row r="2167" spans="5:8" x14ac:dyDescent="0.25">
      <c r="E2167" t="str">
        <f>""</f>
        <v/>
      </c>
      <c r="F2167" t="str">
        <f>""</f>
        <v/>
      </c>
      <c r="G2167" t="str">
        <f t="shared" si="50"/>
        <v>BCBS PAYABLE</v>
      </c>
      <c r="H2167" s="4">
        <v>374.3</v>
      </c>
    </row>
    <row r="2168" spans="5:8" x14ac:dyDescent="0.25">
      <c r="E2168" t="str">
        <f>""</f>
        <v/>
      </c>
      <c r="F2168" t="str">
        <f>""</f>
        <v/>
      </c>
      <c r="G2168" t="str">
        <f t="shared" si="50"/>
        <v>BCBS PAYABLE</v>
      </c>
      <c r="H2168" s="4">
        <v>374.3</v>
      </c>
    </row>
    <row r="2169" spans="5:8" x14ac:dyDescent="0.25">
      <c r="E2169" t="str">
        <f>""</f>
        <v/>
      </c>
      <c r="F2169" t="str">
        <f>""</f>
        <v/>
      </c>
      <c r="G2169" t="str">
        <f t="shared" si="50"/>
        <v>BCBS PAYABLE</v>
      </c>
      <c r="H2169" s="4">
        <v>7955.27</v>
      </c>
    </row>
    <row r="2170" spans="5:8" x14ac:dyDescent="0.25">
      <c r="E2170" t="str">
        <f>""</f>
        <v/>
      </c>
      <c r="F2170" t="str">
        <f>""</f>
        <v/>
      </c>
      <c r="G2170" t="str">
        <f t="shared" si="50"/>
        <v>BCBS PAYABLE</v>
      </c>
      <c r="H2170" s="4">
        <v>363.21</v>
      </c>
    </row>
    <row r="2171" spans="5:8" x14ac:dyDescent="0.25">
      <c r="E2171" t="str">
        <f>""</f>
        <v/>
      </c>
      <c r="F2171" t="str">
        <f>""</f>
        <v/>
      </c>
      <c r="G2171" t="str">
        <f t="shared" si="50"/>
        <v>BCBS PAYABLE</v>
      </c>
      <c r="H2171" s="4">
        <v>6653.52</v>
      </c>
    </row>
    <row r="2172" spans="5:8" x14ac:dyDescent="0.25">
      <c r="E2172" t="str">
        <f>""</f>
        <v/>
      </c>
      <c r="F2172" t="str">
        <f>""</f>
        <v/>
      </c>
      <c r="G2172" t="str">
        <f t="shared" si="50"/>
        <v>BCBS PAYABLE</v>
      </c>
      <c r="H2172" s="4">
        <v>1497.2</v>
      </c>
    </row>
    <row r="2173" spans="5:8" x14ac:dyDescent="0.25">
      <c r="E2173" t="str">
        <f>""</f>
        <v/>
      </c>
      <c r="F2173" t="str">
        <f>""</f>
        <v/>
      </c>
      <c r="G2173" t="str">
        <f t="shared" si="50"/>
        <v>BCBS PAYABLE</v>
      </c>
      <c r="H2173" s="4">
        <v>374.3</v>
      </c>
    </row>
    <row r="2174" spans="5:8" x14ac:dyDescent="0.25">
      <c r="E2174" t="str">
        <f>""</f>
        <v/>
      </c>
      <c r="F2174" t="str">
        <f>""</f>
        <v/>
      </c>
      <c r="G2174" t="str">
        <f t="shared" si="50"/>
        <v>BCBS PAYABLE</v>
      </c>
      <c r="H2174" s="4">
        <v>374.3</v>
      </c>
    </row>
    <row r="2175" spans="5:8" x14ac:dyDescent="0.25">
      <c r="E2175" t="str">
        <f>""</f>
        <v/>
      </c>
      <c r="F2175" t="str">
        <f>""</f>
        <v/>
      </c>
      <c r="G2175" t="str">
        <f t="shared" si="50"/>
        <v>BCBS PAYABLE</v>
      </c>
      <c r="H2175" s="4">
        <v>6.9</v>
      </c>
    </row>
    <row r="2176" spans="5:8" x14ac:dyDescent="0.25">
      <c r="E2176" t="str">
        <f>""</f>
        <v/>
      </c>
      <c r="F2176" t="str">
        <f>""</f>
        <v/>
      </c>
      <c r="G2176" t="str">
        <f t="shared" si="50"/>
        <v>BCBS PAYABLE</v>
      </c>
      <c r="H2176" s="4">
        <v>374.3</v>
      </c>
    </row>
    <row r="2177" spans="5:8" x14ac:dyDescent="0.25">
      <c r="E2177" t="str">
        <f>""</f>
        <v/>
      </c>
      <c r="F2177" t="str">
        <f>""</f>
        <v/>
      </c>
      <c r="G2177" t="str">
        <f t="shared" si="50"/>
        <v>BCBS PAYABLE</v>
      </c>
      <c r="H2177" s="4">
        <v>1497.2</v>
      </c>
    </row>
    <row r="2178" spans="5:8" x14ac:dyDescent="0.25">
      <c r="E2178" t="str">
        <f>""</f>
        <v/>
      </c>
      <c r="F2178" t="str">
        <f>""</f>
        <v/>
      </c>
      <c r="G2178" t="str">
        <f t="shared" si="50"/>
        <v>BCBS PAYABLE</v>
      </c>
      <c r="H2178" s="4">
        <v>748.6</v>
      </c>
    </row>
    <row r="2179" spans="5:8" x14ac:dyDescent="0.25">
      <c r="E2179" t="str">
        <f>""</f>
        <v/>
      </c>
      <c r="F2179" t="str">
        <f>""</f>
        <v/>
      </c>
      <c r="G2179" t="str">
        <f t="shared" ref="G2179:G2242" si="51">"BCBS PAYABLE"</f>
        <v>BCBS PAYABLE</v>
      </c>
      <c r="H2179" s="4">
        <v>18.07</v>
      </c>
    </row>
    <row r="2180" spans="5:8" x14ac:dyDescent="0.25">
      <c r="E2180" t="str">
        <f>""</f>
        <v/>
      </c>
      <c r="F2180" t="str">
        <f>""</f>
        <v/>
      </c>
      <c r="G2180" t="str">
        <f t="shared" si="51"/>
        <v>BCBS PAYABLE</v>
      </c>
      <c r="H2180" s="4">
        <v>53.14</v>
      </c>
    </row>
    <row r="2181" spans="5:8" x14ac:dyDescent="0.25">
      <c r="E2181" t="str">
        <f>""</f>
        <v/>
      </c>
      <c r="F2181" t="str">
        <f>""</f>
        <v/>
      </c>
      <c r="G2181" t="str">
        <f t="shared" si="51"/>
        <v>BCBS PAYABLE</v>
      </c>
      <c r="H2181" s="4">
        <v>14848.48</v>
      </c>
    </row>
    <row r="2182" spans="5:8" x14ac:dyDescent="0.25">
      <c r="E2182" t="str">
        <f>"2EC202201198474"</f>
        <v>2EC202201198474</v>
      </c>
      <c r="F2182" t="str">
        <f>"BCBS PAYABLE"</f>
        <v>BCBS PAYABLE</v>
      </c>
      <c r="G2182" t="str">
        <f t="shared" si="51"/>
        <v>BCBS PAYABLE</v>
      </c>
      <c r="H2182" s="4">
        <v>1497.2</v>
      </c>
    </row>
    <row r="2183" spans="5:8" x14ac:dyDescent="0.25">
      <c r="E2183" t="str">
        <f>""</f>
        <v/>
      </c>
      <c r="F2183" t="str">
        <f>""</f>
        <v/>
      </c>
      <c r="G2183" t="str">
        <f t="shared" si="51"/>
        <v>BCBS PAYABLE</v>
      </c>
      <c r="H2183" s="4">
        <v>560.32000000000005</v>
      </c>
    </row>
    <row r="2184" spans="5:8" x14ac:dyDescent="0.25">
      <c r="E2184" t="str">
        <f>"2EF202201058185"</f>
        <v>2EF202201058185</v>
      </c>
      <c r="F2184" t="str">
        <f>"BCBS PAYABLE"</f>
        <v>BCBS PAYABLE</v>
      </c>
      <c r="G2184" t="str">
        <f t="shared" si="51"/>
        <v>BCBS PAYABLE</v>
      </c>
      <c r="H2184" s="4">
        <v>374.3</v>
      </c>
    </row>
    <row r="2185" spans="5:8" x14ac:dyDescent="0.25">
      <c r="E2185" t="str">
        <f>""</f>
        <v/>
      </c>
      <c r="F2185" t="str">
        <f>""</f>
        <v/>
      </c>
      <c r="G2185" t="str">
        <f t="shared" si="51"/>
        <v>BCBS PAYABLE</v>
      </c>
      <c r="H2185" s="4">
        <v>9.32</v>
      </c>
    </row>
    <row r="2186" spans="5:8" x14ac:dyDescent="0.25">
      <c r="E2186" t="str">
        <f>""</f>
        <v/>
      </c>
      <c r="F2186" t="str">
        <f>""</f>
        <v/>
      </c>
      <c r="G2186" t="str">
        <f t="shared" si="51"/>
        <v>BCBS PAYABLE</v>
      </c>
      <c r="H2186" s="4">
        <v>739.28</v>
      </c>
    </row>
    <row r="2187" spans="5:8" x14ac:dyDescent="0.25">
      <c r="E2187" t="str">
        <f>""</f>
        <v/>
      </c>
      <c r="F2187" t="str">
        <f>""</f>
        <v/>
      </c>
      <c r="G2187" t="str">
        <f t="shared" si="51"/>
        <v>BCBS PAYABLE</v>
      </c>
      <c r="H2187" s="4">
        <v>1942.89</v>
      </c>
    </row>
    <row r="2188" spans="5:8" x14ac:dyDescent="0.25">
      <c r="E2188" t="str">
        <f>"2EF202201198473"</f>
        <v>2EF202201198473</v>
      </c>
      <c r="F2188" t="str">
        <f>"BCBS PAYABLE"</f>
        <v>BCBS PAYABLE</v>
      </c>
      <c r="G2188" t="str">
        <f t="shared" si="51"/>
        <v>BCBS PAYABLE</v>
      </c>
      <c r="H2188" s="4">
        <v>374.3</v>
      </c>
    </row>
    <row r="2189" spans="5:8" x14ac:dyDescent="0.25">
      <c r="E2189" t="str">
        <f>""</f>
        <v/>
      </c>
      <c r="F2189" t="str">
        <f>""</f>
        <v/>
      </c>
      <c r="G2189" t="str">
        <f t="shared" si="51"/>
        <v>BCBS PAYABLE</v>
      </c>
      <c r="H2189" s="4">
        <v>9.32</v>
      </c>
    </row>
    <row r="2190" spans="5:8" x14ac:dyDescent="0.25">
      <c r="E2190" t="str">
        <f>""</f>
        <v/>
      </c>
      <c r="F2190" t="str">
        <f>""</f>
        <v/>
      </c>
      <c r="G2190" t="str">
        <f t="shared" si="51"/>
        <v>BCBS PAYABLE</v>
      </c>
      <c r="H2190" s="4">
        <v>739.28</v>
      </c>
    </row>
    <row r="2191" spans="5:8" x14ac:dyDescent="0.25">
      <c r="E2191" t="str">
        <f>""</f>
        <v/>
      </c>
      <c r="F2191" t="str">
        <f>""</f>
        <v/>
      </c>
      <c r="G2191" t="str">
        <f t="shared" si="51"/>
        <v>BCBS PAYABLE</v>
      </c>
      <c r="H2191" s="4">
        <v>1942.89</v>
      </c>
    </row>
    <row r="2192" spans="5:8" x14ac:dyDescent="0.25">
      <c r="E2192" t="str">
        <f>"2EO202201058185"</f>
        <v>2EO202201058185</v>
      </c>
      <c r="F2192" t="str">
        <f>"BCBS PAYABLE"</f>
        <v>BCBS PAYABLE</v>
      </c>
      <c r="G2192" t="str">
        <f t="shared" si="51"/>
        <v>BCBS PAYABLE</v>
      </c>
      <c r="H2192" s="4">
        <v>748.6</v>
      </c>
    </row>
    <row r="2193" spans="5:8" x14ac:dyDescent="0.25">
      <c r="E2193" t="str">
        <f>""</f>
        <v/>
      </c>
      <c r="F2193" t="str">
        <f>""</f>
        <v/>
      </c>
      <c r="G2193" t="str">
        <f t="shared" si="51"/>
        <v>BCBS PAYABLE</v>
      </c>
      <c r="H2193" s="4">
        <v>488.4</v>
      </c>
    </row>
    <row r="2194" spans="5:8" x14ac:dyDescent="0.25">
      <c r="E2194" t="str">
        <f>""</f>
        <v/>
      </c>
      <c r="F2194" t="str">
        <f>""</f>
        <v/>
      </c>
      <c r="G2194" t="str">
        <f t="shared" si="51"/>
        <v>BCBS PAYABLE</v>
      </c>
      <c r="H2194" s="4">
        <v>2201.38</v>
      </c>
    </row>
    <row r="2195" spans="5:8" x14ac:dyDescent="0.25">
      <c r="E2195" t="str">
        <f>""</f>
        <v/>
      </c>
      <c r="F2195" t="str">
        <f>""</f>
        <v/>
      </c>
      <c r="G2195" t="str">
        <f t="shared" si="51"/>
        <v>BCBS PAYABLE</v>
      </c>
      <c r="H2195" s="4">
        <v>748.6</v>
      </c>
    </row>
    <row r="2196" spans="5:8" x14ac:dyDescent="0.25">
      <c r="E2196" t="str">
        <f>""</f>
        <v/>
      </c>
      <c r="F2196" t="str">
        <f>""</f>
        <v/>
      </c>
      <c r="G2196" t="str">
        <f t="shared" si="51"/>
        <v>BCBS PAYABLE</v>
      </c>
      <c r="H2196" s="4">
        <v>374.3</v>
      </c>
    </row>
    <row r="2197" spans="5:8" x14ac:dyDescent="0.25">
      <c r="E2197" t="str">
        <f>""</f>
        <v/>
      </c>
      <c r="F2197" t="str">
        <f>""</f>
        <v/>
      </c>
      <c r="G2197" t="str">
        <f t="shared" si="51"/>
        <v>BCBS PAYABLE</v>
      </c>
      <c r="H2197" s="4">
        <v>1122.9000000000001</v>
      </c>
    </row>
    <row r="2198" spans="5:8" x14ac:dyDescent="0.25">
      <c r="E2198" t="str">
        <f>""</f>
        <v/>
      </c>
      <c r="F2198" t="str">
        <f>""</f>
        <v/>
      </c>
      <c r="G2198" t="str">
        <f t="shared" si="51"/>
        <v>BCBS PAYABLE</v>
      </c>
      <c r="H2198" s="4">
        <v>5614.5</v>
      </c>
    </row>
    <row r="2199" spans="5:8" x14ac:dyDescent="0.25">
      <c r="E2199" t="str">
        <f>""</f>
        <v/>
      </c>
      <c r="F2199" t="str">
        <f>""</f>
        <v/>
      </c>
      <c r="G2199" t="str">
        <f t="shared" si="51"/>
        <v>BCBS PAYABLE</v>
      </c>
      <c r="H2199" s="4">
        <v>748.6</v>
      </c>
    </row>
    <row r="2200" spans="5:8" x14ac:dyDescent="0.25">
      <c r="E2200" t="str">
        <f>""</f>
        <v/>
      </c>
      <c r="F2200" t="str">
        <f>""</f>
        <v/>
      </c>
      <c r="G2200" t="str">
        <f t="shared" si="51"/>
        <v>BCBS PAYABLE</v>
      </c>
      <c r="H2200" s="4">
        <v>1497.2</v>
      </c>
    </row>
    <row r="2201" spans="5:8" x14ac:dyDescent="0.25">
      <c r="E2201" t="str">
        <f>""</f>
        <v/>
      </c>
      <c r="F2201" t="str">
        <f>""</f>
        <v/>
      </c>
      <c r="G2201" t="str">
        <f t="shared" si="51"/>
        <v>BCBS PAYABLE</v>
      </c>
      <c r="H2201" s="4">
        <v>3743</v>
      </c>
    </row>
    <row r="2202" spans="5:8" x14ac:dyDescent="0.25">
      <c r="E2202" t="str">
        <f>""</f>
        <v/>
      </c>
      <c r="F2202" t="str">
        <f>""</f>
        <v/>
      </c>
      <c r="G2202" t="str">
        <f t="shared" si="51"/>
        <v>BCBS PAYABLE</v>
      </c>
      <c r="H2202" s="4">
        <v>748.6</v>
      </c>
    </row>
    <row r="2203" spans="5:8" x14ac:dyDescent="0.25">
      <c r="E2203" t="str">
        <f>""</f>
        <v/>
      </c>
      <c r="F2203" t="str">
        <f>""</f>
        <v/>
      </c>
      <c r="G2203" t="str">
        <f t="shared" si="51"/>
        <v>BCBS PAYABLE</v>
      </c>
      <c r="H2203" s="4">
        <v>1122.9000000000001</v>
      </c>
    </row>
    <row r="2204" spans="5:8" x14ac:dyDescent="0.25">
      <c r="E2204" t="str">
        <f>""</f>
        <v/>
      </c>
      <c r="F2204" t="str">
        <f>""</f>
        <v/>
      </c>
      <c r="G2204" t="str">
        <f t="shared" si="51"/>
        <v>BCBS PAYABLE</v>
      </c>
      <c r="H2204" s="4">
        <v>374.3</v>
      </c>
    </row>
    <row r="2205" spans="5:8" x14ac:dyDescent="0.25">
      <c r="E2205" t="str">
        <f>""</f>
        <v/>
      </c>
      <c r="F2205" t="str">
        <f>""</f>
        <v/>
      </c>
      <c r="G2205" t="str">
        <f t="shared" si="51"/>
        <v>BCBS PAYABLE</v>
      </c>
      <c r="H2205" s="4">
        <v>1122.9000000000001</v>
      </c>
    </row>
    <row r="2206" spans="5:8" x14ac:dyDescent="0.25">
      <c r="E2206" t="str">
        <f>""</f>
        <v/>
      </c>
      <c r="F2206" t="str">
        <f>""</f>
        <v/>
      </c>
      <c r="G2206" t="str">
        <f t="shared" si="51"/>
        <v>BCBS PAYABLE</v>
      </c>
      <c r="H2206" s="4">
        <v>748.6</v>
      </c>
    </row>
    <row r="2207" spans="5:8" x14ac:dyDescent="0.25">
      <c r="E2207" t="str">
        <f>""</f>
        <v/>
      </c>
      <c r="F2207" t="str">
        <f>""</f>
        <v/>
      </c>
      <c r="G2207" t="str">
        <f t="shared" si="51"/>
        <v>BCBS PAYABLE</v>
      </c>
      <c r="H2207" s="4">
        <v>3719.53</v>
      </c>
    </row>
    <row r="2208" spans="5:8" x14ac:dyDescent="0.25">
      <c r="E2208" t="str">
        <f>""</f>
        <v/>
      </c>
      <c r="F2208" t="str">
        <f>""</f>
        <v/>
      </c>
      <c r="G2208" t="str">
        <f t="shared" si="51"/>
        <v>BCBS PAYABLE</v>
      </c>
      <c r="H2208" s="4">
        <v>1122.9000000000001</v>
      </c>
    </row>
    <row r="2209" spans="5:8" x14ac:dyDescent="0.25">
      <c r="E2209" t="str">
        <f>""</f>
        <v/>
      </c>
      <c r="F2209" t="str">
        <f>""</f>
        <v/>
      </c>
      <c r="G2209" t="str">
        <f t="shared" si="51"/>
        <v>BCBS PAYABLE</v>
      </c>
      <c r="H2209" s="4">
        <v>748.6</v>
      </c>
    </row>
    <row r="2210" spans="5:8" x14ac:dyDescent="0.25">
      <c r="E2210" t="str">
        <f>""</f>
        <v/>
      </c>
      <c r="F2210" t="str">
        <f>""</f>
        <v/>
      </c>
      <c r="G2210" t="str">
        <f t="shared" si="51"/>
        <v>BCBS PAYABLE</v>
      </c>
      <c r="H2210" s="4">
        <v>374.3</v>
      </c>
    </row>
    <row r="2211" spans="5:8" x14ac:dyDescent="0.25">
      <c r="E2211" t="str">
        <f>""</f>
        <v/>
      </c>
      <c r="F2211" t="str">
        <f>""</f>
        <v/>
      </c>
      <c r="G2211" t="str">
        <f t="shared" si="51"/>
        <v>BCBS PAYABLE</v>
      </c>
      <c r="H2211" s="4">
        <v>4117.3</v>
      </c>
    </row>
    <row r="2212" spans="5:8" x14ac:dyDescent="0.25">
      <c r="E2212" t="str">
        <f>""</f>
        <v/>
      </c>
      <c r="F2212" t="str">
        <f>""</f>
        <v/>
      </c>
      <c r="G2212" t="str">
        <f t="shared" si="51"/>
        <v>BCBS PAYABLE</v>
      </c>
      <c r="H2212" s="4">
        <v>1497.2</v>
      </c>
    </row>
    <row r="2213" spans="5:8" x14ac:dyDescent="0.25">
      <c r="E2213" t="str">
        <f>""</f>
        <v/>
      </c>
      <c r="F2213" t="str">
        <f>""</f>
        <v/>
      </c>
      <c r="G2213" t="str">
        <f t="shared" si="51"/>
        <v>BCBS PAYABLE</v>
      </c>
      <c r="H2213" s="4">
        <v>2994.4</v>
      </c>
    </row>
    <row r="2214" spans="5:8" x14ac:dyDescent="0.25">
      <c r="E2214" t="str">
        <f>""</f>
        <v/>
      </c>
      <c r="F2214" t="str">
        <f>""</f>
        <v/>
      </c>
      <c r="G2214" t="str">
        <f t="shared" si="51"/>
        <v>BCBS PAYABLE</v>
      </c>
      <c r="H2214" s="4">
        <v>3368.7</v>
      </c>
    </row>
    <row r="2215" spans="5:8" x14ac:dyDescent="0.25">
      <c r="E2215" t="str">
        <f>""</f>
        <v/>
      </c>
      <c r="F2215" t="str">
        <f>""</f>
        <v/>
      </c>
      <c r="G2215" t="str">
        <f t="shared" si="51"/>
        <v>BCBS PAYABLE</v>
      </c>
      <c r="H2215" s="4">
        <v>4871.51</v>
      </c>
    </row>
    <row r="2216" spans="5:8" x14ac:dyDescent="0.25">
      <c r="E2216" t="str">
        <f>""</f>
        <v/>
      </c>
      <c r="F2216" t="str">
        <f>""</f>
        <v/>
      </c>
      <c r="G2216" t="str">
        <f t="shared" si="51"/>
        <v>BCBS PAYABLE</v>
      </c>
      <c r="H2216" s="4">
        <v>374.3</v>
      </c>
    </row>
    <row r="2217" spans="5:8" x14ac:dyDescent="0.25">
      <c r="E2217" t="str">
        <f>""</f>
        <v/>
      </c>
      <c r="F2217" t="str">
        <f>""</f>
        <v/>
      </c>
      <c r="G2217" t="str">
        <f t="shared" si="51"/>
        <v>BCBS PAYABLE</v>
      </c>
      <c r="H2217" s="4">
        <v>374.3</v>
      </c>
    </row>
    <row r="2218" spans="5:8" x14ac:dyDescent="0.25">
      <c r="E2218" t="str">
        <f>""</f>
        <v/>
      </c>
      <c r="F2218" t="str">
        <f>""</f>
        <v/>
      </c>
      <c r="G2218" t="str">
        <f t="shared" si="51"/>
        <v>BCBS PAYABLE</v>
      </c>
      <c r="H2218" s="4">
        <v>21682.62</v>
      </c>
    </row>
    <row r="2219" spans="5:8" x14ac:dyDescent="0.25">
      <c r="E2219" t="str">
        <f>""</f>
        <v/>
      </c>
      <c r="F2219" t="str">
        <f>""</f>
        <v/>
      </c>
      <c r="G2219" t="str">
        <f t="shared" si="51"/>
        <v>BCBS PAYABLE</v>
      </c>
      <c r="H2219" s="4">
        <v>1111.8900000000001</v>
      </c>
    </row>
    <row r="2220" spans="5:8" x14ac:dyDescent="0.25">
      <c r="E2220" t="str">
        <f>""</f>
        <v/>
      </c>
      <c r="F2220" t="str">
        <f>""</f>
        <v/>
      </c>
      <c r="G2220" t="str">
        <f t="shared" si="51"/>
        <v>BCBS PAYABLE</v>
      </c>
      <c r="H2220" s="4">
        <v>23620.23</v>
      </c>
    </row>
    <row r="2221" spans="5:8" x14ac:dyDescent="0.25">
      <c r="E2221" t="str">
        <f>""</f>
        <v/>
      </c>
      <c r="F2221" t="str">
        <f>""</f>
        <v/>
      </c>
      <c r="G2221" t="str">
        <f t="shared" si="51"/>
        <v>BCBS PAYABLE</v>
      </c>
      <c r="H2221" s="4">
        <v>4865.8999999999996</v>
      </c>
    </row>
    <row r="2222" spans="5:8" x14ac:dyDescent="0.25">
      <c r="E2222" t="str">
        <f>""</f>
        <v/>
      </c>
      <c r="F2222" t="str">
        <f>""</f>
        <v/>
      </c>
      <c r="G2222" t="str">
        <f t="shared" si="51"/>
        <v>BCBS PAYABLE</v>
      </c>
      <c r="H2222" s="4">
        <v>374.3</v>
      </c>
    </row>
    <row r="2223" spans="5:8" x14ac:dyDescent="0.25">
      <c r="E2223" t="str">
        <f>""</f>
        <v/>
      </c>
      <c r="F2223" t="str">
        <f>""</f>
        <v/>
      </c>
      <c r="G2223" t="str">
        <f t="shared" si="51"/>
        <v>BCBS PAYABLE</v>
      </c>
      <c r="H2223" s="4">
        <v>1497.2</v>
      </c>
    </row>
    <row r="2224" spans="5:8" x14ac:dyDescent="0.25">
      <c r="E2224" t="str">
        <f>""</f>
        <v/>
      </c>
      <c r="F2224" t="str">
        <f>""</f>
        <v/>
      </c>
      <c r="G2224" t="str">
        <f t="shared" si="51"/>
        <v>BCBS PAYABLE</v>
      </c>
      <c r="H2224" s="4">
        <v>95.82</v>
      </c>
    </row>
    <row r="2225" spans="5:8" x14ac:dyDescent="0.25">
      <c r="E2225" t="str">
        <f>""</f>
        <v/>
      </c>
      <c r="F2225" t="str">
        <f>""</f>
        <v/>
      </c>
      <c r="G2225" t="str">
        <f t="shared" si="51"/>
        <v>BCBS PAYABLE</v>
      </c>
      <c r="H2225" s="4">
        <v>748.6</v>
      </c>
    </row>
    <row r="2226" spans="5:8" x14ac:dyDescent="0.25">
      <c r="E2226" t="str">
        <f>""</f>
        <v/>
      </c>
      <c r="F2226" t="str">
        <f>""</f>
        <v/>
      </c>
      <c r="G2226" t="str">
        <f t="shared" si="51"/>
        <v>BCBS PAYABLE</v>
      </c>
      <c r="H2226" s="4">
        <v>374.3</v>
      </c>
    </row>
    <row r="2227" spans="5:8" x14ac:dyDescent="0.25">
      <c r="E2227" t="str">
        <f>""</f>
        <v/>
      </c>
      <c r="F2227" t="str">
        <f>""</f>
        <v/>
      </c>
      <c r="G2227" t="str">
        <f t="shared" si="51"/>
        <v>BCBS PAYABLE</v>
      </c>
      <c r="H2227" s="4">
        <v>748.6</v>
      </c>
    </row>
    <row r="2228" spans="5:8" x14ac:dyDescent="0.25">
      <c r="E2228" t="str">
        <f>""</f>
        <v/>
      </c>
      <c r="F2228" t="str">
        <f>""</f>
        <v/>
      </c>
      <c r="G2228" t="str">
        <f t="shared" si="51"/>
        <v>BCBS PAYABLE</v>
      </c>
      <c r="H2228" s="4">
        <v>748.6</v>
      </c>
    </row>
    <row r="2229" spans="5:8" x14ac:dyDescent="0.25">
      <c r="E2229" t="str">
        <f>""</f>
        <v/>
      </c>
      <c r="F2229" t="str">
        <f>""</f>
        <v/>
      </c>
      <c r="G2229" t="str">
        <f t="shared" si="51"/>
        <v>BCBS PAYABLE</v>
      </c>
      <c r="H2229" s="4">
        <v>44.42</v>
      </c>
    </row>
    <row r="2230" spans="5:8" x14ac:dyDescent="0.25">
      <c r="E2230" t="str">
        <f>""</f>
        <v/>
      </c>
      <c r="F2230" t="str">
        <f>""</f>
        <v/>
      </c>
      <c r="G2230" t="str">
        <f t="shared" si="51"/>
        <v>BCBS PAYABLE</v>
      </c>
      <c r="H2230" s="4">
        <v>3460.88</v>
      </c>
    </row>
    <row r="2231" spans="5:8" x14ac:dyDescent="0.25">
      <c r="E2231" t="str">
        <f>""</f>
        <v/>
      </c>
      <c r="F2231" t="str">
        <f>""</f>
        <v/>
      </c>
      <c r="G2231" t="str">
        <f t="shared" si="51"/>
        <v>BCBS PAYABLE</v>
      </c>
      <c r="H2231" s="4">
        <v>2175.1799999999998</v>
      </c>
    </row>
    <row r="2232" spans="5:8" x14ac:dyDescent="0.25">
      <c r="E2232" t="str">
        <f>""</f>
        <v/>
      </c>
      <c r="F2232" t="str">
        <f>""</f>
        <v/>
      </c>
      <c r="G2232" t="str">
        <f t="shared" si="51"/>
        <v>BCBS PAYABLE</v>
      </c>
      <c r="H2232" s="4">
        <v>4795.28</v>
      </c>
    </row>
    <row r="2233" spans="5:8" x14ac:dyDescent="0.25">
      <c r="E2233" t="str">
        <f>""</f>
        <v/>
      </c>
      <c r="F2233" t="str">
        <f>""</f>
        <v/>
      </c>
      <c r="G2233" t="str">
        <f t="shared" si="51"/>
        <v>BCBS PAYABLE</v>
      </c>
      <c r="H2233" s="4">
        <v>4046.65</v>
      </c>
    </row>
    <row r="2234" spans="5:8" x14ac:dyDescent="0.25">
      <c r="E2234" t="str">
        <f>""</f>
        <v/>
      </c>
      <c r="F2234" t="str">
        <f>""</f>
        <v/>
      </c>
      <c r="G2234" t="str">
        <f t="shared" si="51"/>
        <v>BCBS PAYABLE</v>
      </c>
      <c r="H2234" s="4">
        <v>652.78</v>
      </c>
    </row>
    <row r="2235" spans="5:8" x14ac:dyDescent="0.25">
      <c r="E2235" t="str">
        <f>""</f>
        <v/>
      </c>
      <c r="F2235" t="str">
        <f>""</f>
        <v/>
      </c>
      <c r="G2235" t="str">
        <f t="shared" si="51"/>
        <v>BCBS PAYABLE</v>
      </c>
      <c r="H2235" s="4">
        <v>9.7200000000000006</v>
      </c>
    </row>
    <row r="2236" spans="5:8" x14ac:dyDescent="0.25">
      <c r="E2236" t="str">
        <f>""</f>
        <v/>
      </c>
      <c r="F2236" t="str">
        <f>""</f>
        <v/>
      </c>
      <c r="G2236" t="str">
        <f t="shared" si="51"/>
        <v>BCBS PAYABLE</v>
      </c>
      <c r="H2236" s="4">
        <v>13.75</v>
      </c>
    </row>
    <row r="2237" spans="5:8" x14ac:dyDescent="0.25">
      <c r="E2237" t="str">
        <f>""</f>
        <v/>
      </c>
      <c r="F2237" t="str">
        <f>""</f>
        <v/>
      </c>
      <c r="G2237" t="str">
        <f t="shared" si="51"/>
        <v>BCBS PAYABLE</v>
      </c>
      <c r="H2237" s="4">
        <v>372.76</v>
      </c>
    </row>
    <row r="2238" spans="5:8" x14ac:dyDescent="0.25">
      <c r="E2238" t="str">
        <f>"2EO202201058186"</f>
        <v>2EO202201058186</v>
      </c>
      <c r="F2238" t="str">
        <f>"BCBS PAYABLE"</f>
        <v>BCBS PAYABLE</v>
      </c>
      <c r="G2238" t="str">
        <f t="shared" si="51"/>
        <v>BCBS PAYABLE</v>
      </c>
      <c r="H2238" s="4">
        <v>2994.4</v>
      </c>
    </row>
    <row r="2239" spans="5:8" x14ac:dyDescent="0.25">
      <c r="E2239" t="str">
        <f>"2EO202201198473"</f>
        <v>2EO202201198473</v>
      </c>
      <c r="F2239" t="str">
        <f>"BCBS PAYABLE"</f>
        <v>BCBS PAYABLE</v>
      </c>
      <c r="G2239" t="str">
        <f t="shared" si="51"/>
        <v>BCBS PAYABLE</v>
      </c>
      <c r="H2239" s="4">
        <v>748.6</v>
      </c>
    </row>
    <row r="2240" spans="5:8" x14ac:dyDescent="0.25">
      <c r="E2240" t="str">
        <f>""</f>
        <v/>
      </c>
      <c r="F2240" t="str">
        <f>""</f>
        <v/>
      </c>
      <c r="G2240" t="str">
        <f t="shared" si="51"/>
        <v>BCBS PAYABLE</v>
      </c>
      <c r="H2240" s="4">
        <v>488.4</v>
      </c>
    </row>
    <row r="2241" spans="5:8" x14ac:dyDescent="0.25">
      <c r="E2241" t="str">
        <f>""</f>
        <v/>
      </c>
      <c r="F2241" t="str">
        <f>""</f>
        <v/>
      </c>
      <c r="G2241" t="str">
        <f t="shared" si="51"/>
        <v>BCBS PAYABLE</v>
      </c>
      <c r="H2241" s="4">
        <v>2207.8200000000002</v>
      </c>
    </row>
    <row r="2242" spans="5:8" x14ac:dyDescent="0.25">
      <c r="E2242" t="str">
        <f>""</f>
        <v/>
      </c>
      <c r="F2242" t="str">
        <f>""</f>
        <v/>
      </c>
      <c r="G2242" t="str">
        <f t="shared" si="51"/>
        <v>BCBS PAYABLE</v>
      </c>
      <c r="H2242" s="4">
        <v>748.6</v>
      </c>
    </row>
    <row r="2243" spans="5:8" x14ac:dyDescent="0.25">
      <c r="E2243" t="str">
        <f>""</f>
        <v/>
      </c>
      <c r="F2243" t="str">
        <f>""</f>
        <v/>
      </c>
      <c r="G2243" t="str">
        <f t="shared" ref="G2243:G2306" si="52">"BCBS PAYABLE"</f>
        <v>BCBS PAYABLE</v>
      </c>
      <c r="H2243" s="4">
        <v>374.3</v>
      </c>
    </row>
    <row r="2244" spans="5:8" x14ac:dyDescent="0.25">
      <c r="E2244" t="str">
        <f>""</f>
        <v/>
      </c>
      <c r="F2244" t="str">
        <f>""</f>
        <v/>
      </c>
      <c r="G2244" t="str">
        <f t="shared" si="52"/>
        <v>BCBS PAYABLE</v>
      </c>
      <c r="H2244" s="4">
        <v>748.6</v>
      </c>
    </row>
    <row r="2245" spans="5:8" x14ac:dyDescent="0.25">
      <c r="E2245" t="str">
        <f>""</f>
        <v/>
      </c>
      <c r="F2245" t="str">
        <f>""</f>
        <v/>
      </c>
      <c r="G2245" t="str">
        <f t="shared" si="52"/>
        <v>BCBS PAYABLE</v>
      </c>
      <c r="H2245" s="4">
        <v>5614.5</v>
      </c>
    </row>
    <row r="2246" spans="5:8" x14ac:dyDescent="0.25">
      <c r="E2246" t="str">
        <f>""</f>
        <v/>
      </c>
      <c r="F2246" t="str">
        <f>""</f>
        <v/>
      </c>
      <c r="G2246" t="str">
        <f t="shared" si="52"/>
        <v>BCBS PAYABLE</v>
      </c>
      <c r="H2246" s="4">
        <v>748.6</v>
      </c>
    </row>
    <row r="2247" spans="5:8" x14ac:dyDescent="0.25">
      <c r="E2247" t="str">
        <f>""</f>
        <v/>
      </c>
      <c r="F2247" t="str">
        <f>""</f>
        <v/>
      </c>
      <c r="G2247" t="str">
        <f t="shared" si="52"/>
        <v>BCBS PAYABLE</v>
      </c>
      <c r="H2247" s="4">
        <v>1497.2</v>
      </c>
    </row>
    <row r="2248" spans="5:8" x14ac:dyDescent="0.25">
      <c r="E2248" t="str">
        <f>""</f>
        <v/>
      </c>
      <c r="F2248" t="str">
        <f>""</f>
        <v/>
      </c>
      <c r="G2248" t="str">
        <f t="shared" si="52"/>
        <v>BCBS PAYABLE</v>
      </c>
      <c r="H2248" s="4">
        <v>3743</v>
      </c>
    </row>
    <row r="2249" spans="5:8" x14ac:dyDescent="0.25">
      <c r="E2249" t="str">
        <f>""</f>
        <v/>
      </c>
      <c r="F2249" t="str">
        <f>""</f>
        <v/>
      </c>
      <c r="G2249" t="str">
        <f t="shared" si="52"/>
        <v>BCBS PAYABLE</v>
      </c>
      <c r="H2249" s="4">
        <v>748.6</v>
      </c>
    </row>
    <row r="2250" spans="5:8" x14ac:dyDescent="0.25">
      <c r="E2250" t="str">
        <f>""</f>
        <v/>
      </c>
      <c r="F2250" t="str">
        <f>""</f>
        <v/>
      </c>
      <c r="G2250" t="str">
        <f t="shared" si="52"/>
        <v>BCBS PAYABLE</v>
      </c>
      <c r="H2250" s="4">
        <v>1122.9000000000001</v>
      </c>
    </row>
    <row r="2251" spans="5:8" x14ac:dyDescent="0.25">
      <c r="E2251" t="str">
        <f>""</f>
        <v/>
      </c>
      <c r="F2251" t="str">
        <f>""</f>
        <v/>
      </c>
      <c r="G2251" t="str">
        <f t="shared" si="52"/>
        <v>BCBS PAYABLE</v>
      </c>
      <c r="H2251" s="4">
        <v>374.3</v>
      </c>
    </row>
    <row r="2252" spans="5:8" x14ac:dyDescent="0.25">
      <c r="E2252" t="str">
        <f>""</f>
        <v/>
      </c>
      <c r="F2252" t="str">
        <f>""</f>
        <v/>
      </c>
      <c r="G2252" t="str">
        <f t="shared" si="52"/>
        <v>BCBS PAYABLE</v>
      </c>
      <c r="H2252" s="4">
        <v>1122.9000000000001</v>
      </c>
    </row>
    <row r="2253" spans="5:8" x14ac:dyDescent="0.25">
      <c r="E2253" t="str">
        <f>""</f>
        <v/>
      </c>
      <c r="F2253" t="str">
        <f>""</f>
        <v/>
      </c>
      <c r="G2253" t="str">
        <f t="shared" si="52"/>
        <v>BCBS PAYABLE</v>
      </c>
      <c r="H2253" s="4">
        <v>748.6</v>
      </c>
    </row>
    <row r="2254" spans="5:8" x14ac:dyDescent="0.25">
      <c r="E2254" t="str">
        <f>""</f>
        <v/>
      </c>
      <c r="F2254" t="str">
        <f>""</f>
        <v/>
      </c>
      <c r="G2254" t="str">
        <f t="shared" si="52"/>
        <v>BCBS PAYABLE</v>
      </c>
      <c r="H2254" s="4">
        <v>3719.53</v>
      </c>
    </row>
    <row r="2255" spans="5:8" x14ac:dyDescent="0.25">
      <c r="E2255" t="str">
        <f>""</f>
        <v/>
      </c>
      <c r="F2255" t="str">
        <f>""</f>
        <v/>
      </c>
      <c r="G2255" t="str">
        <f t="shared" si="52"/>
        <v>BCBS PAYABLE</v>
      </c>
      <c r="H2255" s="4">
        <v>1122.9000000000001</v>
      </c>
    </row>
    <row r="2256" spans="5:8" x14ac:dyDescent="0.25">
      <c r="E2256" t="str">
        <f>""</f>
        <v/>
      </c>
      <c r="F2256" t="str">
        <f>""</f>
        <v/>
      </c>
      <c r="G2256" t="str">
        <f t="shared" si="52"/>
        <v>BCBS PAYABLE</v>
      </c>
      <c r="H2256" s="4">
        <v>748.6</v>
      </c>
    </row>
    <row r="2257" spans="5:8" x14ac:dyDescent="0.25">
      <c r="E2257" t="str">
        <f>""</f>
        <v/>
      </c>
      <c r="F2257" t="str">
        <f>""</f>
        <v/>
      </c>
      <c r="G2257" t="str">
        <f t="shared" si="52"/>
        <v>BCBS PAYABLE</v>
      </c>
      <c r="H2257" s="4">
        <v>374.3</v>
      </c>
    </row>
    <row r="2258" spans="5:8" x14ac:dyDescent="0.25">
      <c r="E2258" t="str">
        <f>""</f>
        <v/>
      </c>
      <c r="F2258" t="str">
        <f>""</f>
        <v/>
      </c>
      <c r="G2258" t="str">
        <f t="shared" si="52"/>
        <v>BCBS PAYABLE</v>
      </c>
      <c r="H2258" s="4">
        <v>4145.3900000000003</v>
      </c>
    </row>
    <row r="2259" spans="5:8" x14ac:dyDescent="0.25">
      <c r="E2259" t="str">
        <f>""</f>
        <v/>
      </c>
      <c r="F2259" t="str">
        <f>""</f>
        <v/>
      </c>
      <c r="G2259" t="str">
        <f t="shared" si="52"/>
        <v>BCBS PAYABLE</v>
      </c>
      <c r="H2259" s="4">
        <v>1469.11</v>
      </c>
    </row>
    <row r="2260" spans="5:8" x14ac:dyDescent="0.25">
      <c r="E2260" t="str">
        <f>""</f>
        <v/>
      </c>
      <c r="F2260" t="str">
        <f>""</f>
        <v/>
      </c>
      <c r="G2260" t="str">
        <f t="shared" si="52"/>
        <v>BCBS PAYABLE</v>
      </c>
      <c r="H2260" s="4">
        <v>2994.4</v>
      </c>
    </row>
    <row r="2261" spans="5:8" x14ac:dyDescent="0.25">
      <c r="E2261" t="str">
        <f>""</f>
        <v/>
      </c>
      <c r="F2261" t="str">
        <f>""</f>
        <v/>
      </c>
      <c r="G2261" t="str">
        <f t="shared" si="52"/>
        <v>BCBS PAYABLE</v>
      </c>
      <c r="H2261" s="4">
        <v>3368.7</v>
      </c>
    </row>
    <row r="2262" spans="5:8" x14ac:dyDescent="0.25">
      <c r="E2262" t="str">
        <f>""</f>
        <v/>
      </c>
      <c r="F2262" t="str">
        <f>""</f>
        <v/>
      </c>
      <c r="G2262" t="str">
        <f t="shared" si="52"/>
        <v>BCBS PAYABLE</v>
      </c>
      <c r="H2262" s="4">
        <v>4871.51</v>
      </c>
    </row>
    <row r="2263" spans="5:8" x14ac:dyDescent="0.25">
      <c r="E2263" t="str">
        <f>""</f>
        <v/>
      </c>
      <c r="F2263" t="str">
        <f>""</f>
        <v/>
      </c>
      <c r="G2263" t="str">
        <f t="shared" si="52"/>
        <v>BCBS PAYABLE</v>
      </c>
      <c r="H2263" s="4">
        <v>374.3</v>
      </c>
    </row>
    <row r="2264" spans="5:8" x14ac:dyDescent="0.25">
      <c r="E2264" t="str">
        <f>""</f>
        <v/>
      </c>
      <c r="F2264" t="str">
        <f>""</f>
        <v/>
      </c>
      <c r="G2264" t="str">
        <f t="shared" si="52"/>
        <v>BCBS PAYABLE</v>
      </c>
      <c r="H2264" s="4">
        <v>374.3</v>
      </c>
    </row>
    <row r="2265" spans="5:8" x14ac:dyDescent="0.25">
      <c r="E2265" t="str">
        <f>""</f>
        <v/>
      </c>
      <c r="F2265" t="str">
        <f>""</f>
        <v/>
      </c>
      <c r="G2265" t="str">
        <f t="shared" si="52"/>
        <v>BCBS PAYABLE</v>
      </c>
      <c r="H2265" s="4">
        <v>21685.3</v>
      </c>
    </row>
    <row r="2266" spans="5:8" x14ac:dyDescent="0.25">
      <c r="E2266" t="str">
        <f>""</f>
        <v/>
      </c>
      <c r="F2266" t="str">
        <f>""</f>
        <v/>
      </c>
      <c r="G2266" t="str">
        <f t="shared" si="52"/>
        <v>BCBS PAYABLE</v>
      </c>
      <c r="H2266" s="4">
        <v>1111.8900000000001</v>
      </c>
    </row>
    <row r="2267" spans="5:8" x14ac:dyDescent="0.25">
      <c r="E2267" t="str">
        <f>""</f>
        <v/>
      </c>
      <c r="F2267" t="str">
        <f>""</f>
        <v/>
      </c>
      <c r="G2267" t="str">
        <f t="shared" si="52"/>
        <v>BCBS PAYABLE</v>
      </c>
      <c r="H2267" s="4">
        <v>23617.55</v>
      </c>
    </row>
    <row r="2268" spans="5:8" x14ac:dyDescent="0.25">
      <c r="E2268" t="str">
        <f>""</f>
        <v/>
      </c>
      <c r="F2268" t="str">
        <f>""</f>
        <v/>
      </c>
      <c r="G2268" t="str">
        <f t="shared" si="52"/>
        <v>BCBS PAYABLE</v>
      </c>
      <c r="H2268" s="4">
        <v>4865.8999999999996</v>
      </c>
    </row>
    <row r="2269" spans="5:8" x14ac:dyDescent="0.25">
      <c r="E2269" t="str">
        <f>""</f>
        <v/>
      </c>
      <c r="F2269" t="str">
        <f>""</f>
        <v/>
      </c>
      <c r="G2269" t="str">
        <f t="shared" si="52"/>
        <v>BCBS PAYABLE</v>
      </c>
      <c r="H2269" s="4">
        <v>748.6</v>
      </c>
    </row>
    <row r="2270" spans="5:8" x14ac:dyDescent="0.25">
      <c r="E2270" t="str">
        <f>""</f>
        <v/>
      </c>
      <c r="F2270" t="str">
        <f>""</f>
        <v/>
      </c>
      <c r="G2270" t="str">
        <f t="shared" si="52"/>
        <v>BCBS PAYABLE</v>
      </c>
      <c r="H2270" s="4">
        <v>1497.2</v>
      </c>
    </row>
    <row r="2271" spans="5:8" x14ac:dyDescent="0.25">
      <c r="E2271" t="str">
        <f>""</f>
        <v/>
      </c>
      <c r="F2271" t="str">
        <f>""</f>
        <v/>
      </c>
      <c r="G2271" t="str">
        <f t="shared" si="52"/>
        <v>BCBS PAYABLE</v>
      </c>
      <c r="H2271" s="4">
        <v>95.82</v>
      </c>
    </row>
    <row r="2272" spans="5:8" x14ac:dyDescent="0.25">
      <c r="E2272" t="str">
        <f>""</f>
        <v/>
      </c>
      <c r="F2272" t="str">
        <f>""</f>
        <v/>
      </c>
      <c r="G2272" t="str">
        <f t="shared" si="52"/>
        <v>BCBS PAYABLE</v>
      </c>
      <c r="H2272" s="4">
        <v>748.6</v>
      </c>
    </row>
    <row r="2273" spans="5:8" x14ac:dyDescent="0.25">
      <c r="E2273" t="str">
        <f>""</f>
        <v/>
      </c>
      <c r="F2273" t="str">
        <f>""</f>
        <v/>
      </c>
      <c r="G2273" t="str">
        <f t="shared" si="52"/>
        <v>BCBS PAYABLE</v>
      </c>
      <c r="H2273" s="4">
        <v>374.3</v>
      </c>
    </row>
    <row r="2274" spans="5:8" x14ac:dyDescent="0.25">
      <c r="E2274" t="str">
        <f>""</f>
        <v/>
      </c>
      <c r="F2274" t="str">
        <f>""</f>
        <v/>
      </c>
      <c r="G2274" t="str">
        <f t="shared" si="52"/>
        <v>BCBS PAYABLE</v>
      </c>
      <c r="H2274" s="4">
        <v>748.6</v>
      </c>
    </row>
    <row r="2275" spans="5:8" x14ac:dyDescent="0.25">
      <c r="E2275" t="str">
        <f>""</f>
        <v/>
      </c>
      <c r="F2275" t="str">
        <f>""</f>
        <v/>
      </c>
      <c r="G2275" t="str">
        <f t="shared" si="52"/>
        <v>BCBS PAYABLE</v>
      </c>
      <c r="H2275" s="4">
        <v>748.6</v>
      </c>
    </row>
    <row r="2276" spans="5:8" x14ac:dyDescent="0.25">
      <c r="E2276" t="str">
        <f>""</f>
        <v/>
      </c>
      <c r="F2276" t="str">
        <f>""</f>
        <v/>
      </c>
      <c r="G2276" t="str">
        <f t="shared" si="52"/>
        <v>BCBS PAYABLE</v>
      </c>
      <c r="H2276" s="4">
        <v>37.979999999999997</v>
      </c>
    </row>
    <row r="2277" spans="5:8" x14ac:dyDescent="0.25">
      <c r="E2277" t="str">
        <f>""</f>
        <v/>
      </c>
      <c r="F2277" t="str">
        <f>""</f>
        <v/>
      </c>
      <c r="G2277" t="str">
        <f t="shared" si="52"/>
        <v>BCBS PAYABLE</v>
      </c>
      <c r="H2277" s="4">
        <v>3460.88</v>
      </c>
    </row>
    <row r="2278" spans="5:8" x14ac:dyDescent="0.25">
      <c r="E2278" t="str">
        <f>""</f>
        <v/>
      </c>
      <c r="F2278" t="str">
        <f>""</f>
        <v/>
      </c>
      <c r="G2278" t="str">
        <f t="shared" si="52"/>
        <v>BCBS PAYABLE</v>
      </c>
      <c r="H2278" s="4">
        <v>2175.1799999999998</v>
      </c>
    </row>
    <row r="2279" spans="5:8" x14ac:dyDescent="0.25">
      <c r="E2279" t="str">
        <f>""</f>
        <v/>
      </c>
      <c r="F2279" t="str">
        <f>""</f>
        <v/>
      </c>
      <c r="G2279" t="str">
        <f t="shared" si="52"/>
        <v>BCBS PAYABLE</v>
      </c>
      <c r="H2279" s="4">
        <v>4795.28</v>
      </c>
    </row>
    <row r="2280" spans="5:8" x14ac:dyDescent="0.25">
      <c r="E2280" t="str">
        <f>""</f>
        <v/>
      </c>
      <c r="F2280" t="str">
        <f>""</f>
        <v/>
      </c>
      <c r="G2280" t="str">
        <f t="shared" si="52"/>
        <v>BCBS PAYABLE</v>
      </c>
      <c r="H2280" s="4">
        <v>4046.65</v>
      </c>
    </row>
    <row r="2281" spans="5:8" x14ac:dyDescent="0.25">
      <c r="E2281" t="str">
        <f>""</f>
        <v/>
      </c>
      <c r="F2281" t="str">
        <f>""</f>
        <v/>
      </c>
      <c r="G2281" t="str">
        <f t="shared" si="52"/>
        <v>BCBS PAYABLE</v>
      </c>
      <c r="H2281" s="4">
        <v>652.78</v>
      </c>
    </row>
    <row r="2282" spans="5:8" x14ac:dyDescent="0.25">
      <c r="E2282" t="str">
        <f>""</f>
        <v/>
      </c>
      <c r="F2282" t="str">
        <f>""</f>
        <v/>
      </c>
      <c r="G2282" t="str">
        <f t="shared" si="52"/>
        <v>BCBS PAYABLE</v>
      </c>
      <c r="H2282" s="4">
        <v>9.7200000000000006</v>
      </c>
    </row>
    <row r="2283" spans="5:8" x14ac:dyDescent="0.25">
      <c r="E2283" t="str">
        <f>""</f>
        <v/>
      </c>
      <c r="F2283" t="str">
        <f>""</f>
        <v/>
      </c>
      <c r="G2283" t="str">
        <f t="shared" si="52"/>
        <v>BCBS PAYABLE</v>
      </c>
      <c r="H2283" s="4">
        <v>13.75</v>
      </c>
    </row>
    <row r="2284" spans="5:8" x14ac:dyDescent="0.25">
      <c r="E2284" t="str">
        <f>""</f>
        <v/>
      </c>
      <c r="F2284" t="str">
        <f>""</f>
        <v/>
      </c>
      <c r="G2284" t="str">
        <f t="shared" si="52"/>
        <v>BCBS PAYABLE</v>
      </c>
      <c r="H2284" s="4">
        <v>372.76</v>
      </c>
    </row>
    <row r="2285" spans="5:8" x14ac:dyDescent="0.25">
      <c r="E2285" t="str">
        <f>"2EO202201198474"</f>
        <v>2EO202201198474</v>
      </c>
      <c r="F2285" t="str">
        <f>"BCBS PAYABLE"</f>
        <v>BCBS PAYABLE</v>
      </c>
      <c r="G2285" t="str">
        <f t="shared" si="52"/>
        <v>BCBS PAYABLE</v>
      </c>
      <c r="H2285" s="4">
        <v>2994.4</v>
      </c>
    </row>
    <row r="2286" spans="5:8" x14ac:dyDescent="0.25">
      <c r="E2286" t="str">
        <f>"2ES202201058185"</f>
        <v>2ES202201058185</v>
      </c>
      <c r="F2286" t="str">
        <f>"BCBS PAYABLE"</f>
        <v>BCBS PAYABLE</v>
      </c>
      <c r="G2286" t="str">
        <f t="shared" si="52"/>
        <v>BCBS PAYABLE</v>
      </c>
      <c r="H2286" s="4">
        <v>374.3</v>
      </c>
    </row>
    <row r="2287" spans="5:8" x14ac:dyDescent="0.25">
      <c r="E2287" t="str">
        <f>""</f>
        <v/>
      </c>
      <c r="F2287" t="str">
        <f>""</f>
        <v/>
      </c>
      <c r="G2287" t="str">
        <f t="shared" si="52"/>
        <v>BCBS PAYABLE</v>
      </c>
      <c r="H2287" s="4">
        <v>374.3</v>
      </c>
    </row>
    <row r="2288" spans="5:8" x14ac:dyDescent="0.25">
      <c r="E2288" t="str">
        <f>""</f>
        <v/>
      </c>
      <c r="F2288" t="str">
        <f>""</f>
        <v/>
      </c>
      <c r="G2288" t="str">
        <f t="shared" si="52"/>
        <v>BCBS PAYABLE</v>
      </c>
      <c r="H2288" s="4">
        <v>748.6</v>
      </c>
    </row>
    <row r="2289" spans="5:8" x14ac:dyDescent="0.25">
      <c r="E2289" t="str">
        <f>""</f>
        <v/>
      </c>
      <c r="F2289" t="str">
        <f>""</f>
        <v/>
      </c>
      <c r="G2289" t="str">
        <f t="shared" si="52"/>
        <v>BCBS PAYABLE</v>
      </c>
      <c r="H2289" s="4">
        <v>374.3</v>
      </c>
    </row>
    <row r="2290" spans="5:8" x14ac:dyDescent="0.25">
      <c r="E2290" t="str">
        <f>""</f>
        <v/>
      </c>
      <c r="F2290" t="str">
        <f>""</f>
        <v/>
      </c>
      <c r="G2290" t="str">
        <f t="shared" si="52"/>
        <v>BCBS PAYABLE</v>
      </c>
      <c r="H2290" s="4">
        <v>374.3</v>
      </c>
    </row>
    <row r="2291" spans="5:8" x14ac:dyDescent="0.25">
      <c r="E2291" t="str">
        <f>""</f>
        <v/>
      </c>
      <c r="F2291" t="str">
        <f>""</f>
        <v/>
      </c>
      <c r="G2291" t="str">
        <f t="shared" si="52"/>
        <v>BCBS PAYABLE</v>
      </c>
      <c r="H2291" s="4">
        <v>374.3</v>
      </c>
    </row>
    <row r="2292" spans="5:8" x14ac:dyDescent="0.25">
      <c r="E2292" t="str">
        <f>""</f>
        <v/>
      </c>
      <c r="F2292" t="str">
        <f>""</f>
        <v/>
      </c>
      <c r="G2292" t="str">
        <f t="shared" si="52"/>
        <v>BCBS PAYABLE</v>
      </c>
      <c r="H2292" s="4">
        <v>374.3</v>
      </c>
    </row>
    <row r="2293" spans="5:8" x14ac:dyDescent="0.25">
      <c r="E2293" t="str">
        <f>""</f>
        <v/>
      </c>
      <c r="F2293" t="str">
        <f>""</f>
        <v/>
      </c>
      <c r="G2293" t="str">
        <f t="shared" si="52"/>
        <v>BCBS PAYABLE</v>
      </c>
      <c r="H2293" s="4">
        <v>374.3</v>
      </c>
    </row>
    <row r="2294" spans="5:8" x14ac:dyDescent="0.25">
      <c r="E2294" t="str">
        <f>""</f>
        <v/>
      </c>
      <c r="F2294" t="str">
        <f>""</f>
        <v/>
      </c>
      <c r="G2294" t="str">
        <f t="shared" si="52"/>
        <v>BCBS PAYABLE</v>
      </c>
      <c r="H2294" s="4">
        <v>374.3</v>
      </c>
    </row>
    <row r="2295" spans="5:8" x14ac:dyDescent="0.25">
      <c r="E2295" t="str">
        <f>""</f>
        <v/>
      </c>
      <c r="F2295" t="str">
        <f>""</f>
        <v/>
      </c>
      <c r="G2295" t="str">
        <f t="shared" si="52"/>
        <v>BCBS PAYABLE</v>
      </c>
      <c r="H2295" s="4">
        <v>748.6</v>
      </c>
    </row>
    <row r="2296" spans="5:8" x14ac:dyDescent="0.25">
      <c r="E2296" t="str">
        <f>""</f>
        <v/>
      </c>
      <c r="F2296" t="str">
        <f>""</f>
        <v/>
      </c>
      <c r="G2296" t="str">
        <f t="shared" si="52"/>
        <v>BCBS PAYABLE</v>
      </c>
      <c r="H2296" s="4">
        <v>3397.18</v>
      </c>
    </row>
    <row r="2297" spans="5:8" x14ac:dyDescent="0.25">
      <c r="E2297" t="str">
        <f>""</f>
        <v/>
      </c>
      <c r="F2297" t="str">
        <f>""</f>
        <v/>
      </c>
      <c r="G2297" t="str">
        <f t="shared" si="52"/>
        <v>BCBS PAYABLE</v>
      </c>
      <c r="H2297" s="4">
        <v>2217.3200000000002</v>
      </c>
    </row>
    <row r="2298" spans="5:8" x14ac:dyDescent="0.25">
      <c r="E2298" t="str">
        <f>""</f>
        <v/>
      </c>
      <c r="F2298" t="str">
        <f>""</f>
        <v/>
      </c>
      <c r="G2298" t="str">
        <f t="shared" si="52"/>
        <v>BCBS PAYABLE</v>
      </c>
      <c r="H2298" s="4">
        <v>374.3</v>
      </c>
    </row>
    <row r="2299" spans="5:8" x14ac:dyDescent="0.25">
      <c r="E2299" t="str">
        <f>""</f>
        <v/>
      </c>
      <c r="F2299" t="str">
        <f>""</f>
        <v/>
      </c>
      <c r="G2299" t="str">
        <f t="shared" si="52"/>
        <v>BCBS PAYABLE</v>
      </c>
      <c r="H2299" s="4">
        <v>374.3</v>
      </c>
    </row>
    <row r="2300" spans="5:8" x14ac:dyDescent="0.25">
      <c r="E2300" t="str">
        <f>""</f>
        <v/>
      </c>
      <c r="F2300" t="str">
        <f>""</f>
        <v/>
      </c>
      <c r="G2300" t="str">
        <f t="shared" si="52"/>
        <v>BCBS PAYABLE</v>
      </c>
      <c r="H2300" s="4">
        <v>374.3</v>
      </c>
    </row>
    <row r="2301" spans="5:8" x14ac:dyDescent="0.25">
      <c r="E2301" t="str">
        <f>""</f>
        <v/>
      </c>
      <c r="F2301" t="str">
        <f>""</f>
        <v/>
      </c>
      <c r="G2301" t="str">
        <f t="shared" si="52"/>
        <v>BCBS PAYABLE</v>
      </c>
      <c r="H2301" s="4">
        <v>374.3</v>
      </c>
    </row>
    <row r="2302" spans="5:8" x14ac:dyDescent="0.25">
      <c r="E2302" t="str">
        <f>""</f>
        <v/>
      </c>
      <c r="F2302" t="str">
        <f>""</f>
        <v/>
      </c>
      <c r="G2302" t="str">
        <f t="shared" si="52"/>
        <v>BCBS PAYABLE</v>
      </c>
      <c r="H2302" s="4">
        <v>748.6</v>
      </c>
    </row>
    <row r="2303" spans="5:8" x14ac:dyDescent="0.25">
      <c r="E2303" t="str">
        <f>""</f>
        <v/>
      </c>
      <c r="F2303" t="str">
        <f>""</f>
        <v/>
      </c>
      <c r="G2303" t="str">
        <f t="shared" si="52"/>
        <v>BCBS PAYABLE</v>
      </c>
      <c r="H2303" s="4">
        <v>6811.73</v>
      </c>
    </row>
    <row r="2304" spans="5:8" x14ac:dyDescent="0.25">
      <c r="E2304" t="str">
        <f>"2ES202201058186"</f>
        <v>2ES202201058186</v>
      </c>
      <c r="F2304" t="str">
        <f>"BCBS PAYABLE"</f>
        <v>BCBS PAYABLE</v>
      </c>
      <c r="G2304" t="str">
        <f t="shared" si="52"/>
        <v>BCBS PAYABLE</v>
      </c>
      <c r="H2304" s="4">
        <v>374.3</v>
      </c>
    </row>
    <row r="2305" spans="5:8" x14ac:dyDescent="0.25">
      <c r="E2305" t="str">
        <f>""</f>
        <v/>
      </c>
      <c r="F2305" t="str">
        <f>""</f>
        <v/>
      </c>
      <c r="G2305" t="str">
        <f t="shared" si="52"/>
        <v>BCBS PAYABLE</v>
      </c>
      <c r="H2305" s="4">
        <v>220.97</v>
      </c>
    </row>
    <row r="2306" spans="5:8" x14ac:dyDescent="0.25">
      <c r="E2306" t="str">
        <f>"2ES202201198473"</f>
        <v>2ES202201198473</v>
      </c>
      <c r="F2306" t="str">
        <f>"BCBS PAYABLE"</f>
        <v>BCBS PAYABLE</v>
      </c>
      <c r="G2306" t="str">
        <f t="shared" si="52"/>
        <v>BCBS PAYABLE</v>
      </c>
      <c r="H2306" s="4">
        <v>374.3</v>
      </c>
    </row>
    <row r="2307" spans="5:8" x14ac:dyDescent="0.25">
      <c r="E2307" t="str">
        <f>""</f>
        <v/>
      </c>
      <c r="F2307" t="str">
        <f>""</f>
        <v/>
      </c>
      <c r="G2307" t="str">
        <f t="shared" ref="G2307:G2325" si="53">"BCBS PAYABLE"</f>
        <v>BCBS PAYABLE</v>
      </c>
      <c r="H2307" s="4">
        <v>374.3</v>
      </c>
    </row>
    <row r="2308" spans="5:8" x14ac:dyDescent="0.25">
      <c r="E2308" t="str">
        <f>""</f>
        <v/>
      </c>
      <c r="F2308" t="str">
        <f>""</f>
        <v/>
      </c>
      <c r="G2308" t="str">
        <f t="shared" si="53"/>
        <v>BCBS PAYABLE</v>
      </c>
      <c r="H2308" s="4">
        <v>748.6</v>
      </c>
    </row>
    <row r="2309" spans="5:8" x14ac:dyDescent="0.25">
      <c r="E2309" t="str">
        <f>""</f>
        <v/>
      </c>
      <c r="F2309" t="str">
        <f>""</f>
        <v/>
      </c>
      <c r="G2309" t="str">
        <f t="shared" si="53"/>
        <v>BCBS PAYABLE</v>
      </c>
      <c r="H2309" s="4">
        <v>374.3</v>
      </c>
    </row>
    <row r="2310" spans="5:8" x14ac:dyDescent="0.25">
      <c r="E2310" t="str">
        <f>""</f>
        <v/>
      </c>
      <c r="F2310" t="str">
        <f>""</f>
        <v/>
      </c>
      <c r="G2310" t="str">
        <f t="shared" si="53"/>
        <v>BCBS PAYABLE</v>
      </c>
      <c r="H2310" s="4">
        <v>374.3</v>
      </c>
    </row>
    <row r="2311" spans="5:8" x14ac:dyDescent="0.25">
      <c r="E2311" t="str">
        <f>""</f>
        <v/>
      </c>
      <c r="F2311" t="str">
        <f>""</f>
        <v/>
      </c>
      <c r="G2311" t="str">
        <f t="shared" si="53"/>
        <v>BCBS PAYABLE</v>
      </c>
      <c r="H2311" s="4">
        <v>374.3</v>
      </c>
    </row>
    <row r="2312" spans="5:8" x14ac:dyDescent="0.25">
      <c r="E2312" t="str">
        <f>""</f>
        <v/>
      </c>
      <c r="F2312" t="str">
        <f>""</f>
        <v/>
      </c>
      <c r="G2312" t="str">
        <f t="shared" si="53"/>
        <v>BCBS PAYABLE</v>
      </c>
      <c r="H2312" s="4">
        <v>374.3</v>
      </c>
    </row>
    <row r="2313" spans="5:8" x14ac:dyDescent="0.25">
      <c r="E2313" t="str">
        <f>""</f>
        <v/>
      </c>
      <c r="F2313" t="str">
        <f>""</f>
        <v/>
      </c>
      <c r="G2313" t="str">
        <f t="shared" si="53"/>
        <v>BCBS PAYABLE</v>
      </c>
      <c r="H2313" s="4">
        <v>374.3</v>
      </c>
    </row>
    <row r="2314" spans="5:8" x14ac:dyDescent="0.25">
      <c r="E2314" t="str">
        <f>""</f>
        <v/>
      </c>
      <c r="F2314" t="str">
        <f>""</f>
        <v/>
      </c>
      <c r="G2314" t="str">
        <f t="shared" si="53"/>
        <v>BCBS PAYABLE</v>
      </c>
      <c r="H2314" s="4">
        <v>374.3</v>
      </c>
    </row>
    <row r="2315" spans="5:8" x14ac:dyDescent="0.25">
      <c r="E2315" t="str">
        <f>""</f>
        <v/>
      </c>
      <c r="F2315" t="str">
        <f>""</f>
        <v/>
      </c>
      <c r="G2315" t="str">
        <f t="shared" si="53"/>
        <v>BCBS PAYABLE</v>
      </c>
      <c r="H2315" s="4">
        <v>748.6</v>
      </c>
    </row>
    <row r="2316" spans="5:8" x14ac:dyDescent="0.25">
      <c r="E2316" t="str">
        <f>""</f>
        <v/>
      </c>
      <c r="F2316" t="str">
        <f>""</f>
        <v/>
      </c>
      <c r="G2316" t="str">
        <f t="shared" si="53"/>
        <v>BCBS PAYABLE</v>
      </c>
      <c r="H2316" s="4">
        <v>3397.18</v>
      </c>
    </row>
    <row r="2317" spans="5:8" x14ac:dyDescent="0.25">
      <c r="E2317" t="str">
        <f>""</f>
        <v/>
      </c>
      <c r="F2317" t="str">
        <f>""</f>
        <v/>
      </c>
      <c r="G2317" t="str">
        <f t="shared" si="53"/>
        <v>BCBS PAYABLE</v>
      </c>
      <c r="H2317" s="4">
        <v>2217.3200000000002</v>
      </c>
    </row>
    <row r="2318" spans="5:8" x14ac:dyDescent="0.25">
      <c r="E2318" t="str">
        <f>""</f>
        <v/>
      </c>
      <c r="F2318" t="str">
        <f>""</f>
        <v/>
      </c>
      <c r="G2318" t="str">
        <f t="shared" si="53"/>
        <v>BCBS PAYABLE</v>
      </c>
      <c r="H2318" s="4">
        <v>374.3</v>
      </c>
    </row>
    <row r="2319" spans="5:8" x14ac:dyDescent="0.25">
      <c r="E2319" t="str">
        <f>""</f>
        <v/>
      </c>
      <c r="F2319" t="str">
        <f>""</f>
        <v/>
      </c>
      <c r="G2319" t="str">
        <f t="shared" si="53"/>
        <v>BCBS PAYABLE</v>
      </c>
      <c r="H2319" s="4">
        <v>374.3</v>
      </c>
    </row>
    <row r="2320" spans="5:8" x14ac:dyDescent="0.25">
      <c r="E2320" t="str">
        <f>""</f>
        <v/>
      </c>
      <c r="F2320" t="str">
        <f>""</f>
        <v/>
      </c>
      <c r="G2320" t="str">
        <f t="shared" si="53"/>
        <v>BCBS PAYABLE</v>
      </c>
      <c r="H2320" s="4">
        <v>374.3</v>
      </c>
    </row>
    <row r="2321" spans="1:8" x14ac:dyDescent="0.25">
      <c r="E2321" t="str">
        <f>""</f>
        <v/>
      </c>
      <c r="F2321" t="str">
        <f>""</f>
        <v/>
      </c>
      <c r="G2321" t="str">
        <f t="shared" si="53"/>
        <v>BCBS PAYABLE</v>
      </c>
      <c r="H2321" s="4">
        <v>374.3</v>
      </c>
    </row>
    <row r="2322" spans="1:8" x14ac:dyDescent="0.25">
      <c r="E2322" t="str">
        <f>""</f>
        <v/>
      </c>
      <c r="F2322" t="str">
        <f>""</f>
        <v/>
      </c>
      <c r="G2322" t="str">
        <f t="shared" si="53"/>
        <v>BCBS PAYABLE</v>
      </c>
      <c r="H2322" s="4">
        <v>748.6</v>
      </c>
    </row>
    <row r="2323" spans="1:8" x14ac:dyDescent="0.25">
      <c r="E2323" t="str">
        <f>""</f>
        <v/>
      </c>
      <c r="F2323" t="str">
        <f>""</f>
        <v/>
      </c>
      <c r="G2323" t="str">
        <f t="shared" si="53"/>
        <v>BCBS PAYABLE</v>
      </c>
      <c r="H2323" s="4">
        <v>7292.01</v>
      </c>
    </row>
    <row r="2324" spans="1:8" x14ac:dyDescent="0.25">
      <c r="E2324" t="str">
        <f>"2ES202201198474"</f>
        <v>2ES202201198474</v>
      </c>
      <c r="F2324" t="str">
        <f>"BCBS PAYABLE"</f>
        <v>BCBS PAYABLE</v>
      </c>
      <c r="G2324" t="str">
        <f t="shared" si="53"/>
        <v>BCBS PAYABLE</v>
      </c>
      <c r="H2324" s="4">
        <v>374.3</v>
      </c>
    </row>
    <row r="2325" spans="1:8" x14ac:dyDescent="0.25">
      <c r="E2325" t="str">
        <f>""</f>
        <v/>
      </c>
      <c r="F2325" t="str">
        <f>""</f>
        <v/>
      </c>
      <c r="G2325" t="str">
        <f t="shared" si="53"/>
        <v>BCBS PAYABLE</v>
      </c>
      <c r="H2325" s="4">
        <v>220.97</v>
      </c>
    </row>
    <row r="2326" spans="1:8" x14ac:dyDescent="0.25">
      <c r="A2326" t="s">
        <v>453</v>
      </c>
      <c r="B2326">
        <v>1540</v>
      </c>
      <c r="C2326" s="4">
        <v>7179.8</v>
      </c>
      <c r="D2326" s="5">
        <v>44568</v>
      </c>
      <c r="E2326" t="str">
        <f>"CPI202201058185"</f>
        <v>CPI202201058185</v>
      </c>
      <c r="F2326" t="str">
        <f>"DEFERRED COMP 457B PAYABLE"</f>
        <v>DEFERRED COMP 457B PAYABLE</v>
      </c>
      <c r="G2326" t="str">
        <f>"DEFERRED COMP 457B PAYABLE"</f>
        <v>DEFERRED COMP 457B PAYABLE</v>
      </c>
      <c r="H2326" s="4">
        <v>5315.23</v>
      </c>
    </row>
    <row r="2327" spans="1:8" x14ac:dyDescent="0.25">
      <c r="E2327" t="str">
        <f>"CPI202201058186"</f>
        <v>CPI202201058186</v>
      </c>
      <c r="F2327" t="str">
        <f>"DEFERRED COMP 457B PAYABLE"</f>
        <v>DEFERRED COMP 457B PAYABLE</v>
      </c>
      <c r="G2327" t="str">
        <f>"DEFERRED COMP 457B PAYABLE"</f>
        <v>DEFERRED COMP 457B PAYABLE</v>
      </c>
      <c r="H2327" s="4">
        <v>120</v>
      </c>
    </row>
    <row r="2328" spans="1:8" x14ac:dyDescent="0.25">
      <c r="E2328" t="str">
        <f>"CPL202201058185"</f>
        <v>CPL202201058185</v>
      </c>
      <c r="F2328" t="str">
        <f>"LOAN ON DEFERRED COMP"</f>
        <v>LOAN ON DEFERRED COMP</v>
      </c>
      <c r="G2328" t="str">
        <f>"LOAN ON DEFERRED COMP"</f>
        <v>LOAN ON DEFERRED COMP</v>
      </c>
      <c r="H2328" s="4">
        <v>1744.57</v>
      </c>
    </row>
    <row r="2329" spans="1:8" x14ac:dyDescent="0.25">
      <c r="A2329" t="s">
        <v>453</v>
      </c>
      <c r="B2329">
        <v>1583</v>
      </c>
      <c r="C2329" s="4">
        <v>7179.8</v>
      </c>
      <c r="D2329" s="5">
        <v>44582</v>
      </c>
      <c r="E2329" t="str">
        <f>"CPI202201198473"</f>
        <v>CPI202201198473</v>
      </c>
      <c r="F2329" t="str">
        <f>"DEFERRED COMP 457B PAYABLE"</f>
        <v>DEFERRED COMP 457B PAYABLE</v>
      </c>
      <c r="G2329" t="str">
        <f>"DEFERRED COMP 457B PAYABLE"</f>
        <v>DEFERRED COMP 457B PAYABLE</v>
      </c>
      <c r="H2329" s="4">
        <v>5315.23</v>
      </c>
    </row>
    <row r="2330" spans="1:8" x14ac:dyDescent="0.25">
      <c r="E2330" t="str">
        <f>"CPI202201198474"</f>
        <v>CPI202201198474</v>
      </c>
      <c r="F2330" t="str">
        <f>"DEFERRED COMP 457B PAYABLE"</f>
        <v>DEFERRED COMP 457B PAYABLE</v>
      </c>
      <c r="G2330" t="str">
        <f>"DEFERRED COMP 457B PAYABLE"</f>
        <v>DEFERRED COMP 457B PAYABLE</v>
      </c>
      <c r="H2330" s="4">
        <v>120</v>
      </c>
    </row>
    <row r="2331" spans="1:8" x14ac:dyDescent="0.25">
      <c r="E2331" t="str">
        <f>"CPL202201198473"</f>
        <v>CPL202201198473</v>
      </c>
      <c r="F2331" t="str">
        <f>"LOAN ON DEFERRED COMP"</f>
        <v>LOAN ON DEFERRED COMP</v>
      </c>
      <c r="G2331" t="str">
        <f>"LOAN ON DEFERRED COMP"</f>
        <v>LOAN ON DEFERRED COMP</v>
      </c>
      <c r="H2331" s="4">
        <v>1744.57</v>
      </c>
    </row>
    <row r="2332" spans="1:8" x14ac:dyDescent="0.25">
      <c r="A2332" t="s">
        <v>454</v>
      </c>
      <c r="B2332">
        <v>1539</v>
      </c>
      <c r="C2332" s="4">
        <v>5154.97</v>
      </c>
      <c r="D2332" s="5">
        <v>44568</v>
      </c>
      <c r="E2332" t="str">
        <f>"C1 202201058185"</f>
        <v>C1 202201058185</v>
      </c>
      <c r="F2332" t="str">
        <f>"0014064250D1FM190075"</f>
        <v>0014064250D1FM190075</v>
      </c>
      <c r="G2332" t="str">
        <f>"0014064250D1FM190075"</f>
        <v>0014064250D1FM190075</v>
      </c>
      <c r="H2332" s="4">
        <v>468.6</v>
      </c>
    </row>
    <row r="2333" spans="1:8" x14ac:dyDescent="0.25">
      <c r="E2333" t="str">
        <f>"C2 202201058186"</f>
        <v>C2 202201058186</v>
      </c>
      <c r="F2333" t="str">
        <f>"0012982132CCL7445"</f>
        <v>0012982132CCL7445</v>
      </c>
      <c r="G2333" t="str">
        <f>"0012982132CCL7445"</f>
        <v>0012982132CCL7445</v>
      </c>
      <c r="H2333" s="4">
        <v>692.31</v>
      </c>
    </row>
    <row r="2334" spans="1:8" x14ac:dyDescent="0.25">
      <c r="E2334" t="str">
        <f>"C20202201058185"</f>
        <v>C20202201058185</v>
      </c>
      <c r="F2334" t="str">
        <f>"001003981107-12252"</f>
        <v>001003981107-12252</v>
      </c>
      <c r="G2334" t="str">
        <f>"001003981107-12252"</f>
        <v>001003981107-12252</v>
      </c>
      <c r="H2334" s="4">
        <v>115.39</v>
      </c>
    </row>
    <row r="2335" spans="1:8" x14ac:dyDescent="0.25">
      <c r="E2335" t="str">
        <f>"C42202201058185"</f>
        <v>C42202201058185</v>
      </c>
      <c r="F2335" t="str">
        <f>"001236769211-14410"</f>
        <v>001236769211-14410</v>
      </c>
      <c r="G2335" t="str">
        <f>"001236769211-14410"</f>
        <v>001236769211-14410</v>
      </c>
      <c r="H2335" s="4">
        <v>230.31</v>
      </c>
    </row>
    <row r="2336" spans="1:8" x14ac:dyDescent="0.25">
      <c r="E2336" t="str">
        <f>"C46202201058185"</f>
        <v>C46202201058185</v>
      </c>
      <c r="F2336" t="str">
        <f>"CAUSE# 11-14911"</f>
        <v>CAUSE# 11-14911</v>
      </c>
      <c r="G2336" t="str">
        <f>"CAUSE# 11-14911"</f>
        <v>CAUSE# 11-14911</v>
      </c>
      <c r="H2336" s="4">
        <v>238.62</v>
      </c>
    </row>
    <row r="2337" spans="5:8" x14ac:dyDescent="0.25">
      <c r="E2337" t="str">
        <f>"C60202201058185"</f>
        <v>C60202201058185</v>
      </c>
      <c r="F2337" t="str">
        <f>"00130730762012V300"</f>
        <v>00130730762012V300</v>
      </c>
      <c r="G2337" t="str">
        <f>"00130730762012V300"</f>
        <v>00130730762012V300</v>
      </c>
      <c r="H2337" s="4">
        <v>399.32</v>
      </c>
    </row>
    <row r="2338" spans="5:8" x14ac:dyDescent="0.25">
      <c r="E2338" t="str">
        <f>"C62202201058185"</f>
        <v>C62202201058185</v>
      </c>
      <c r="F2338" t="str">
        <f>"# 0012128865"</f>
        <v># 0012128865</v>
      </c>
      <c r="G2338" t="str">
        <f>"# 0012128865"</f>
        <v># 0012128865</v>
      </c>
      <c r="H2338" s="4">
        <v>243.23</v>
      </c>
    </row>
    <row r="2339" spans="5:8" x14ac:dyDescent="0.25">
      <c r="E2339" t="str">
        <f>"C66202201058185"</f>
        <v>C66202201058185</v>
      </c>
      <c r="F2339" t="str">
        <f>"# 0012871801"</f>
        <v># 0012871801</v>
      </c>
      <c r="G2339" t="str">
        <f>"# 0012871801"</f>
        <v># 0012871801</v>
      </c>
      <c r="H2339" s="4">
        <v>90</v>
      </c>
    </row>
    <row r="2340" spans="5:8" x14ac:dyDescent="0.25">
      <c r="E2340" t="str">
        <f>"C67202201058185"</f>
        <v>C67202201058185</v>
      </c>
      <c r="F2340" t="str">
        <f>"13154657"</f>
        <v>13154657</v>
      </c>
      <c r="G2340" t="str">
        <f>"13154657"</f>
        <v>13154657</v>
      </c>
      <c r="H2340" s="4">
        <v>101.99</v>
      </c>
    </row>
    <row r="2341" spans="5:8" x14ac:dyDescent="0.25">
      <c r="E2341" t="str">
        <f>"C69202201058185"</f>
        <v>C69202201058185</v>
      </c>
      <c r="F2341" t="str">
        <f>"0012046911423672"</f>
        <v>0012046911423672</v>
      </c>
      <c r="G2341" t="str">
        <f>"0012046911423672"</f>
        <v>0012046911423672</v>
      </c>
      <c r="H2341" s="4">
        <v>138.91999999999999</v>
      </c>
    </row>
    <row r="2342" spans="5:8" x14ac:dyDescent="0.25">
      <c r="E2342" t="str">
        <f>"C72202201058185"</f>
        <v>C72202201058185</v>
      </c>
      <c r="F2342" t="str">
        <f>"0012797601C20130529B"</f>
        <v>0012797601C20130529B</v>
      </c>
      <c r="G2342" t="str">
        <f>"0012797601C20130529B"</f>
        <v>0012797601C20130529B</v>
      </c>
      <c r="H2342" s="4">
        <v>241.85</v>
      </c>
    </row>
    <row r="2343" spans="5:8" x14ac:dyDescent="0.25">
      <c r="E2343" t="str">
        <f>"C78202201058185"</f>
        <v>C78202201058185</v>
      </c>
      <c r="F2343" t="str">
        <f>"00105115972005106221"</f>
        <v>00105115972005106221</v>
      </c>
      <c r="G2343" t="str">
        <f>"00105115972005106221"</f>
        <v>00105115972005106221</v>
      </c>
      <c r="H2343" s="4">
        <v>245.08</v>
      </c>
    </row>
    <row r="2344" spans="5:8" x14ac:dyDescent="0.25">
      <c r="E2344" t="str">
        <f>"C85202201058185"</f>
        <v>C85202201058185</v>
      </c>
      <c r="F2344" t="str">
        <f>"0012469425201770874"</f>
        <v>0012469425201770874</v>
      </c>
      <c r="G2344" t="str">
        <f>"0012469425201770874"</f>
        <v>0012469425201770874</v>
      </c>
      <c r="H2344" s="4">
        <v>138.46</v>
      </c>
    </row>
    <row r="2345" spans="5:8" x14ac:dyDescent="0.25">
      <c r="E2345" t="str">
        <f>"C86202201058185"</f>
        <v>C86202201058185</v>
      </c>
      <c r="F2345" t="str">
        <f>"0013854015101285F"</f>
        <v>0013854015101285F</v>
      </c>
      <c r="G2345" t="str">
        <f>"0013854015101285F"</f>
        <v>0013854015101285F</v>
      </c>
      <c r="H2345" s="4">
        <v>241.85</v>
      </c>
    </row>
    <row r="2346" spans="5:8" x14ac:dyDescent="0.25">
      <c r="E2346" t="str">
        <f>"C87202201058185"</f>
        <v>C87202201058185</v>
      </c>
      <c r="F2346" t="str">
        <f>"0012963634L130019CVB"</f>
        <v>0012963634L130019CVB</v>
      </c>
      <c r="G2346" t="str">
        <f>"0012963634L130019CVB"</f>
        <v>0012963634L130019CVB</v>
      </c>
      <c r="H2346" s="4">
        <v>249.23</v>
      </c>
    </row>
    <row r="2347" spans="5:8" x14ac:dyDescent="0.25">
      <c r="E2347" t="str">
        <f>"C89202201058185"</f>
        <v>C89202201058185</v>
      </c>
      <c r="F2347" t="str">
        <f>"00127760434232477"</f>
        <v>00127760434232477</v>
      </c>
      <c r="G2347" t="str">
        <f>"00127760434232477"</f>
        <v>00127760434232477</v>
      </c>
      <c r="H2347" s="4">
        <v>129.69</v>
      </c>
    </row>
    <row r="2348" spans="5:8" x14ac:dyDescent="0.25">
      <c r="E2348" t="str">
        <f>"C94202201058185"</f>
        <v>C94202201058185</v>
      </c>
      <c r="F2348" t="str">
        <f>"00135877551718312"</f>
        <v>00135877551718312</v>
      </c>
      <c r="G2348" t="str">
        <f>"00135877551718312"</f>
        <v>00135877551718312</v>
      </c>
      <c r="H2348" s="4">
        <v>221.54</v>
      </c>
    </row>
    <row r="2349" spans="5:8" x14ac:dyDescent="0.25">
      <c r="E2349" t="str">
        <f>"C95202201058185"</f>
        <v>C95202201058185</v>
      </c>
      <c r="F2349" t="str">
        <f>"0011792526423338"</f>
        <v>0011792526423338</v>
      </c>
      <c r="G2349" t="str">
        <f>"0011792526423338"</f>
        <v>0011792526423338</v>
      </c>
      <c r="H2349" s="4">
        <v>154.62</v>
      </c>
    </row>
    <row r="2350" spans="5:8" x14ac:dyDescent="0.25">
      <c r="E2350" t="str">
        <f>"C96202201058185"</f>
        <v>C96202201058185</v>
      </c>
      <c r="F2350" t="str">
        <f>"00141985294237814"</f>
        <v>00141985294237814</v>
      </c>
      <c r="G2350" t="str">
        <f>"00141985294237814"</f>
        <v>00141985294237814</v>
      </c>
      <c r="H2350" s="4">
        <v>230.77</v>
      </c>
    </row>
    <row r="2351" spans="5:8" x14ac:dyDescent="0.25">
      <c r="E2351" t="str">
        <f>"C98202201058185"</f>
        <v>C98202201058185</v>
      </c>
      <c r="F2351" t="str">
        <f>"00115180722007EM5054"</f>
        <v>00115180722007EM5054</v>
      </c>
      <c r="G2351" t="str">
        <f>"00115180722007EM5054"</f>
        <v>00115180722007EM5054</v>
      </c>
      <c r="H2351" s="4">
        <v>119.34</v>
      </c>
    </row>
    <row r="2352" spans="5:8" x14ac:dyDescent="0.25">
      <c r="E2352" t="str">
        <f>"C99202201058185"</f>
        <v>C99202201058185</v>
      </c>
      <c r="F2352" t="str">
        <f>"00140071614235972"</f>
        <v>00140071614235972</v>
      </c>
      <c r="G2352" t="str">
        <f>"00140071614235972"</f>
        <v>00140071614235972</v>
      </c>
      <c r="H2352" s="4">
        <v>463.85</v>
      </c>
    </row>
    <row r="2353" spans="1:8" x14ac:dyDescent="0.25">
      <c r="A2353" t="s">
        <v>454</v>
      </c>
      <c r="B2353">
        <v>1582</v>
      </c>
      <c r="C2353" s="4">
        <v>5154.97</v>
      </c>
      <c r="D2353" s="5">
        <v>44582</v>
      </c>
      <c r="E2353" t="str">
        <f>"C1 202201198473"</f>
        <v>C1 202201198473</v>
      </c>
      <c r="F2353" t="str">
        <f>"0014064250D1FM190075"</f>
        <v>0014064250D1FM190075</v>
      </c>
      <c r="G2353" t="str">
        <f>"0014064250D1FM190075"</f>
        <v>0014064250D1FM190075</v>
      </c>
      <c r="H2353" s="4">
        <v>468.6</v>
      </c>
    </row>
    <row r="2354" spans="1:8" x14ac:dyDescent="0.25">
      <c r="E2354" t="str">
        <f>"C2 202201198474"</f>
        <v>C2 202201198474</v>
      </c>
      <c r="F2354" t="str">
        <f>"0012982132CCL7445"</f>
        <v>0012982132CCL7445</v>
      </c>
      <c r="G2354" t="str">
        <f>"0012982132CCL7445"</f>
        <v>0012982132CCL7445</v>
      </c>
      <c r="H2354" s="4">
        <v>692.31</v>
      </c>
    </row>
    <row r="2355" spans="1:8" x14ac:dyDescent="0.25">
      <c r="E2355" t="str">
        <f>"C20202201198473"</f>
        <v>C20202201198473</v>
      </c>
      <c r="F2355" t="str">
        <f>"001003981107-12252"</f>
        <v>001003981107-12252</v>
      </c>
      <c r="G2355" t="str">
        <f>"001003981107-12252"</f>
        <v>001003981107-12252</v>
      </c>
      <c r="H2355" s="4">
        <v>115.39</v>
      </c>
    </row>
    <row r="2356" spans="1:8" x14ac:dyDescent="0.25">
      <c r="E2356" t="str">
        <f>"C42202201198473"</f>
        <v>C42202201198473</v>
      </c>
      <c r="F2356" t="str">
        <f>"001236769211-14410"</f>
        <v>001236769211-14410</v>
      </c>
      <c r="G2356" t="str">
        <f>"001236769211-14410"</f>
        <v>001236769211-14410</v>
      </c>
      <c r="H2356" s="4">
        <v>230.31</v>
      </c>
    </row>
    <row r="2357" spans="1:8" x14ac:dyDescent="0.25">
      <c r="E2357" t="str">
        <f>"C46202201198473"</f>
        <v>C46202201198473</v>
      </c>
      <c r="F2357" t="str">
        <f>"CAUSE# 11-14911"</f>
        <v>CAUSE# 11-14911</v>
      </c>
      <c r="G2357" t="str">
        <f>"CAUSE# 11-14911"</f>
        <v>CAUSE# 11-14911</v>
      </c>
      <c r="H2357" s="4">
        <v>238.62</v>
      </c>
    </row>
    <row r="2358" spans="1:8" x14ac:dyDescent="0.25">
      <c r="E2358" t="str">
        <f>"C60202201198473"</f>
        <v>C60202201198473</v>
      </c>
      <c r="F2358" t="str">
        <f>"00130730762012V300"</f>
        <v>00130730762012V300</v>
      </c>
      <c r="G2358" t="str">
        <f>"00130730762012V300"</f>
        <v>00130730762012V300</v>
      </c>
      <c r="H2358" s="4">
        <v>399.32</v>
      </c>
    </row>
    <row r="2359" spans="1:8" x14ac:dyDescent="0.25">
      <c r="E2359" t="str">
        <f>"C62202201198473"</f>
        <v>C62202201198473</v>
      </c>
      <c r="F2359" t="str">
        <f>"# 0012128865"</f>
        <v># 0012128865</v>
      </c>
      <c r="G2359" t="str">
        <f>"# 0012128865"</f>
        <v># 0012128865</v>
      </c>
      <c r="H2359" s="4">
        <v>243.23</v>
      </c>
    </row>
    <row r="2360" spans="1:8" x14ac:dyDescent="0.25">
      <c r="E2360" t="str">
        <f>"C66202201198473"</f>
        <v>C66202201198473</v>
      </c>
      <c r="F2360" t="str">
        <f>"# 0012871801"</f>
        <v># 0012871801</v>
      </c>
      <c r="G2360" t="str">
        <f>"# 0012871801"</f>
        <v># 0012871801</v>
      </c>
      <c r="H2360" s="4">
        <v>90</v>
      </c>
    </row>
    <row r="2361" spans="1:8" x14ac:dyDescent="0.25">
      <c r="E2361" t="str">
        <f>"C67202201198473"</f>
        <v>C67202201198473</v>
      </c>
      <c r="F2361" t="str">
        <f>"13154657"</f>
        <v>13154657</v>
      </c>
      <c r="G2361" t="str">
        <f>"13154657"</f>
        <v>13154657</v>
      </c>
      <c r="H2361" s="4">
        <v>101.99</v>
      </c>
    </row>
    <row r="2362" spans="1:8" x14ac:dyDescent="0.25">
      <c r="E2362" t="str">
        <f>"C69202201198473"</f>
        <v>C69202201198473</v>
      </c>
      <c r="F2362" t="str">
        <f>"0012046911423672"</f>
        <v>0012046911423672</v>
      </c>
      <c r="G2362" t="str">
        <f>"0012046911423672"</f>
        <v>0012046911423672</v>
      </c>
      <c r="H2362" s="4">
        <v>138.91999999999999</v>
      </c>
    </row>
    <row r="2363" spans="1:8" x14ac:dyDescent="0.25">
      <c r="E2363" t="str">
        <f>"C72202201198473"</f>
        <v>C72202201198473</v>
      </c>
      <c r="F2363" t="str">
        <f>"0012797601C20130529B"</f>
        <v>0012797601C20130529B</v>
      </c>
      <c r="G2363" t="str">
        <f>"0012797601C20130529B"</f>
        <v>0012797601C20130529B</v>
      </c>
      <c r="H2363" s="4">
        <v>241.85</v>
      </c>
    </row>
    <row r="2364" spans="1:8" x14ac:dyDescent="0.25">
      <c r="E2364" t="str">
        <f>"C78202201198473"</f>
        <v>C78202201198473</v>
      </c>
      <c r="F2364" t="str">
        <f>"00105115972005106221"</f>
        <v>00105115972005106221</v>
      </c>
      <c r="G2364" t="str">
        <f>"00105115972005106221"</f>
        <v>00105115972005106221</v>
      </c>
      <c r="H2364" s="4">
        <v>245.08</v>
      </c>
    </row>
    <row r="2365" spans="1:8" x14ac:dyDescent="0.25">
      <c r="E2365" t="str">
        <f>"C85202201198473"</f>
        <v>C85202201198473</v>
      </c>
      <c r="F2365" t="str">
        <f>"0012469425201770874"</f>
        <v>0012469425201770874</v>
      </c>
      <c r="G2365" t="str">
        <f>"0012469425201770874"</f>
        <v>0012469425201770874</v>
      </c>
      <c r="H2365" s="4">
        <v>138.46</v>
      </c>
    </row>
    <row r="2366" spans="1:8" x14ac:dyDescent="0.25">
      <c r="E2366" t="str">
        <f>"C86202201198473"</f>
        <v>C86202201198473</v>
      </c>
      <c r="F2366" t="str">
        <f>"0013854015101285F"</f>
        <v>0013854015101285F</v>
      </c>
      <c r="G2366" t="str">
        <f>"0013854015101285F"</f>
        <v>0013854015101285F</v>
      </c>
      <c r="H2366" s="4">
        <v>241.85</v>
      </c>
    </row>
    <row r="2367" spans="1:8" x14ac:dyDescent="0.25">
      <c r="E2367" t="str">
        <f>"C87202201198473"</f>
        <v>C87202201198473</v>
      </c>
      <c r="F2367" t="str">
        <f>"0012963634L130019CVB"</f>
        <v>0012963634L130019CVB</v>
      </c>
      <c r="G2367" t="str">
        <f>"0012963634L130019CVB"</f>
        <v>0012963634L130019CVB</v>
      </c>
      <c r="H2367" s="4">
        <v>249.23</v>
      </c>
    </row>
    <row r="2368" spans="1:8" x14ac:dyDescent="0.25">
      <c r="E2368" t="str">
        <f>"C89202201198473"</f>
        <v>C89202201198473</v>
      </c>
      <c r="F2368" t="str">
        <f>"00127760434232477"</f>
        <v>00127760434232477</v>
      </c>
      <c r="G2368" t="str">
        <f>"00127760434232477"</f>
        <v>00127760434232477</v>
      </c>
      <c r="H2368" s="4">
        <v>129.69</v>
      </c>
    </row>
    <row r="2369" spans="1:8" x14ac:dyDescent="0.25">
      <c r="E2369" t="str">
        <f>"C94202201198473"</f>
        <v>C94202201198473</v>
      </c>
      <c r="F2369" t="str">
        <f>"00135877551718312"</f>
        <v>00135877551718312</v>
      </c>
      <c r="G2369" t="str">
        <f>"00135877551718312"</f>
        <v>00135877551718312</v>
      </c>
      <c r="H2369" s="4">
        <v>221.54</v>
      </c>
    </row>
    <row r="2370" spans="1:8" x14ac:dyDescent="0.25">
      <c r="E2370" t="str">
        <f>"C95202201198473"</f>
        <v>C95202201198473</v>
      </c>
      <c r="F2370" t="str">
        <f>"0011792526423338"</f>
        <v>0011792526423338</v>
      </c>
      <c r="G2370" t="str">
        <f>"0011792526423338"</f>
        <v>0011792526423338</v>
      </c>
      <c r="H2370" s="4">
        <v>154.62</v>
      </c>
    </row>
    <row r="2371" spans="1:8" x14ac:dyDescent="0.25">
      <c r="E2371" t="str">
        <f>"C96202201198473"</f>
        <v>C96202201198473</v>
      </c>
      <c r="F2371" t="str">
        <f>"00141985294237814"</f>
        <v>00141985294237814</v>
      </c>
      <c r="G2371" t="str">
        <f>"00141985294237814"</f>
        <v>00141985294237814</v>
      </c>
      <c r="H2371" s="4">
        <v>230.77</v>
      </c>
    </row>
    <row r="2372" spans="1:8" x14ac:dyDescent="0.25">
      <c r="E2372" t="str">
        <f>"C98202201198473"</f>
        <v>C98202201198473</v>
      </c>
      <c r="F2372" t="str">
        <f>"00115180722007EM5054"</f>
        <v>00115180722007EM5054</v>
      </c>
      <c r="G2372" t="str">
        <f>"00115180722007EM5054"</f>
        <v>00115180722007EM5054</v>
      </c>
      <c r="H2372" s="4">
        <v>119.34</v>
      </c>
    </row>
    <row r="2373" spans="1:8" x14ac:dyDescent="0.25">
      <c r="E2373" t="str">
        <f>"C99202201198473"</f>
        <v>C99202201198473</v>
      </c>
      <c r="F2373" t="str">
        <f>"00140071614235972"</f>
        <v>00140071614235972</v>
      </c>
      <c r="G2373" t="str">
        <f>"00140071614235972"</f>
        <v>00140071614235972</v>
      </c>
      <c r="H2373" s="4">
        <v>463.85</v>
      </c>
    </row>
    <row r="2374" spans="1:8" x14ac:dyDescent="0.25">
      <c r="A2374" t="s">
        <v>455</v>
      </c>
      <c r="B2374">
        <v>1584</v>
      </c>
      <c r="C2374" s="4">
        <v>416047.53</v>
      </c>
      <c r="D2374" s="5">
        <v>44582</v>
      </c>
      <c r="E2374" t="str">
        <f>"RET202201058185"</f>
        <v>RET202201058185</v>
      </c>
      <c r="F2374" t="str">
        <f>"TEXAS COUNTY &amp; DISTRICT RET"</f>
        <v>TEXAS COUNTY &amp; DISTRICT RET</v>
      </c>
      <c r="G2374" t="str">
        <f t="shared" ref="G2374:G2423" si="54">"TEXAS COUNTY &amp; DISTRICT RET"</f>
        <v>TEXAS COUNTY &amp; DISTRICT RET</v>
      </c>
      <c r="H2374" s="4">
        <v>1064.75</v>
      </c>
    </row>
    <row r="2375" spans="1:8" x14ac:dyDescent="0.25">
      <c r="E2375" t="str">
        <f>""</f>
        <v/>
      </c>
      <c r="F2375" t="str">
        <f>""</f>
        <v/>
      </c>
      <c r="G2375" t="str">
        <f t="shared" si="54"/>
        <v>TEXAS COUNTY &amp; DISTRICT RET</v>
      </c>
      <c r="H2375" s="4">
        <v>758.12</v>
      </c>
    </row>
    <row r="2376" spans="1:8" x14ac:dyDescent="0.25">
      <c r="E2376" t="str">
        <f>""</f>
        <v/>
      </c>
      <c r="F2376" t="str">
        <f>""</f>
        <v/>
      </c>
      <c r="G2376" t="str">
        <f t="shared" si="54"/>
        <v>TEXAS COUNTY &amp; DISTRICT RET</v>
      </c>
      <c r="H2376" s="4">
        <v>2041.81</v>
      </c>
    </row>
    <row r="2377" spans="1:8" x14ac:dyDescent="0.25">
      <c r="E2377" t="str">
        <f>""</f>
        <v/>
      </c>
      <c r="F2377" t="str">
        <f>""</f>
        <v/>
      </c>
      <c r="G2377" t="str">
        <f t="shared" si="54"/>
        <v>TEXAS COUNTY &amp; DISTRICT RET</v>
      </c>
      <c r="H2377" s="4">
        <v>844.54</v>
      </c>
    </row>
    <row r="2378" spans="1:8" x14ac:dyDescent="0.25">
      <c r="E2378" t="str">
        <f>""</f>
        <v/>
      </c>
      <c r="F2378" t="str">
        <f>""</f>
        <v/>
      </c>
      <c r="G2378" t="str">
        <f t="shared" si="54"/>
        <v>TEXAS COUNTY &amp; DISTRICT RET</v>
      </c>
      <c r="H2378" s="4">
        <v>457.27</v>
      </c>
    </row>
    <row r="2379" spans="1:8" x14ac:dyDescent="0.25">
      <c r="E2379" t="str">
        <f>""</f>
        <v/>
      </c>
      <c r="F2379" t="str">
        <f>""</f>
        <v/>
      </c>
      <c r="G2379" t="str">
        <f t="shared" si="54"/>
        <v>TEXAS COUNTY &amp; DISTRICT RET</v>
      </c>
      <c r="H2379" s="4">
        <v>1761.76</v>
      </c>
    </row>
    <row r="2380" spans="1:8" x14ac:dyDescent="0.25">
      <c r="E2380" t="str">
        <f>""</f>
        <v/>
      </c>
      <c r="F2380" t="str">
        <f>""</f>
        <v/>
      </c>
      <c r="G2380" t="str">
        <f t="shared" si="54"/>
        <v>TEXAS COUNTY &amp; DISTRICT RET</v>
      </c>
      <c r="H2380" s="4">
        <v>4859.0200000000004</v>
      </c>
    </row>
    <row r="2381" spans="1:8" x14ac:dyDescent="0.25">
      <c r="E2381" t="str">
        <f>""</f>
        <v/>
      </c>
      <c r="F2381" t="str">
        <f>""</f>
        <v/>
      </c>
      <c r="G2381" t="str">
        <f t="shared" si="54"/>
        <v>TEXAS COUNTY &amp; DISTRICT RET</v>
      </c>
      <c r="H2381" s="4">
        <v>1691.76</v>
      </c>
    </row>
    <row r="2382" spans="1:8" x14ac:dyDescent="0.25">
      <c r="E2382" t="str">
        <f>""</f>
        <v/>
      </c>
      <c r="F2382" t="str">
        <f>""</f>
        <v/>
      </c>
      <c r="G2382" t="str">
        <f t="shared" si="54"/>
        <v>TEXAS COUNTY &amp; DISTRICT RET</v>
      </c>
      <c r="H2382" s="4">
        <v>1678.42</v>
      </c>
    </row>
    <row r="2383" spans="1:8" x14ac:dyDescent="0.25">
      <c r="E2383" t="str">
        <f>""</f>
        <v/>
      </c>
      <c r="F2383" t="str">
        <f>""</f>
        <v/>
      </c>
      <c r="G2383" t="str">
        <f t="shared" si="54"/>
        <v>TEXAS COUNTY &amp; DISTRICT RET</v>
      </c>
      <c r="H2383" s="4">
        <v>3213.48</v>
      </c>
    </row>
    <row r="2384" spans="1:8" x14ac:dyDescent="0.25">
      <c r="E2384" t="str">
        <f>""</f>
        <v/>
      </c>
      <c r="F2384" t="str">
        <f>""</f>
        <v/>
      </c>
      <c r="G2384" t="str">
        <f t="shared" si="54"/>
        <v>TEXAS COUNTY &amp; DISTRICT RET</v>
      </c>
      <c r="H2384" s="4">
        <v>942.71</v>
      </c>
    </row>
    <row r="2385" spans="5:8" x14ac:dyDescent="0.25">
      <c r="E2385" t="str">
        <f>""</f>
        <v/>
      </c>
      <c r="F2385" t="str">
        <f>""</f>
        <v/>
      </c>
      <c r="G2385" t="str">
        <f t="shared" si="54"/>
        <v>TEXAS COUNTY &amp; DISTRICT RET</v>
      </c>
      <c r="H2385" s="4">
        <v>973.01</v>
      </c>
    </row>
    <row r="2386" spans="5:8" x14ac:dyDescent="0.25">
      <c r="E2386" t="str">
        <f>""</f>
        <v/>
      </c>
      <c r="F2386" t="str">
        <f>""</f>
        <v/>
      </c>
      <c r="G2386" t="str">
        <f t="shared" si="54"/>
        <v>TEXAS COUNTY &amp; DISTRICT RET</v>
      </c>
      <c r="H2386" s="4">
        <v>842.62</v>
      </c>
    </row>
    <row r="2387" spans="5:8" x14ac:dyDescent="0.25">
      <c r="E2387" t="str">
        <f>""</f>
        <v/>
      </c>
      <c r="F2387" t="str">
        <f>""</f>
        <v/>
      </c>
      <c r="G2387" t="str">
        <f t="shared" si="54"/>
        <v>TEXAS COUNTY &amp; DISTRICT RET</v>
      </c>
      <c r="H2387" s="4">
        <v>859.77</v>
      </c>
    </row>
    <row r="2388" spans="5:8" x14ac:dyDescent="0.25">
      <c r="E2388" t="str">
        <f>""</f>
        <v/>
      </c>
      <c r="F2388" t="str">
        <f>""</f>
        <v/>
      </c>
      <c r="G2388" t="str">
        <f t="shared" si="54"/>
        <v>TEXAS COUNTY &amp; DISTRICT RET</v>
      </c>
      <c r="H2388" s="4">
        <v>451.2</v>
      </c>
    </row>
    <row r="2389" spans="5:8" x14ac:dyDescent="0.25">
      <c r="E2389" t="str">
        <f>""</f>
        <v/>
      </c>
      <c r="F2389" t="str">
        <f>""</f>
        <v/>
      </c>
      <c r="G2389" t="str">
        <f t="shared" si="54"/>
        <v>TEXAS COUNTY &amp; DISTRICT RET</v>
      </c>
      <c r="H2389" s="4">
        <v>5520.5</v>
      </c>
    </row>
    <row r="2390" spans="5:8" x14ac:dyDescent="0.25">
      <c r="E2390" t="str">
        <f>""</f>
        <v/>
      </c>
      <c r="F2390" t="str">
        <f>""</f>
        <v/>
      </c>
      <c r="G2390" t="str">
        <f t="shared" si="54"/>
        <v>TEXAS COUNTY &amp; DISTRICT RET</v>
      </c>
      <c r="H2390" s="4">
        <v>2386.91</v>
      </c>
    </row>
    <row r="2391" spans="5:8" x14ac:dyDescent="0.25">
      <c r="E2391" t="str">
        <f>""</f>
        <v/>
      </c>
      <c r="F2391" t="str">
        <f>""</f>
        <v/>
      </c>
      <c r="G2391" t="str">
        <f t="shared" si="54"/>
        <v>TEXAS COUNTY &amp; DISTRICT RET</v>
      </c>
      <c r="H2391" s="4">
        <v>1099.97</v>
      </c>
    </row>
    <row r="2392" spans="5:8" x14ac:dyDescent="0.25">
      <c r="E2392" t="str">
        <f>""</f>
        <v/>
      </c>
      <c r="F2392" t="str">
        <f>""</f>
        <v/>
      </c>
      <c r="G2392" t="str">
        <f t="shared" si="54"/>
        <v>TEXAS COUNTY &amp; DISTRICT RET</v>
      </c>
      <c r="H2392" s="4">
        <v>1009.52</v>
      </c>
    </row>
    <row r="2393" spans="5:8" x14ac:dyDescent="0.25">
      <c r="E2393" t="str">
        <f>""</f>
        <v/>
      </c>
      <c r="F2393" t="str">
        <f>""</f>
        <v/>
      </c>
      <c r="G2393" t="str">
        <f t="shared" si="54"/>
        <v>TEXAS COUNTY &amp; DISTRICT RET</v>
      </c>
      <c r="H2393" s="4">
        <v>3071.47</v>
      </c>
    </row>
    <row r="2394" spans="5:8" x14ac:dyDescent="0.25">
      <c r="E2394" t="str">
        <f>""</f>
        <v/>
      </c>
      <c r="F2394" t="str">
        <f>""</f>
        <v/>
      </c>
      <c r="G2394" t="str">
        <f t="shared" si="54"/>
        <v>TEXAS COUNTY &amp; DISTRICT RET</v>
      </c>
      <c r="H2394" s="4">
        <v>1360.76</v>
      </c>
    </row>
    <row r="2395" spans="5:8" x14ac:dyDescent="0.25">
      <c r="E2395" t="str">
        <f>""</f>
        <v/>
      </c>
      <c r="F2395" t="str">
        <f>""</f>
        <v/>
      </c>
      <c r="G2395" t="str">
        <f t="shared" si="54"/>
        <v>TEXAS COUNTY &amp; DISTRICT RET</v>
      </c>
      <c r="H2395" s="4">
        <v>3716.82</v>
      </c>
    </row>
    <row r="2396" spans="5:8" x14ac:dyDescent="0.25">
      <c r="E2396" t="str">
        <f>""</f>
        <v/>
      </c>
      <c r="F2396" t="str">
        <f>""</f>
        <v/>
      </c>
      <c r="G2396" t="str">
        <f t="shared" si="54"/>
        <v>TEXAS COUNTY &amp; DISTRICT RET</v>
      </c>
      <c r="H2396" s="4">
        <v>2601.3000000000002</v>
      </c>
    </row>
    <row r="2397" spans="5:8" x14ac:dyDescent="0.25">
      <c r="E2397" t="str">
        <f>""</f>
        <v/>
      </c>
      <c r="F2397" t="str">
        <f>""</f>
        <v/>
      </c>
      <c r="G2397" t="str">
        <f t="shared" si="54"/>
        <v>TEXAS COUNTY &amp; DISTRICT RET</v>
      </c>
      <c r="H2397" s="4">
        <v>5028.1899999999996</v>
      </c>
    </row>
    <row r="2398" spans="5:8" x14ac:dyDescent="0.25">
      <c r="E2398" t="str">
        <f>""</f>
        <v/>
      </c>
      <c r="F2398" t="str">
        <f>""</f>
        <v/>
      </c>
      <c r="G2398" t="str">
        <f t="shared" si="54"/>
        <v>TEXAS COUNTY &amp; DISTRICT RET</v>
      </c>
      <c r="H2398" s="4">
        <v>281.35000000000002</v>
      </c>
    </row>
    <row r="2399" spans="5:8" x14ac:dyDescent="0.25">
      <c r="E2399" t="str">
        <f>""</f>
        <v/>
      </c>
      <c r="F2399" t="str">
        <f>""</f>
        <v/>
      </c>
      <c r="G2399" t="str">
        <f t="shared" si="54"/>
        <v>TEXAS COUNTY &amp; DISTRICT RET</v>
      </c>
      <c r="H2399" s="4">
        <v>281.35000000000002</v>
      </c>
    </row>
    <row r="2400" spans="5:8" x14ac:dyDescent="0.25">
      <c r="E2400" t="str">
        <f>""</f>
        <v/>
      </c>
      <c r="F2400" t="str">
        <f>""</f>
        <v/>
      </c>
      <c r="G2400" t="str">
        <f t="shared" si="54"/>
        <v>TEXAS COUNTY &amp; DISTRICT RET</v>
      </c>
      <c r="H2400" s="4">
        <v>281.35000000000002</v>
      </c>
    </row>
    <row r="2401" spans="5:8" x14ac:dyDescent="0.25">
      <c r="E2401" t="str">
        <f>""</f>
        <v/>
      </c>
      <c r="F2401" t="str">
        <f>""</f>
        <v/>
      </c>
      <c r="G2401" t="str">
        <f t="shared" si="54"/>
        <v>TEXAS COUNTY &amp; DISTRICT RET</v>
      </c>
      <c r="H2401" s="4">
        <v>281.35000000000002</v>
      </c>
    </row>
    <row r="2402" spans="5:8" x14ac:dyDescent="0.25">
      <c r="E2402" t="str">
        <f>""</f>
        <v/>
      </c>
      <c r="F2402" t="str">
        <f>""</f>
        <v/>
      </c>
      <c r="G2402" t="str">
        <f t="shared" si="54"/>
        <v>TEXAS COUNTY &amp; DISTRICT RET</v>
      </c>
      <c r="H2402" s="4">
        <v>27649.81</v>
      </c>
    </row>
    <row r="2403" spans="5:8" x14ac:dyDescent="0.25">
      <c r="E2403" t="str">
        <f>""</f>
        <v/>
      </c>
      <c r="F2403" t="str">
        <f>""</f>
        <v/>
      </c>
      <c r="G2403" t="str">
        <f t="shared" si="54"/>
        <v>TEXAS COUNTY &amp; DISTRICT RET</v>
      </c>
      <c r="H2403" s="4">
        <v>1100.1500000000001</v>
      </c>
    </row>
    <row r="2404" spans="5:8" x14ac:dyDescent="0.25">
      <c r="E2404" t="str">
        <f>""</f>
        <v/>
      </c>
      <c r="F2404" t="str">
        <f>""</f>
        <v/>
      </c>
      <c r="G2404" t="str">
        <f t="shared" si="54"/>
        <v>TEXAS COUNTY &amp; DISTRICT RET</v>
      </c>
      <c r="H2404" s="4">
        <v>22636.959999999999</v>
      </c>
    </row>
    <row r="2405" spans="5:8" x14ac:dyDescent="0.25">
      <c r="E2405" t="str">
        <f>""</f>
        <v/>
      </c>
      <c r="F2405" t="str">
        <f>""</f>
        <v/>
      </c>
      <c r="G2405" t="str">
        <f t="shared" si="54"/>
        <v>TEXAS COUNTY &amp; DISTRICT RET</v>
      </c>
      <c r="H2405" s="4">
        <v>3703.61</v>
      </c>
    </row>
    <row r="2406" spans="5:8" x14ac:dyDescent="0.25">
      <c r="E2406" t="str">
        <f>""</f>
        <v/>
      </c>
      <c r="F2406" t="str">
        <f>""</f>
        <v/>
      </c>
      <c r="G2406" t="str">
        <f t="shared" si="54"/>
        <v>TEXAS COUNTY &amp; DISTRICT RET</v>
      </c>
      <c r="H2406" s="4">
        <v>247.95</v>
      </c>
    </row>
    <row r="2407" spans="5:8" x14ac:dyDescent="0.25">
      <c r="E2407" t="str">
        <f>""</f>
        <v/>
      </c>
      <c r="F2407" t="str">
        <f>""</f>
        <v/>
      </c>
      <c r="G2407" t="str">
        <f t="shared" si="54"/>
        <v>TEXAS COUNTY &amp; DISTRICT RET</v>
      </c>
      <c r="H2407" s="4">
        <v>1057.07</v>
      </c>
    </row>
    <row r="2408" spans="5:8" x14ac:dyDescent="0.25">
      <c r="E2408" t="str">
        <f>""</f>
        <v/>
      </c>
      <c r="F2408" t="str">
        <f>""</f>
        <v/>
      </c>
      <c r="G2408" t="str">
        <f t="shared" si="54"/>
        <v>TEXAS COUNTY &amp; DISTRICT RET</v>
      </c>
      <c r="H2408" s="4">
        <v>70.150000000000006</v>
      </c>
    </row>
    <row r="2409" spans="5:8" x14ac:dyDescent="0.25">
      <c r="E2409" t="str">
        <f>""</f>
        <v/>
      </c>
      <c r="F2409" t="str">
        <f>""</f>
        <v/>
      </c>
      <c r="G2409" t="str">
        <f t="shared" si="54"/>
        <v>TEXAS COUNTY &amp; DISTRICT RET</v>
      </c>
      <c r="H2409" s="4">
        <v>705.78</v>
      </c>
    </row>
    <row r="2410" spans="5:8" x14ac:dyDescent="0.25">
      <c r="E2410" t="str">
        <f>""</f>
        <v/>
      </c>
      <c r="F2410" t="str">
        <f>""</f>
        <v/>
      </c>
      <c r="G2410" t="str">
        <f t="shared" si="54"/>
        <v>TEXAS COUNTY &amp; DISTRICT RET</v>
      </c>
      <c r="H2410" s="4">
        <v>234.13</v>
      </c>
    </row>
    <row r="2411" spans="5:8" x14ac:dyDescent="0.25">
      <c r="E2411" t="str">
        <f>""</f>
        <v/>
      </c>
      <c r="F2411" t="str">
        <f>""</f>
        <v/>
      </c>
      <c r="G2411" t="str">
        <f t="shared" si="54"/>
        <v>TEXAS COUNTY &amp; DISTRICT RET</v>
      </c>
      <c r="H2411" s="4">
        <v>1370.84</v>
      </c>
    </row>
    <row r="2412" spans="5:8" x14ac:dyDescent="0.25">
      <c r="E2412" t="str">
        <f>""</f>
        <v/>
      </c>
      <c r="F2412" t="str">
        <f>""</f>
        <v/>
      </c>
      <c r="G2412" t="str">
        <f t="shared" si="54"/>
        <v>TEXAS COUNTY &amp; DISTRICT RET</v>
      </c>
      <c r="H2412" s="4">
        <v>399.87</v>
      </c>
    </row>
    <row r="2413" spans="5:8" x14ac:dyDescent="0.25">
      <c r="E2413" t="str">
        <f>""</f>
        <v/>
      </c>
      <c r="F2413" t="str">
        <f>""</f>
        <v/>
      </c>
      <c r="G2413" t="str">
        <f t="shared" si="54"/>
        <v>TEXAS COUNTY &amp; DISTRICT RET</v>
      </c>
      <c r="H2413" s="4">
        <v>1241.23</v>
      </c>
    </row>
    <row r="2414" spans="5:8" x14ac:dyDescent="0.25">
      <c r="E2414" t="str">
        <f>""</f>
        <v/>
      </c>
      <c r="F2414" t="str">
        <f>""</f>
        <v/>
      </c>
      <c r="G2414" t="str">
        <f t="shared" si="54"/>
        <v>TEXAS COUNTY &amp; DISTRICT RET</v>
      </c>
      <c r="H2414" s="4">
        <v>2817.99</v>
      </c>
    </row>
    <row r="2415" spans="5:8" x14ac:dyDescent="0.25">
      <c r="E2415" t="str">
        <f>""</f>
        <v/>
      </c>
      <c r="F2415" t="str">
        <f>""</f>
        <v/>
      </c>
      <c r="G2415" t="str">
        <f t="shared" si="54"/>
        <v>TEXAS COUNTY &amp; DISTRICT RET</v>
      </c>
      <c r="H2415" s="4">
        <v>3312.14</v>
      </c>
    </row>
    <row r="2416" spans="5:8" x14ac:dyDescent="0.25">
      <c r="E2416" t="str">
        <f>""</f>
        <v/>
      </c>
      <c r="F2416" t="str">
        <f>""</f>
        <v/>
      </c>
      <c r="G2416" t="str">
        <f t="shared" si="54"/>
        <v>TEXAS COUNTY &amp; DISTRICT RET</v>
      </c>
      <c r="H2416" s="4">
        <v>3290.43</v>
      </c>
    </row>
    <row r="2417" spans="5:8" x14ac:dyDescent="0.25">
      <c r="E2417" t="str">
        <f>""</f>
        <v/>
      </c>
      <c r="F2417" t="str">
        <f>""</f>
        <v/>
      </c>
      <c r="G2417" t="str">
        <f t="shared" si="54"/>
        <v>TEXAS COUNTY &amp; DISTRICT RET</v>
      </c>
      <c r="H2417" s="4">
        <v>3670.89</v>
      </c>
    </row>
    <row r="2418" spans="5:8" x14ac:dyDescent="0.25">
      <c r="E2418" t="str">
        <f>""</f>
        <v/>
      </c>
      <c r="F2418" t="str">
        <f>""</f>
        <v/>
      </c>
      <c r="G2418" t="str">
        <f t="shared" si="54"/>
        <v>TEXAS COUNTY &amp; DISTRICT RET</v>
      </c>
      <c r="H2418" s="4">
        <v>472.45</v>
      </c>
    </row>
    <row r="2419" spans="5:8" x14ac:dyDescent="0.25">
      <c r="E2419" t="str">
        <f>""</f>
        <v/>
      </c>
      <c r="F2419" t="str">
        <f>""</f>
        <v/>
      </c>
      <c r="G2419" t="str">
        <f t="shared" si="54"/>
        <v>TEXAS COUNTY &amp; DISTRICT RET</v>
      </c>
      <c r="H2419" s="4">
        <v>9.51</v>
      </c>
    </row>
    <row r="2420" spans="5:8" x14ac:dyDescent="0.25">
      <c r="E2420" t="str">
        <f>""</f>
        <v/>
      </c>
      <c r="F2420" t="str">
        <f>""</f>
        <v/>
      </c>
      <c r="G2420" t="str">
        <f t="shared" si="54"/>
        <v>TEXAS COUNTY &amp; DISTRICT RET</v>
      </c>
      <c r="H2420" s="4">
        <v>35.61</v>
      </c>
    </row>
    <row r="2421" spans="5:8" x14ac:dyDescent="0.25">
      <c r="E2421" t="str">
        <f>""</f>
        <v/>
      </c>
      <c r="F2421" t="str">
        <f>""</f>
        <v/>
      </c>
      <c r="G2421" t="str">
        <f t="shared" si="54"/>
        <v>TEXAS COUNTY &amp; DISTRICT RET</v>
      </c>
      <c r="H2421" s="4">
        <v>44.46</v>
      </c>
    </row>
    <row r="2422" spans="5:8" x14ac:dyDescent="0.25">
      <c r="E2422" t="str">
        <f>""</f>
        <v/>
      </c>
      <c r="F2422" t="str">
        <f>""</f>
        <v/>
      </c>
      <c r="G2422" t="str">
        <f t="shared" si="54"/>
        <v>TEXAS COUNTY &amp; DISTRICT RET</v>
      </c>
      <c r="H2422" s="4">
        <v>743.57</v>
      </c>
    </row>
    <row r="2423" spans="5:8" x14ac:dyDescent="0.25">
      <c r="E2423" t="str">
        <f>""</f>
        <v/>
      </c>
      <c r="F2423" t="str">
        <f>""</f>
        <v/>
      </c>
      <c r="G2423" t="str">
        <f t="shared" si="54"/>
        <v>TEXAS COUNTY &amp; DISTRICT RET</v>
      </c>
      <c r="H2423" s="4">
        <v>70899.86</v>
      </c>
    </row>
    <row r="2424" spans="5:8" x14ac:dyDescent="0.25">
      <c r="E2424" t="str">
        <f>"RET202201058186"</f>
        <v>RET202201058186</v>
      </c>
      <c r="F2424" t="str">
        <f>"TEXAS COUNTY  DISTRICT RET"</f>
        <v>TEXAS COUNTY  DISTRICT RET</v>
      </c>
      <c r="G2424" t="str">
        <f>"TEXAS COUNTY  DISTRICT RET"</f>
        <v>TEXAS COUNTY  DISTRICT RET</v>
      </c>
      <c r="H2424" s="4">
        <v>3525.83</v>
      </c>
    </row>
    <row r="2425" spans="5:8" x14ac:dyDescent="0.25">
      <c r="E2425" t="str">
        <f>""</f>
        <v/>
      </c>
      <c r="F2425" t="str">
        <f>""</f>
        <v/>
      </c>
      <c r="G2425" t="str">
        <f>"TEXAS COUNTY  DISTRICT RET"</f>
        <v>TEXAS COUNTY  DISTRICT RET</v>
      </c>
      <c r="H2425" s="4">
        <v>2289.4899999999998</v>
      </c>
    </row>
    <row r="2426" spans="5:8" x14ac:dyDescent="0.25">
      <c r="E2426" t="str">
        <f>"RET202201058187"</f>
        <v>RET202201058187</v>
      </c>
      <c r="F2426" t="str">
        <f>"TEXAS COUNTY &amp; DISTRICT RET"</f>
        <v>TEXAS COUNTY &amp; DISTRICT RET</v>
      </c>
      <c r="G2426" t="str">
        <f t="shared" ref="G2426:G2477" si="55">"TEXAS COUNTY &amp; DISTRICT RET"</f>
        <v>TEXAS COUNTY &amp; DISTRICT RET</v>
      </c>
      <c r="H2426" s="4">
        <v>4162.1899999999996</v>
      </c>
    </row>
    <row r="2427" spans="5:8" x14ac:dyDescent="0.25">
      <c r="E2427" t="str">
        <f>""</f>
        <v/>
      </c>
      <c r="F2427" t="str">
        <f>""</f>
        <v/>
      </c>
      <c r="G2427" t="str">
        <f t="shared" si="55"/>
        <v>TEXAS COUNTY &amp; DISTRICT RET</v>
      </c>
      <c r="H2427" s="4">
        <v>2702.71</v>
      </c>
    </row>
    <row r="2428" spans="5:8" x14ac:dyDescent="0.25">
      <c r="E2428" t="str">
        <f>"RET202201198473"</f>
        <v>RET202201198473</v>
      </c>
      <c r="F2428" t="str">
        <f>"TEXAS COUNTY &amp; DISTRICT RET"</f>
        <v>TEXAS COUNTY &amp; DISTRICT RET</v>
      </c>
      <c r="G2428" t="str">
        <f t="shared" si="55"/>
        <v>TEXAS COUNTY &amp; DISTRICT RET</v>
      </c>
      <c r="H2428" s="4">
        <v>1064.75</v>
      </c>
    </row>
    <row r="2429" spans="5:8" x14ac:dyDescent="0.25">
      <c r="E2429" t="str">
        <f>""</f>
        <v/>
      </c>
      <c r="F2429" t="str">
        <f>""</f>
        <v/>
      </c>
      <c r="G2429" t="str">
        <f t="shared" si="55"/>
        <v>TEXAS COUNTY &amp; DISTRICT RET</v>
      </c>
      <c r="H2429" s="4">
        <v>758.12</v>
      </c>
    </row>
    <row r="2430" spans="5:8" x14ac:dyDescent="0.25">
      <c r="E2430" t="str">
        <f>""</f>
        <v/>
      </c>
      <c r="F2430" t="str">
        <f>""</f>
        <v/>
      </c>
      <c r="G2430" t="str">
        <f t="shared" si="55"/>
        <v>TEXAS COUNTY &amp; DISTRICT RET</v>
      </c>
      <c r="H2430" s="4">
        <v>1918.16</v>
      </c>
    </row>
    <row r="2431" spans="5:8" x14ac:dyDescent="0.25">
      <c r="E2431" t="str">
        <f>""</f>
        <v/>
      </c>
      <c r="F2431" t="str">
        <f>""</f>
        <v/>
      </c>
      <c r="G2431" t="str">
        <f t="shared" si="55"/>
        <v>TEXAS COUNTY &amp; DISTRICT RET</v>
      </c>
      <c r="H2431" s="4">
        <v>844.54</v>
      </c>
    </row>
    <row r="2432" spans="5:8" x14ac:dyDescent="0.25">
      <c r="E2432" t="str">
        <f>""</f>
        <v/>
      </c>
      <c r="F2432" t="str">
        <f>""</f>
        <v/>
      </c>
      <c r="G2432" t="str">
        <f t="shared" si="55"/>
        <v>TEXAS COUNTY &amp; DISTRICT RET</v>
      </c>
      <c r="H2432" s="4">
        <v>457.27</v>
      </c>
    </row>
    <row r="2433" spans="5:8" x14ac:dyDescent="0.25">
      <c r="E2433" t="str">
        <f>""</f>
        <v/>
      </c>
      <c r="F2433" t="str">
        <f>""</f>
        <v/>
      </c>
      <c r="G2433" t="str">
        <f t="shared" si="55"/>
        <v>TEXAS COUNTY &amp; DISTRICT RET</v>
      </c>
      <c r="H2433" s="4">
        <v>1554.96</v>
      </c>
    </row>
    <row r="2434" spans="5:8" x14ac:dyDescent="0.25">
      <c r="E2434" t="str">
        <f>""</f>
        <v/>
      </c>
      <c r="F2434" t="str">
        <f>""</f>
        <v/>
      </c>
      <c r="G2434" t="str">
        <f t="shared" si="55"/>
        <v>TEXAS COUNTY &amp; DISTRICT RET</v>
      </c>
      <c r="H2434" s="4">
        <v>4754.6499999999996</v>
      </c>
    </row>
    <row r="2435" spans="5:8" x14ac:dyDescent="0.25">
      <c r="E2435" t="str">
        <f>""</f>
        <v/>
      </c>
      <c r="F2435" t="str">
        <f>""</f>
        <v/>
      </c>
      <c r="G2435" t="str">
        <f t="shared" si="55"/>
        <v>TEXAS COUNTY &amp; DISTRICT RET</v>
      </c>
      <c r="H2435" s="4">
        <v>1691.76</v>
      </c>
    </row>
    <row r="2436" spans="5:8" x14ac:dyDescent="0.25">
      <c r="E2436" t="str">
        <f>""</f>
        <v/>
      </c>
      <c r="F2436" t="str">
        <f>""</f>
        <v/>
      </c>
      <c r="G2436" t="str">
        <f t="shared" si="55"/>
        <v>TEXAS COUNTY &amp; DISTRICT RET</v>
      </c>
      <c r="H2436" s="4">
        <v>1678.42</v>
      </c>
    </row>
    <row r="2437" spans="5:8" x14ac:dyDescent="0.25">
      <c r="E2437" t="str">
        <f>""</f>
        <v/>
      </c>
      <c r="F2437" t="str">
        <f>""</f>
        <v/>
      </c>
      <c r="G2437" t="str">
        <f t="shared" si="55"/>
        <v>TEXAS COUNTY &amp; DISTRICT RET</v>
      </c>
      <c r="H2437" s="4">
        <v>3213.48</v>
      </c>
    </row>
    <row r="2438" spans="5:8" x14ac:dyDescent="0.25">
      <c r="E2438" t="str">
        <f>""</f>
        <v/>
      </c>
      <c r="F2438" t="str">
        <f>""</f>
        <v/>
      </c>
      <c r="G2438" t="str">
        <f t="shared" si="55"/>
        <v>TEXAS COUNTY &amp; DISTRICT RET</v>
      </c>
      <c r="H2438" s="4">
        <v>942.71</v>
      </c>
    </row>
    <row r="2439" spans="5:8" x14ac:dyDescent="0.25">
      <c r="E2439" t="str">
        <f>""</f>
        <v/>
      </c>
      <c r="F2439" t="str">
        <f>""</f>
        <v/>
      </c>
      <c r="G2439" t="str">
        <f t="shared" si="55"/>
        <v>TEXAS COUNTY &amp; DISTRICT RET</v>
      </c>
      <c r="H2439" s="4">
        <v>973.01</v>
      </c>
    </row>
    <row r="2440" spans="5:8" x14ac:dyDescent="0.25">
      <c r="E2440" t="str">
        <f>""</f>
        <v/>
      </c>
      <c r="F2440" t="str">
        <f>""</f>
        <v/>
      </c>
      <c r="G2440" t="str">
        <f t="shared" si="55"/>
        <v>TEXAS COUNTY &amp; DISTRICT RET</v>
      </c>
      <c r="H2440" s="4">
        <v>842.62</v>
      </c>
    </row>
    <row r="2441" spans="5:8" x14ac:dyDescent="0.25">
      <c r="E2441" t="str">
        <f>""</f>
        <v/>
      </c>
      <c r="F2441" t="str">
        <f>""</f>
        <v/>
      </c>
      <c r="G2441" t="str">
        <f t="shared" si="55"/>
        <v>TEXAS COUNTY &amp; DISTRICT RET</v>
      </c>
      <c r="H2441" s="4">
        <v>859.77</v>
      </c>
    </row>
    <row r="2442" spans="5:8" x14ac:dyDescent="0.25">
      <c r="E2442" t="str">
        <f>""</f>
        <v/>
      </c>
      <c r="F2442" t="str">
        <f>""</f>
        <v/>
      </c>
      <c r="G2442" t="str">
        <f t="shared" si="55"/>
        <v>TEXAS COUNTY &amp; DISTRICT RET</v>
      </c>
      <c r="H2442" s="4">
        <v>451.2</v>
      </c>
    </row>
    <row r="2443" spans="5:8" x14ac:dyDescent="0.25">
      <c r="E2443" t="str">
        <f>""</f>
        <v/>
      </c>
      <c r="F2443" t="str">
        <f>""</f>
        <v/>
      </c>
      <c r="G2443" t="str">
        <f t="shared" si="55"/>
        <v>TEXAS COUNTY &amp; DISTRICT RET</v>
      </c>
      <c r="H2443" s="4">
        <v>5520.5</v>
      </c>
    </row>
    <row r="2444" spans="5:8" x14ac:dyDescent="0.25">
      <c r="E2444" t="str">
        <f>""</f>
        <v/>
      </c>
      <c r="F2444" t="str">
        <f>""</f>
        <v/>
      </c>
      <c r="G2444" t="str">
        <f t="shared" si="55"/>
        <v>TEXAS COUNTY &amp; DISTRICT RET</v>
      </c>
      <c r="H2444" s="4">
        <v>2665.35</v>
      </c>
    </row>
    <row r="2445" spans="5:8" x14ac:dyDescent="0.25">
      <c r="E2445" t="str">
        <f>""</f>
        <v/>
      </c>
      <c r="F2445" t="str">
        <f>""</f>
        <v/>
      </c>
      <c r="G2445" t="str">
        <f t="shared" si="55"/>
        <v>TEXAS COUNTY &amp; DISTRICT RET</v>
      </c>
      <c r="H2445" s="4">
        <v>1099.97</v>
      </c>
    </row>
    <row r="2446" spans="5:8" x14ac:dyDescent="0.25">
      <c r="E2446" t="str">
        <f>""</f>
        <v/>
      </c>
      <c r="F2446" t="str">
        <f>""</f>
        <v/>
      </c>
      <c r="G2446" t="str">
        <f t="shared" si="55"/>
        <v>TEXAS COUNTY &amp; DISTRICT RET</v>
      </c>
      <c r="H2446" s="4">
        <v>1009.52</v>
      </c>
    </row>
    <row r="2447" spans="5:8" x14ac:dyDescent="0.25">
      <c r="E2447" t="str">
        <f>""</f>
        <v/>
      </c>
      <c r="F2447" t="str">
        <f>""</f>
        <v/>
      </c>
      <c r="G2447" t="str">
        <f t="shared" si="55"/>
        <v>TEXAS COUNTY &amp; DISTRICT RET</v>
      </c>
      <c r="H2447" s="4">
        <v>2935.85</v>
      </c>
    </row>
    <row r="2448" spans="5:8" x14ac:dyDescent="0.25">
      <c r="E2448" t="str">
        <f>""</f>
        <v/>
      </c>
      <c r="F2448" t="str">
        <f>""</f>
        <v/>
      </c>
      <c r="G2448" t="str">
        <f t="shared" si="55"/>
        <v>TEXAS COUNTY &amp; DISTRICT RET</v>
      </c>
      <c r="H2448" s="4">
        <v>2193.44</v>
      </c>
    </row>
    <row r="2449" spans="5:8" x14ac:dyDescent="0.25">
      <c r="E2449" t="str">
        <f>""</f>
        <v/>
      </c>
      <c r="F2449" t="str">
        <f>""</f>
        <v/>
      </c>
      <c r="G2449" t="str">
        <f t="shared" si="55"/>
        <v>TEXAS COUNTY &amp; DISTRICT RET</v>
      </c>
      <c r="H2449" s="4">
        <v>3716.82</v>
      </c>
    </row>
    <row r="2450" spans="5:8" x14ac:dyDescent="0.25">
      <c r="E2450" t="str">
        <f>""</f>
        <v/>
      </c>
      <c r="F2450" t="str">
        <f>""</f>
        <v/>
      </c>
      <c r="G2450" t="str">
        <f t="shared" si="55"/>
        <v>TEXAS COUNTY &amp; DISTRICT RET</v>
      </c>
      <c r="H2450" s="4">
        <v>2673.63</v>
      </c>
    </row>
    <row r="2451" spans="5:8" x14ac:dyDescent="0.25">
      <c r="E2451" t="str">
        <f>""</f>
        <v/>
      </c>
      <c r="F2451" t="str">
        <f>""</f>
        <v/>
      </c>
      <c r="G2451" t="str">
        <f t="shared" si="55"/>
        <v>TEXAS COUNTY &amp; DISTRICT RET</v>
      </c>
      <c r="H2451" s="4">
        <v>4717.95</v>
      </c>
    </row>
    <row r="2452" spans="5:8" x14ac:dyDescent="0.25">
      <c r="E2452" t="str">
        <f>""</f>
        <v/>
      </c>
      <c r="F2452" t="str">
        <f>""</f>
        <v/>
      </c>
      <c r="G2452" t="str">
        <f t="shared" si="55"/>
        <v>TEXAS COUNTY &amp; DISTRICT RET</v>
      </c>
      <c r="H2452" s="4">
        <v>281.35000000000002</v>
      </c>
    </row>
    <row r="2453" spans="5:8" x14ac:dyDescent="0.25">
      <c r="E2453" t="str">
        <f>""</f>
        <v/>
      </c>
      <c r="F2453" t="str">
        <f>""</f>
        <v/>
      </c>
      <c r="G2453" t="str">
        <f t="shared" si="55"/>
        <v>TEXAS COUNTY &amp; DISTRICT RET</v>
      </c>
      <c r="H2453" s="4">
        <v>281.35000000000002</v>
      </c>
    </row>
    <row r="2454" spans="5:8" x14ac:dyDescent="0.25">
      <c r="E2454" t="str">
        <f>""</f>
        <v/>
      </c>
      <c r="F2454" t="str">
        <f>""</f>
        <v/>
      </c>
      <c r="G2454" t="str">
        <f t="shared" si="55"/>
        <v>TEXAS COUNTY &amp; DISTRICT RET</v>
      </c>
      <c r="H2454" s="4">
        <v>281.35000000000002</v>
      </c>
    </row>
    <row r="2455" spans="5:8" x14ac:dyDescent="0.25">
      <c r="E2455" t="str">
        <f>""</f>
        <v/>
      </c>
      <c r="F2455" t="str">
        <f>""</f>
        <v/>
      </c>
      <c r="G2455" t="str">
        <f t="shared" si="55"/>
        <v>TEXAS COUNTY &amp; DISTRICT RET</v>
      </c>
      <c r="H2455" s="4">
        <v>281.35000000000002</v>
      </c>
    </row>
    <row r="2456" spans="5:8" x14ac:dyDescent="0.25">
      <c r="E2456" t="str">
        <f>""</f>
        <v/>
      </c>
      <c r="F2456" t="str">
        <f>""</f>
        <v/>
      </c>
      <c r="G2456" t="str">
        <f t="shared" si="55"/>
        <v>TEXAS COUNTY &amp; DISTRICT RET</v>
      </c>
      <c r="H2456" s="4">
        <v>27720.37</v>
      </c>
    </row>
    <row r="2457" spans="5:8" x14ac:dyDescent="0.25">
      <c r="E2457" t="str">
        <f>""</f>
        <v/>
      </c>
      <c r="F2457" t="str">
        <f>""</f>
        <v/>
      </c>
      <c r="G2457" t="str">
        <f t="shared" si="55"/>
        <v>TEXAS COUNTY &amp; DISTRICT RET</v>
      </c>
      <c r="H2457" s="4">
        <v>1239.25</v>
      </c>
    </row>
    <row r="2458" spans="5:8" x14ac:dyDescent="0.25">
      <c r="E2458" t="str">
        <f>""</f>
        <v/>
      </c>
      <c r="F2458" t="str">
        <f>""</f>
        <v/>
      </c>
      <c r="G2458" t="str">
        <f t="shared" si="55"/>
        <v>TEXAS COUNTY &amp; DISTRICT RET</v>
      </c>
      <c r="H2458" s="4">
        <v>23138.35</v>
      </c>
    </row>
    <row r="2459" spans="5:8" x14ac:dyDescent="0.25">
      <c r="E2459" t="str">
        <f>""</f>
        <v/>
      </c>
      <c r="F2459" t="str">
        <f>""</f>
        <v/>
      </c>
      <c r="G2459" t="str">
        <f t="shared" si="55"/>
        <v>TEXAS COUNTY &amp; DISTRICT RET</v>
      </c>
      <c r="H2459" s="4">
        <v>3699.98</v>
      </c>
    </row>
    <row r="2460" spans="5:8" x14ac:dyDescent="0.25">
      <c r="E2460" t="str">
        <f>""</f>
        <v/>
      </c>
      <c r="F2460" t="str">
        <f>""</f>
        <v/>
      </c>
      <c r="G2460" t="str">
        <f t="shared" si="55"/>
        <v>TEXAS COUNTY &amp; DISTRICT RET</v>
      </c>
      <c r="H2460" s="4">
        <v>447.74</v>
      </c>
    </row>
    <row r="2461" spans="5:8" x14ac:dyDescent="0.25">
      <c r="E2461" t="str">
        <f>""</f>
        <v/>
      </c>
      <c r="F2461" t="str">
        <f>""</f>
        <v/>
      </c>
      <c r="G2461" t="str">
        <f t="shared" si="55"/>
        <v>TEXAS COUNTY &amp; DISTRICT RET</v>
      </c>
      <c r="H2461" s="4">
        <v>1057.07</v>
      </c>
    </row>
    <row r="2462" spans="5:8" x14ac:dyDescent="0.25">
      <c r="E2462" t="str">
        <f>""</f>
        <v/>
      </c>
      <c r="F2462" t="str">
        <f>""</f>
        <v/>
      </c>
      <c r="G2462" t="str">
        <f t="shared" si="55"/>
        <v>TEXAS COUNTY &amp; DISTRICT RET</v>
      </c>
      <c r="H2462" s="4">
        <v>70.150000000000006</v>
      </c>
    </row>
    <row r="2463" spans="5:8" x14ac:dyDescent="0.25">
      <c r="E2463" t="str">
        <f>""</f>
        <v/>
      </c>
      <c r="F2463" t="str">
        <f>""</f>
        <v/>
      </c>
      <c r="G2463" t="str">
        <f t="shared" si="55"/>
        <v>TEXAS COUNTY &amp; DISTRICT RET</v>
      </c>
      <c r="H2463" s="4">
        <v>442.44</v>
      </c>
    </row>
    <row r="2464" spans="5:8" x14ac:dyDescent="0.25">
      <c r="E2464" t="str">
        <f>""</f>
        <v/>
      </c>
      <c r="F2464" t="str">
        <f>""</f>
        <v/>
      </c>
      <c r="G2464" t="str">
        <f t="shared" si="55"/>
        <v>TEXAS COUNTY &amp; DISTRICT RET</v>
      </c>
      <c r="H2464" s="4">
        <v>234.13</v>
      </c>
    </row>
    <row r="2465" spans="5:8" x14ac:dyDescent="0.25">
      <c r="E2465" t="str">
        <f>""</f>
        <v/>
      </c>
      <c r="F2465" t="str">
        <f>""</f>
        <v/>
      </c>
      <c r="G2465" t="str">
        <f t="shared" si="55"/>
        <v>TEXAS COUNTY &amp; DISTRICT RET</v>
      </c>
      <c r="H2465" s="4">
        <v>1370.84</v>
      </c>
    </row>
    <row r="2466" spans="5:8" x14ac:dyDescent="0.25">
      <c r="E2466" t="str">
        <f>""</f>
        <v/>
      </c>
      <c r="F2466" t="str">
        <f>""</f>
        <v/>
      </c>
      <c r="G2466" t="str">
        <f t="shared" si="55"/>
        <v>TEXAS COUNTY &amp; DISTRICT RET</v>
      </c>
      <c r="H2466" s="4">
        <v>399.87</v>
      </c>
    </row>
    <row r="2467" spans="5:8" x14ac:dyDescent="0.25">
      <c r="E2467" t="str">
        <f>""</f>
        <v/>
      </c>
      <c r="F2467" t="str">
        <f>""</f>
        <v/>
      </c>
      <c r="G2467" t="str">
        <f t="shared" si="55"/>
        <v>TEXAS COUNTY &amp; DISTRICT RET</v>
      </c>
      <c r="H2467" s="4">
        <v>115</v>
      </c>
    </row>
    <row r="2468" spans="5:8" x14ac:dyDescent="0.25">
      <c r="E2468" t="str">
        <f>""</f>
        <v/>
      </c>
      <c r="F2468" t="str">
        <f>""</f>
        <v/>
      </c>
      <c r="G2468" t="str">
        <f t="shared" si="55"/>
        <v>TEXAS COUNTY &amp; DISTRICT RET</v>
      </c>
      <c r="H2468" s="4">
        <v>2847.83</v>
      </c>
    </row>
    <row r="2469" spans="5:8" x14ac:dyDescent="0.25">
      <c r="E2469" t="str">
        <f>""</f>
        <v/>
      </c>
      <c r="F2469" t="str">
        <f>""</f>
        <v/>
      </c>
      <c r="G2469" t="str">
        <f t="shared" si="55"/>
        <v>TEXAS COUNTY &amp; DISTRICT RET</v>
      </c>
      <c r="H2469" s="4">
        <v>3670.77</v>
      </c>
    </row>
    <row r="2470" spans="5:8" x14ac:dyDescent="0.25">
      <c r="E2470" t="str">
        <f>""</f>
        <v/>
      </c>
      <c r="F2470" t="str">
        <f>""</f>
        <v/>
      </c>
      <c r="G2470" t="str">
        <f t="shared" si="55"/>
        <v>TEXAS COUNTY &amp; DISTRICT RET</v>
      </c>
      <c r="H2470" s="4">
        <v>3294.41</v>
      </c>
    </row>
    <row r="2471" spans="5:8" x14ac:dyDescent="0.25">
      <c r="E2471" t="str">
        <f>""</f>
        <v/>
      </c>
      <c r="F2471" t="str">
        <f>""</f>
        <v/>
      </c>
      <c r="G2471" t="str">
        <f t="shared" si="55"/>
        <v>TEXAS COUNTY &amp; DISTRICT RET</v>
      </c>
      <c r="H2471" s="4">
        <v>3885.03</v>
      </c>
    </row>
    <row r="2472" spans="5:8" x14ac:dyDescent="0.25">
      <c r="E2472" t="str">
        <f>""</f>
        <v/>
      </c>
      <c r="F2472" t="str">
        <f>""</f>
        <v/>
      </c>
      <c r="G2472" t="str">
        <f t="shared" si="55"/>
        <v>TEXAS COUNTY &amp; DISTRICT RET</v>
      </c>
      <c r="H2472" s="4">
        <v>472.45</v>
      </c>
    </row>
    <row r="2473" spans="5:8" x14ac:dyDescent="0.25">
      <c r="E2473" t="str">
        <f>""</f>
        <v/>
      </c>
      <c r="F2473" t="str">
        <f>""</f>
        <v/>
      </c>
      <c r="G2473" t="str">
        <f t="shared" si="55"/>
        <v>TEXAS COUNTY &amp; DISTRICT RET</v>
      </c>
      <c r="H2473" s="4">
        <v>9.51</v>
      </c>
    </row>
    <row r="2474" spans="5:8" x14ac:dyDescent="0.25">
      <c r="E2474" t="str">
        <f>""</f>
        <v/>
      </c>
      <c r="F2474" t="str">
        <f>""</f>
        <v/>
      </c>
      <c r="G2474" t="str">
        <f t="shared" si="55"/>
        <v>TEXAS COUNTY &amp; DISTRICT RET</v>
      </c>
      <c r="H2474" s="4">
        <v>35.61</v>
      </c>
    </row>
    <row r="2475" spans="5:8" x14ac:dyDescent="0.25">
      <c r="E2475" t="str">
        <f>""</f>
        <v/>
      </c>
      <c r="F2475" t="str">
        <f>""</f>
        <v/>
      </c>
      <c r="G2475" t="str">
        <f t="shared" si="55"/>
        <v>TEXAS COUNTY &amp; DISTRICT RET</v>
      </c>
      <c r="H2475" s="4">
        <v>44.46</v>
      </c>
    </row>
    <row r="2476" spans="5:8" x14ac:dyDescent="0.25">
      <c r="E2476" t="str">
        <f>""</f>
        <v/>
      </c>
      <c r="F2476" t="str">
        <f>""</f>
        <v/>
      </c>
      <c r="G2476" t="str">
        <f t="shared" si="55"/>
        <v>TEXAS COUNTY &amp; DISTRICT RET</v>
      </c>
      <c r="H2476" s="4">
        <v>743.57</v>
      </c>
    </row>
    <row r="2477" spans="5:8" x14ac:dyDescent="0.25">
      <c r="E2477" t="str">
        <f>""</f>
        <v/>
      </c>
      <c r="F2477" t="str">
        <f>""</f>
        <v/>
      </c>
      <c r="G2477" t="str">
        <f t="shared" si="55"/>
        <v>TEXAS COUNTY &amp; DISTRICT RET</v>
      </c>
      <c r="H2477" s="4">
        <v>71143.649999999994</v>
      </c>
    </row>
    <row r="2478" spans="5:8" x14ac:dyDescent="0.25">
      <c r="E2478" t="str">
        <f>"RET202201198474"</f>
        <v>RET202201198474</v>
      </c>
      <c r="F2478" t="str">
        <f>"TEXAS COUNTY  DISTRICT RET"</f>
        <v>TEXAS COUNTY  DISTRICT RET</v>
      </c>
      <c r="G2478" t="str">
        <f>"TEXAS COUNTY  DISTRICT RET"</f>
        <v>TEXAS COUNTY  DISTRICT RET</v>
      </c>
      <c r="H2478" s="4">
        <v>3398.68</v>
      </c>
    </row>
    <row r="2479" spans="5:8" x14ac:dyDescent="0.25">
      <c r="E2479" t="str">
        <f>""</f>
        <v/>
      </c>
      <c r="F2479" t="str">
        <f>""</f>
        <v/>
      </c>
      <c r="G2479" t="str">
        <f>"TEXAS COUNTY  DISTRICT RET"</f>
        <v>TEXAS COUNTY  DISTRICT RET</v>
      </c>
      <c r="H2479" s="4">
        <v>2206.92</v>
      </c>
    </row>
    <row r="2480" spans="5:8" x14ac:dyDescent="0.25">
      <c r="E2480" t="str">
        <f>"RET202201198475"</f>
        <v>RET202201198475</v>
      </c>
      <c r="F2480" t="str">
        <f>"TEXAS COUNTY &amp; DISTRICT RET"</f>
        <v>TEXAS COUNTY &amp; DISTRICT RET</v>
      </c>
      <c r="G2480" t="str">
        <f>"TEXAS COUNTY &amp; DISTRICT RET"</f>
        <v>TEXAS COUNTY &amp; DISTRICT RET</v>
      </c>
      <c r="H2480" s="4">
        <v>4207.62</v>
      </c>
    </row>
    <row r="2481" spans="1:8" x14ac:dyDescent="0.25">
      <c r="E2481" t="str">
        <f>""</f>
        <v/>
      </c>
      <c r="F2481" t="str">
        <f>""</f>
        <v/>
      </c>
      <c r="G2481" t="str">
        <f>"TEXAS COUNTY &amp; DISTRICT RET"</f>
        <v>TEXAS COUNTY &amp; DISTRICT RET</v>
      </c>
      <c r="H2481" s="4">
        <v>2732.22</v>
      </c>
    </row>
    <row r="2482" spans="1:8" x14ac:dyDescent="0.25">
      <c r="A2482" t="s">
        <v>455</v>
      </c>
      <c r="B2482">
        <v>1594</v>
      </c>
      <c r="C2482" s="4">
        <v>2099.7800000000002</v>
      </c>
      <c r="D2482" s="5">
        <v>44592</v>
      </c>
      <c r="E2482" t="str">
        <f>"RET202201298601"</f>
        <v>RET202201298601</v>
      </c>
      <c r="F2482" t="str">
        <f>"TEXAS COUNTY  DISTRICT RET"</f>
        <v>TEXAS COUNTY  DISTRICT RET</v>
      </c>
      <c r="G2482" t="str">
        <f>"TEXAS COUNTY  DISTRICT RET"</f>
        <v>TEXAS COUNTY  DISTRICT RET</v>
      </c>
      <c r="H2482" s="4">
        <v>950.67</v>
      </c>
    </row>
    <row r="2483" spans="1:8" x14ac:dyDescent="0.25">
      <c r="E2483" t="str">
        <f>"RET202201298602"</f>
        <v>RET202201298602</v>
      </c>
      <c r="F2483" t="str">
        <f>"TEXAS COUNTY &amp; DISTRICT RET"</f>
        <v>TEXAS COUNTY &amp; DISTRICT RET</v>
      </c>
      <c r="G2483" t="str">
        <f>"TEXAS COUNTY &amp; DISTRICT RET"</f>
        <v>TEXAS COUNTY &amp; DISTRICT RET</v>
      </c>
      <c r="H2483" s="4">
        <v>1149.1099999999999</v>
      </c>
    </row>
    <row r="2484" spans="1:8" x14ac:dyDescent="0.25">
      <c r="A2484" t="s">
        <v>456</v>
      </c>
      <c r="B2484">
        <v>48578</v>
      </c>
      <c r="C2484" s="4">
        <v>1872</v>
      </c>
      <c r="D2484" s="5">
        <v>44588</v>
      </c>
      <c r="E2484" t="str">
        <f>"202201278588"</f>
        <v>202201278588</v>
      </c>
      <c r="F2484" t="str">
        <f>"ADJ - JANUARY 2022"</f>
        <v>ADJ - JANUARY 2022</v>
      </c>
      <c r="G2484" t="str">
        <f>"ADJ - JANUARY 2022"</f>
        <v>ADJ - JANUARY 2022</v>
      </c>
      <c r="H2484" s="4">
        <v>-16</v>
      </c>
    </row>
    <row r="2485" spans="1:8" x14ac:dyDescent="0.25">
      <c r="E2485" t="str">
        <f>"LEG202201058185"</f>
        <v>LEG202201058185</v>
      </c>
      <c r="F2485" t="str">
        <f t="shared" ref="F2485:G2488" si="56">"TEXAS LEGAL PROTECTION PLAN"</f>
        <v>TEXAS LEGAL PROTECTION PLAN</v>
      </c>
      <c r="G2485" t="str">
        <f t="shared" si="56"/>
        <v>TEXAS LEGAL PROTECTION PLAN</v>
      </c>
      <c r="H2485" s="4">
        <v>384</v>
      </c>
    </row>
    <row r="2486" spans="1:8" x14ac:dyDescent="0.25">
      <c r="E2486" t="str">
        <f>"LEG202201198473"</f>
        <v>LEG202201198473</v>
      </c>
      <c r="F2486" t="str">
        <f t="shared" si="56"/>
        <v>TEXAS LEGAL PROTECTION PLAN</v>
      </c>
      <c r="G2486" t="str">
        <f t="shared" si="56"/>
        <v>TEXAS LEGAL PROTECTION PLAN</v>
      </c>
      <c r="H2486" s="4">
        <v>384</v>
      </c>
    </row>
    <row r="2487" spans="1:8" x14ac:dyDescent="0.25">
      <c r="E2487" t="str">
        <f>"LGF202201058185"</f>
        <v>LGF202201058185</v>
      </c>
      <c r="F2487" t="str">
        <f t="shared" si="56"/>
        <v>TEXAS LEGAL PROTECTION PLAN</v>
      </c>
      <c r="G2487" t="str">
        <f t="shared" si="56"/>
        <v>TEXAS LEGAL PROTECTION PLAN</v>
      </c>
      <c r="H2487" s="4">
        <v>560</v>
      </c>
    </row>
    <row r="2488" spans="1:8" x14ac:dyDescent="0.25">
      <c r="E2488" t="str">
        <f>"LGF202201198473"</f>
        <v>LGF202201198473</v>
      </c>
      <c r="F2488" t="str">
        <f t="shared" si="56"/>
        <v>TEXAS LEGAL PROTECTION PLAN</v>
      </c>
      <c r="G2488" t="str">
        <f t="shared" si="56"/>
        <v>TEXAS LEGAL PROTECTION PLAN</v>
      </c>
      <c r="H2488" s="4">
        <v>560</v>
      </c>
    </row>
    <row r="2489" spans="1:8" x14ac:dyDescent="0.25">
      <c r="A2489" t="s">
        <v>457</v>
      </c>
      <c r="B2489">
        <v>1566</v>
      </c>
      <c r="C2489" s="4">
        <v>126</v>
      </c>
      <c r="D2489" s="5">
        <v>44574</v>
      </c>
      <c r="E2489" t="str">
        <f>"202201128294"</f>
        <v>202201128294</v>
      </c>
      <c r="F2489" t="str">
        <f t="shared" ref="F2489:G2504" si="57">"ACCT#72-5613 / 01032022"</f>
        <v>ACCT#72-5613 / 01032022</v>
      </c>
      <c r="G2489" t="str">
        <f t="shared" si="57"/>
        <v>ACCT#72-5613 / 01032022</v>
      </c>
      <c r="H2489" s="4">
        <v>126</v>
      </c>
    </row>
    <row r="2490" spans="1:8" x14ac:dyDescent="0.25">
      <c r="A2490" t="s">
        <v>458</v>
      </c>
      <c r="B2490">
        <v>1551</v>
      </c>
      <c r="C2490" s="4">
        <v>29</v>
      </c>
      <c r="D2490" s="5">
        <v>44574</v>
      </c>
      <c r="E2490" t="str">
        <f>"202201128272"</f>
        <v>202201128272</v>
      </c>
      <c r="F2490" t="str">
        <f t="shared" si="57"/>
        <v>ACCT#72-5613 / 01032022</v>
      </c>
      <c r="G2490" t="str">
        <f t="shared" si="57"/>
        <v>ACCT#72-5613 / 01032022</v>
      </c>
      <c r="H2490" s="4">
        <v>29</v>
      </c>
    </row>
    <row r="2491" spans="1:8" x14ac:dyDescent="0.25">
      <c r="A2491" t="s">
        <v>459</v>
      </c>
      <c r="B2491">
        <v>1554</v>
      </c>
      <c r="C2491" s="4">
        <v>499.99</v>
      </c>
      <c r="D2491" s="5">
        <v>44574</v>
      </c>
      <c r="E2491" t="str">
        <f>"202201128275"</f>
        <v>202201128275</v>
      </c>
      <c r="F2491" t="str">
        <f t="shared" si="57"/>
        <v>ACCT#72-5613 / 01032022</v>
      </c>
      <c r="G2491" t="str">
        <f t="shared" si="57"/>
        <v>ACCT#72-5613 / 01032022</v>
      </c>
      <c r="H2491" s="4">
        <v>499.99</v>
      </c>
    </row>
    <row r="2492" spans="1:8" x14ac:dyDescent="0.25">
      <c r="A2492" t="s">
        <v>460</v>
      </c>
      <c r="B2492">
        <v>1555</v>
      </c>
      <c r="C2492" s="4">
        <v>1274.8900000000001</v>
      </c>
      <c r="D2492" s="5">
        <v>44574</v>
      </c>
      <c r="E2492" t="str">
        <f>"202201128276"</f>
        <v>202201128276</v>
      </c>
      <c r="F2492" t="str">
        <f t="shared" si="57"/>
        <v>ACCT#72-5613 / 01032022</v>
      </c>
      <c r="G2492" t="str">
        <f t="shared" si="57"/>
        <v>ACCT#72-5613 / 01032022</v>
      </c>
      <c r="H2492" s="4">
        <v>1274.8900000000001</v>
      </c>
    </row>
    <row r="2493" spans="1:8" x14ac:dyDescent="0.25">
      <c r="A2493" t="s">
        <v>461</v>
      </c>
      <c r="B2493">
        <v>1557</v>
      </c>
      <c r="C2493" s="4">
        <v>199</v>
      </c>
      <c r="D2493" s="5">
        <v>44574</v>
      </c>
      <c r="E2493" t="str">
        <f>"202201128278"</f>
        <v>202201128278</v>
      </c>
      <c r="F2493" t="str">
        <f t="shared" si="57"/>
        <v>ACCT#72-5613 / 01032022</v>
      </c>
      <c r="G2493" t="str">
        <f t="shared" si="57"/>
        <v>ACCT#72-5613 / 01032022</v>
      </c>
      <c r="H2493" s="4">
        <v>199</v>
      </c>
    </row>
    <row r="2494" spans="1:8" x14ac:dyDescent="0.25">
      <c r="A2494" t="s">
        <v>462</v>
      </c>
      <c r="B2494">
        <v>1549</v>
      </c>
      <c r="C2494" s="4">
        <v>815.82</v>
      </c>
      <c r="D2494" s="5">
        <v>44574</v>
      </c>
      <c r="E2494" t="str">
        <f>"202201128269"</f>
        <v>202201128269</v>
      </c>
      <c r="F2494" t="str">
        <f t="shared" si="57"/>
        <v>ACCT#72-5613 / 01032022</v>
      </c>
      <c r="G2494" t="str">
        <f t="shared" si="57"/>
        <v>ACCT#72-5613 / 01032022</v>
      </c>
      <c r="H2494" s="4">
        <v>24.46</v>
      </c>
    </row>
    <row r="2495" spans="1:8" x14ac:dyDescent="0.25">
      <c r="E2495" t="str">
        <f>""</f>
        <v/>
      </c>
      <c r="F2495" t="str">
        <f>""</f>
        <v/>
      </c>
      <c r="G2495" t="str">
        <f t="shared" si="57"/>
        <v>ACCT#72-5613 / 01032022</v>
      </c>
      <c r="H2495" s="4">
        <v>3.82</v>
      </c>
    </row>
    <row r="2496" spans="1:8" x14ac:dyDescent="0.25">
      <c r="E2496" t="str">
        <f>""</f>
        <v/>
      </c>
      <c r="F2496" t="str">
        <f>""</f>
        <v/>
      </c>
      <c r="G2496" t="str">
        <f t="shared" si="57"/>
        <v>ACCT#72-5613 / 01032022</v>
      </c>
      <c r="H2496" s="4">
        <v>29.21</v>
      </c>
    </row>
    <row r="2497" spans="1:8" x14ac:dyDescent="0.25">
      <c r="E2497" t="str">
        <f>""</f>
        <v/>
      </c>
      <c r="F2497" t="str">
        <f>""</f>
        <v/>
      </c>
      <c r="G2497" t="str">
        <f t="shared" si="57"/>
        <v>ACCT#72-5613 / 01032022</v>
      </c>
      <c r="H2497" s="4">
        <v>63.73</v>
      </c>
    </row>
    <row r="2498" spans="1:8" x14ac:dyDescent="0.25">
      <c r="E2498" t="str">
        <f>""</f>
        <v/>
      </c>
      <c r="F2498" t="str">
        <f>""</f>
        <v/>
      </c>
      <c r="G2498" t="str">
        <f t="shared" si="57"/>
        <v>ACCT#72-5613 / 01032022</v>
      </c>
      <c r="H2498" s="4">
        <v>71.44</v>
      </c>
    </row>
    <row r="2499" spans="1:8" x14ac:dyDescent="0.25">
      <c r="E2499" t="str">
        <f>""</f>
        <v/>
      </c>
      <c r="F2499" t="str">
        <f>""</f>
        <v/>
      </c>
      <c r="G2499" t="str">
        <f t="shared" si="57"/>
        <v>ACCT#72-5613 / 01032022</v>
      </c>
      <c r="H2499" s="4">
        <v>17.73</v>
      </c>
    </row>
    <row r="2500" spans="1:8" x14ac:dyDescent="0.25">
      <c r="E2500" t="str">
        <f>""</f>
        <v/>
      </c>
      <c r="F2500" t="str">
        <f>""</f>
        <v/>
      </c>
      <c r="G2500" t="str">
        <f t="shared" si="57"/>
        <v>ACCT#72-5613 / 01032022</v>
      </c>
      <c r="H2500" s="4">
        <v>479.88</v>
      </c>
    </row>
    <row r="2501" spans="1:8" x14ac:dyDescent="0.25">
      <c r="E2501" t="str">
        <f>""</f>
        <v/>
      </c>
      <c r="F2501" t="str">
        <f>""</f>
        <v/>
      </c>
      <c r="G2501" t="str">
        <f t="shared" si="57"/>
        <v>ACCT#72-5613 / 01032022</v>
      </c>
      <c r="H2501" s="4">
        <v>125.55</v>
      </c>
    </row>
    <row r="2502" spans="1:8" x14ac:dyDescent="0.25">
      <c r="A2502" t="s">
        <v>95</v>
      </c>
      <c r="B2502">
        <v>1568</v>
      </c>
      <c r="C2502" s="4">
        <v>11</v>
      </c>
      <c r="D2502" s="5">
        <v>44574</v>
      </c>
      <c r="E2502" t="str">
        <f>"202201128288"</f>
        <v>202201128288</v>
      </c>
      <c r="F2502" t="str">
        <f t="shared" ref="F2502:G2517" si="58">"ACCT#72-5613 / 01032022"</f>
        <v>ACCT#72-5613 / 01032022</v>
      </c>
      <c r="G2502" t="str">
        <f t="shared" si="57"/>
        <v>ACCT#72-5613 / 01032022</v>
      </c>
      <c r="H2502" s="4">
        <v>11</v>
      </c>
    </row>
    <row r="2503" spans="1:8" x14ac:dyDescent="0.25">
      <c r="A2503" t="s">
        <v>463</v>
      </c>
      <c r="B2503">
        <v>1562</v>
      </c>
      <c r="C2503" s="4">
        <v>75</v>
      </c>
      <c r="D2503" s="5">
        <v>44574</v>
      </c>
      <c r="E2503" t="str">
        <f>"202201128283"</f>
        <v>202201128283</v>
      </c>
      <c r="F2503" t="str">
        <f t="shared" si="58"/>
        <v>ACCT#72-5613 / 01032022</v>
      </c>
      <c r="G2503" t="str">
        <f t="shared" si="57"/>
        <v>ACCT#72-5613 / 01032022</v>
      </c>
      <c r="H2503" s="4">
        <v>75</v>
      </c>
    </row>
    <row r="2504" spans="1:8" x14ac:dyDescent="0.25">
      <c r="A2504" t="s">
        <v>464</v>
      </c>
      <c r="B2504">
        <v>1561</v>
      </c>
      <c r="C2504" s="4">
        <v>23.99</v>
      </c>
      <c r="D2504" s="5">
        <v>44574</v>
      </c>
      <c r="E2504" t="str">
        <f>"202201128282"</f>
        <v>202201128282</v>
      </c>
      <c r="F2504" t="str">
        <f t="shared" si="58"/>
        <v>ACCT#72-5613 / 01032022</v>
      </c>
      <c r="G2504" t="str">
        <f t="shared" si="57"/>
        <v>ACCT#72-5613 / 01032022</v>
      </c>
      <c r="H2504" s="4">
        <v>23.99</v>
      </c>
    </row>
    <row r="2505" spans="1:8" x14ac:dyDescent="0.25">
      <c r="A2505" t="s">
        <v>109</v>
      </c>
      <c r="B2505">
        <v>1547</v>
      </c>
      <c r="C2505" s="4">
        <v>393.9</v>
      </c>
      <c r="D2505" s="5">
        <v>44574</v>
      </c>
      <c r="E2505" t="str">
        <f>"202201128267"</f>
        <v>202201128267</v>
      </c>
      <c r="F2505" t="str">
        <f t="shared" si="58"/>
        <v>ACCT#72-5613 / 01032022</v>
      </c>
      <c r="G2505" t="str">
        <f t="shared" si="58"/>
        <v>ACCT#72-5613 / 01032022</v>
      </c>
      <c r="H2505" s="4">
        <v>393.9</v>
      </c>
    </row>
    <row r="2506" spans="1:8" x14ac:dyDescent="0.25">
      <c r="A2506" t="s">
        <v>465</v>
      </c>
      <c r="B2506">
        <v>1569</v>
      </c>
      <c r="C2506" s="4">
        <v>61.58</v>
      </c>
      <c r="D2506" s="5">
        <v>44574</v>
      </c>
      <c r="E2506" t="str">
        <f>"202201128289"</f>
        <v>202201128289</v>
      </c>
      <c r="F2506" t="str">
        <f t="shared" si="58"/>
        <v>ACCT#72-5613 / 01032022</v>
      </c>
      <c r="G2506" t="str">
        <f t="shared" si="58"/>
        <v>ACCT#72-5613 / 01032022</v>
      </c>
      <c r="H2506" s="4">
        <v>61.58</v>
      </c>
    </row>
    <row r="2507" spans="1:8" x14ac:dyDescent="0.25">
      <c r="A2507" t="s">
        <v>119</v>
      </c>
      <c r="B2507">
        <v>1564</v>
      </c>
      <c r="C2507" s="4">
        <v>50</v>
      </c>
      <c r="D2507" s="5">
        <v>44574</v>
      </c>
      <c r="E2507" t="str">
        <f>"202201128285"</f>
        <v>202201128285</v>
      </c>
      <c r="F2507" t="str">
        <f t="shared" si="58"/>
        <v>ACCT#72-5613 / 01032022</v>
      </c>
      <c r="G2507" t="str">
        <f t="shared" si="58"/>
        <v>ACCT#72-5613 / 01032022</v>
      </c>
      <c r="H2507" s="4">
        <v>50</v>
      </c>
    </row>
    <row r="2508" spans="1:8" x14ac:dyDescent="0.25">
      <c r="A2508" t="s">
        <v>120</v>
      </c>
      <c r="B2508">
        <v>1567</v>
      </c>
      <c r="C2508" s="4">
        <v>449.99</v>
      </c>
      <c r="D2508" s="5">
        <v>44574</v>
      </c>
      <c r="E2508" t="str">
        <f>"202201128287"</f>
        <v>202201128287</v>
      </c>
      <c r="F2508" t="str">
        <f t="shared" si="58"/>
        <v>ACCT#72-5613 / 01032022</v>
      </c>
      <c r="G2508" t="str">
        <f t="shared" si="58"/>
        <v>ACCT#72-5613 / 01032022</v>
      </c>
      <c r="H2508" s="4">
        <v>449.99</v>
      </c>
    </row>
    <row r="2509" spans="1:8" x14ac:dyDescent="0.25">
      <c r="A2509" t="s">
        <v>466</v>
      </c>
      <c r="B2509">
        <v>1558</v>
      </c>
      <c r="C2509" s="4">
        <v>19.170000000000002</v>
      </c>
      <c r="D2509" s="5">
        <v>44574</v>
      </c>
      <c r="E2509" t="str">
        <f>"202201128279"</f>
        <v>202201128279</v>
      </c>
      <c r="F2509" t="str">
        <f t="shared" si="58"/>
        <v>ACCT#72-5613 / 01032022</v>
      </c>
      <c r="G2509" t="str">
        <f t="shared" si="58"/>
        <v>ACCT#72-5613 / 01032022</v>
      </c>
      <c r="H2509" s="4">
        <v>19.170000000000002</v>
      </c>
    </row>
    <row r="2510" spans="1:8" x14ac:dyDescent="0.25">
      <c r="A2510" t="s">
        <v>467</v>
      </c>
      <c r="B2510">
        <v>1559</v>
      </c>
      <c r="C2510" s="4">
        <v>188.09</v>
      </c>
      <c r="D2510" s="5">
        <v>44574</v>
      </c>
      <c r="E2510" t="str">
        <f>"202201128280"</f>
        <v>202201128280</v>
      </c>
      <c r="F2510" t="str">
        <f t="shared" si="58"/>
        <v>ACCT#72-5613 / 01032022</v>
      </c>
      <c r="G2510" t="str">
        <f t="shared" si="58"/>
        <v>ACCT#72-5613 / 01032022</v>
      </c>
      <c r="H2510" s="4">
        <v>188.09</v>
      </c>
    </row>
    <row r="2511" spans="1:8" x14ac:dyDescent="0.25">
      <c r="A2511" t="s">
        <v>468</v>
      </c>
      <c r="B2511">
        <v>1571</v>
      </c>
      <c r="C2511" s="4">
        <v>84.28</v>
      </c>
      <c r="D2511" s="5">
        <v>44574</v>
      </c>
      <c r="E2511" t="str">
        <f>"202201128291"</f>
        <v>202201128291</v>
      </c>
      <c r="F2511" t="str">
        <f t="shared" si="58"/>
        <v>ACCT#72-5613 / 01032022</v>
      </c>
      <c r="G2511" t="str">
        <f t="shared" si="58"/>
        <v>ACCT#72-5613 / 01032022</v>
      </c>
      <c r="H2511" s="4">
        <v>84.28</v>
      </c>
    </row>
    <row r="2512" spans="1:8" x14ac:dyDescent="0.25">
      <c r="A2512" t="s">
        <v>134</v>
      </c>
      <c r="B2512">
        <v>1548</v>
      </c>
      <c r="C2512" s="4">
        <v>460.21</v>
      </c>
      <c r="D2512" s="5">
        <v>44574</v>
      </c>
      <c r="E2512" t="str">
        <f>"202201128268"</f>
        <v>202201128268</v>
      </c>
      <c r="F2512" t="str">
        <f t="shared" si="58"/>
        <v>ACCT#72-5613 / 01032022</v>
      </c>
      <c r="G2512" t="str">
        <f t="shared" si="58"/>
        <v>ACCT#72-5613 / 01032022</v>
      </c>
      <c r="H2512" s="4">
        <v>216.44</v>
      </c>
    </row>
    <row r="2513" spans="1:8" x14ac:dyDescent="0.25">
      <c r="E2513" t="str">
        <f>""</f>
        <v/>
      </c>
      <c r="F2513" t="str">
        <f>""</f>
        <v/>
      </c>
      <c r="G2513" t="str">
        <f t="shared" si="58"/>
        <v>ACCT#72-5613 / 01032022</v>
      </c>
      <c r="H2513" s="4">
        <v>243.77</v>
      </c>
    </row>
    <row r="2514" spans="1:8" x14ac:dyDescent="0.25">
      <c r="A2514" t="s">
        <v>469</v>
      </c>
      <c r="B2514">
        <v>1565</v>
      </c>
      <c r="C2514" s="4">
        <v>122.46</v>
      </c>
      <c r="D2514" s="5">
        <v>44574</v>
      </c>
      <c r="E2514" t="str">
        <f>"202201128286"</f>
        <v>202201128286</v>
      </c>
      <c r="F2514" t="str">
        <f>"ACCT#72-5613 / 01032022"</f>
        <v>ACCT#72-5613 / 01032022</v>
      </c>
      <c r="G2514" t="str">
        <f t="shared" si="58"/>
        <v>ACCT#72-5613 / 01032022</v>
      </c>
      <c r="H2514" s="4">
        <v>122.46</v>
      </c>
    </row>
    <row r="2515" spans="1:8" x14ac:dyDescent="0.25">
      <c r="A2515" t="s">
        <v>169</v>
      </c>
      <c r="B2515">
        <v>1545</v>
      </c>
      <c r="C2515" s="4">
        <v>221.08</v>
      </c>
      <c r="D2515" s="5">
        <v>44574</v>
      </c>
      <c r="E2515" t="str">
        <f>"202201128265"</f>
        <v>202201128265</v>
      </c>
      <c r="F2515" t="str">
        <f>"ACCT#72-5613 / 01032022"</f>
        <v>ACCT#72-5613 / 01032022</v>
      </c>
      <c r="G2515" t="str">
        <f t="shared" si="58"/>
        <v>ACCT#72-5613 / 01032022</v>
      </c>
      <c r="H2515" s="4">
        <v>2.17</v>
      </c>
    </row>
    <row r="2516" spans="1:8" x14ac:dyDescent="0.25">
      <c r="E2516" t="str">
        <f>""</f>
        <v/>
      </c>
      <c r="F2516" t="str">
        <f>""</f>
        <v/>
      </c>
      <c r="G2516" t="str">
        <f t="shared" si="58"/>
        <v>ACCT#72-5613 / 01032022</v>
      </c>
      <c r="H2516" s="4">
        <v>72.959999999999994</v>
      </c>
    </row>
    <row r="2517" spans="1:8" x14ac:dyDescent="0.25">
      <c r="E2517" t="str">
        <f>""</f>
        <v/>
      </c>
      <c r="F2517" t="str">
        <f>""</f>
        <v/>
      </c>
      <c r="G2517" t="str">
        <f t="shared" si="58"/>
        <v>ACCT#72-5613 / 01032022</v>
      </c>
      <c r="H2517" s="4">
        <v>145.94999999999999</v>
      </c>
    </row>
    <row r="2518" spans="1:8" x14ac:dyDescent="0.25">
      <c r="A2518" t="s">
        <v>470</v>
      </c>
      <c r="B2518">
        <v>1546</v>
      </c>
      <c r="C2518" s="4">
        <v>21.31</v>
      </c>
      <c r="D2518" s="5">
        <v>44574</v>
      </c>
      <c r="E2518" t="str">
        <f>"202201128266"</f>
        <v>202201128266</v>
      </c>
      <c r="F2518" t="str">
        <f t="shared" ref="F2518:G2529" si="59">"ACCT#72-5613 / 01032022"</f>
        <v>ACCT#72-5613 / 01032022</v>
      </c>
      <c r="G2518" t="str">
        <f t="shared" si="59"/>
        <v>ACCT#72-5613 / 01032022</v>
      </c>
      <c r="H2518" s="4">
        <v>21.31</v>
      </c>
    </row>
    <row r="2519" spans="1:8" x14ac:dyDescent="0.25">
      <c r="A2519" t="s">
        <v>339</v>
      </c>
      <c r="B2519">
        <v>1552</v>
      </c>
      <c r="C2519" s="4">
        <v>4.59</v>
      </c>
      <c r="D2519" s="5">
        <v>44574</v>
      </c>
      <c r="E2519" t="str">
        <f>"202201128273"</f>
        <v>202201128273</v>
      </c>
      <c r="F2519" t="str">
        <f t="shared" si="59"/>
        <v>ACCT#72-5613 / 01032022</v>
      </c>
      <c r="G2519" t="str">
        <f t="shared" si="59"/>
        <v>ACCT#72-5613 / 01032022</v>
      </c>
      <c r="H2519" s="4">
        <v>4.59</v>
      </c>
    </row>
    <row r="2520" spans="1:8" x14ac:dyDescent="0.25">
      <c r="A2520" t="s">
        <v>471</v>
      </c>
      <c r="B2520">
        <v>1563</v>
      </c>
      <c r="C2520" s="4">
        <v>67.2</v>
      </c>
      <c r="D2520" s="5">
        <v>44574</v>
      </c>
      <c r="E2520" t="str">
        <f>"202201128284"</f>
        <v>202201128284</v>
      </c>
      <c r="F2520" t="str">
        <f t="shared" si="59"/>
        <v>ACCT#72-5613 / 01032022</v>
      </c>
      <c r="G2520" t="str">
        <f t="shared" si="59"/>
        <v>ACCT#72-5613 / 01032022</v>
      </c>
      <c r="H2520" s="4">
        <v>67.2</v>
      </c>
    </row>
    <row r="2521" spans="1:8" x14ac:dyDescent="0.25">
      <c r="A2521" t="s">
        <v>472</v>
      </c>
      <c r="B2521">
        <v>1556</v>
      </c>
      <c r="C2521" s="4">
        <v>19.989999999999998</v>
      </c>
      <c r="D2521" s="5">
        <v>44574</v>
      </c>
      <c r="E2521" t="str">
        <f>"202201128277"</f>
        <v>202201128277</v>
      </c>
      <c r="F2521" t="str">
        <f t="shared" si="59"/>
        <v>ACCT#72-5613 / 01032022</v>
      </c>
      <c r="G2521" t="str">
        <f t="shared" si="59"/>
        <v>ACCT#72-5613 / 01032022</v>
      </c>
      <c r="H2521" s="4">
        <v>19.989999999999998</v>
      </c>
    </row>
    <row r="2522" spans="1:8" x14ac:dyDescent="0.25">
      <c r="A2522" t="s">
        <v>473</v>
      </c>
      <c r="B2522">
        <v>1553</v>
      </c>
      <c r="C2522" s="4">
        <v>18</v>
      </c>
      <c r="D2522" s="5">
        <v>44574</v>
      </c>
      <c r="E2522" t="str">
        <f>"202201128274"</f>
        <v>202201128274</v>
      </c>
      <c r="F2522" t="str">
        <f t="shared" si="59"/>
        <v>ACCT#72-5613 / 01032022</v>
      </c>
      <c r="G2522" t="str">
        <f t="shared" si="59"/>
        <v>ACCT#72-5613 / 01032022</v>
      </c>
      <c r="H2522" s="4">
        <v>18</v>
      </c>
    </row>
    <row r="2523" spans="1:8" x14ac:dyDescent="0.25">
      <c r="A2523" t="s">
        <v>474</v>
      </c>
      <c r="B2523">
        <v>1560</v>
      </c>
      <c r="C2523" s="4">
        <v>399</v>
      </c>
      <c r="D2523" s="5">
        <v>44574</v>
      </c>
      <c r="E2523" t="str">
        <f>"202201128281"</f>
        <v>202201128281</v>
      </c>
      <c r="F2523" t="str">
        <f t="shared" si="59"/>
        <v>ACCT#72-5613 / 01032022</v>
      </c>
      <c r="G2523" t="str">
        <f t="shared" si="59"/>
        <v>ACCT#72-5613 / 01032022</v>
      </c>
      <c r="H2523" s="4">
        <v>399</v>
      </c>
    </row>
    <row r="2524" spans="1:8" x14ac:dyDescent="0.25">
      <c r="A2524" t="s">
        <v>475</v>
      </c>
      <c r="B2524">
        <v>1570</v>
      </c>
      <c r="C2524" s="4">
        <v>371.11</v>
      </c>
      <c r="D2524" s="5">
        <v>44574</v>
      </c>
      <c r="E2524" t="str">
        <f>"202201128290"</f>
        <v>202201128290</v>
      </c>
      <c r="F2524" t="str">
        <f t="shared" si="59"/>
        <v>ACCT#72-5613 / 01032022</v>
      </c>
      <c r="G2524" t="str">
        <f t="shared" si="59"/>
        <v>ACCT#72-5613 / 01032022</v>
      </c>
      <c r="H2524" s="4">
        <v>41.12</v>
      </c>
    </row>
    <row r="2525" spans="1:8" x14ac:dyDescent="0.25">
      <c r="E2525" t="str">
        <f>""</f>
        <v/>
      </c>
      <c r="F2525" t="str">
        <f>""</f>
        <v/>
      </c>
      <c r="G2525" t="str">
        <f t="shared" si="59"/>
        <v>ACCT#72-5613 / 01032022</v>
      </c>
      <c r="H2525" s="4">
        <v>329.99</v>
      </c>
    </row>
    <row r="2526" spans="1:8" x14ac:dyDescent="0.25">
      <c r="A2526" t="s">
        <v>476</v>
      </c>
      <c r="B2526">
        <v>1550</v>
      </c>
      <c r="C2526" s="4">
        <v>108.54</v>
      </c>
      <c r="D2526" s="5">
        <v>44574</v>
      </c>
      <c r="E2526" t="str">
        <f>"202201128270"</f>
        <v>202201128270</v>
      </c>
      <c r="F2526" t="str">
        <f>"ACCT#72-5613 / 01032022"</f>
        <v>ACCT#72-5613 / 01032022</v>
      </c>
      <c r="G2526" t="str">
        <f t="shared" si="59"/>
        <v>ACCT#72-5613 / 01032022</v>
      </c>
      <c r="H2526" s="4">
        <v>87.68</v>
      </c>
    </row>
    <row r="2527" spans="1:8" x14ac:dyDescent="0.25">
      <c r="E2527" t="str">
        <f>""</f>
        <v/>
      </c>
      <c r="F2527" t="str">
        <f>""</f>
        <v/>
      </c>
      <c r="G2527" t="str">
        <f t="shared" si="59"/>
        <v>ACCT#72-5613 / 01032022</v>
      </c>
      <c r="H2527" s="4">
        <v>20.86</v>
      </c>
    </row>
    <row r="2528" spans="1:8" x14ac:dyDescent="0.25">
      <c r="A2528" t="s">
        <v>109</v>
      </c>
      <c r="B2528">
        <v>1572</v>
      </c>
      <c r="C2528" s="4">
        <v>3950.56</v>
      </c>
      <c r="D2528" s="5">
        <v>44574</v>
      </c>
      <c r="E2528" t="str">
        <f>"202201128292"</f>
        <v>202201128292</v>
      </c>
      <c r="F2528" t="str">
        <f>"ACCT#72-5613 / 01032022"</f>
        <v>ACCT#72-5613 / 01032022</v>
      </c>
      <c r="G2528" t="str">
        <f t="shared" si="59"/>
        <v>ACCT#72-5613 / 01032022</v>
      </c>
      <c r="H2528" s="4">
        <v>3950.56</v>
      </c>
    </row>
    <row r="2529" spans="1:8" x14ac:dyDescent="0.25">
      <c r="A2529" t="s">
        <v>476</v>
      </c>
      <c r="B2529">
        <v>1573</v>
      </c>
      <c r="C2529" s="4">
        <v>104.06</v>
      </c>
      <c r="D2529" s="5">
        <v>44574</v>
      </c>
      <c r="E2529" t="str">
        <f>"202201128293"</f>
        <v>202201128293</v>
      </c>
      <c r="F2529" t="str">
        <f>"ACCT#72-5613 / 01032022"</f>
        <v>ACCT#72-5613 / 01032022</v>
      </c>
      <c r="G2529" t="str">
        <f t="shared" si="59"/>
        <v>ACCT#72-5613 / 01032022</v>
      </c>
      <c r="H2529" s="4">
        <v>104.06</v>
      </c>
    </row>
    <row r="2530" spans="1:8" ht="15.75" thickBot="1" x14ac:dyDescent="0.3">
      <c r="C2530" s="7">
        <f>SUM(C2:C2529)</f>
        <v>3962727.5700000008</v>
      </c>
      <c r="H2530" s="7">
        <f>SUM(H2:H2529)</f>
        <v>3962727.5699999989</v>
      </c>
    </row>
    <row r="2531" spans="1:8" ht="15.75" thickTop="1" x14ac:dyDescent="0.25"/>
  </sheetData>
  <autoFilter ref="A1:H253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2022-02-28T20:26:58Z</dcterms:created>
  <dcterms:modified xsi:type="dcterms:W3CDTF">2022-02-28T20:27:28Z</dcterms:modified>
</cp:coreProperties>
</file>