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300"/>
  </bookViews>
  <sheets>
    <sheet name="February 2022" sheetId="1" r:id="rId1"/>
  </sheets>
  <definedNames>
    <definedName name="_xlnm._FilterDatabase" localSheetId="0" hidden="1">'February 2022'!$A$1:$Z$1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72" i="1" l="1"/>
  <c r="E2872" i="1"/>
  <c r="J2871" i="1"/>
  <c r="H2871" i="1"/>
  <c r="G2871" i="1"/>
  <c r="B2871" i="1"/>
  <c r="A2871" i="1"/>
  <c r="J2870" i="1"/>
  <c r="H2870" i="1"/>
  <c r="G2870" i="1"/>
  <c r="B2870" i="1"/>
  <c r="A2870" i="1"/>
  <c r="J2869" i="1"/>
  <c r="H2869" i="1"/>
  <c r="G2869" i="1"/>
  <c r="B2869" i="1"/>
  <c r="A2869" i="1"/>
  <c r="J2868" i="1"/>
  <c r="H2868" i="1"/>
  <c r="G2868" i="1"/>
  <c r="B2868" i="1"/>
  <c r="A2868" i="1"/>
  <c r="J2867" i="1"/>
  <c r="H2867" i="1"/>
  <c r="G2867" i="1"/>
  <c r="B2867" i="1"/>
  <c r="A2867" i="1"/>
  <c r="J2866" i="1"/>
  <c r="H2866" i="1"/>
  <c r="G2866" i="1"/>
  <c r="B2866" i="1"/>
  <c r="A2866" i="1"/>
  <c r="J2865" i="1"/>
  <c r="H2865" i="1"/>
  <c r="G2865" i="1"/>
  <c r="B2865" i="1"/>
  <c r="A2865" i="1"/>
  <c r="J2864" i="1"/>
  <c r="H2864" i="1"/>
  <c r="G2864" i="1"/>
  <c r="B2864" i="1"/>
  <c r="A2864" i="1"/>
  <c r="J2863" i="1"/>
  <c r="H2863" i="1"/>
  <c r="G2863" i="1"/>
  <c r="B2863" i="1"/>
  <c r="A2863" i="1"/>
  <c r="J2862" i="1"/>
  <c r="H2862" i="1"/>
  <c r="G2862" i="1"/>
  <c r="B2862" i="1"/>
  <c r="A2862" i="1"/>
  <c r="J2861" i="1"/>
  <c r="H2861" i="1"/>
  <c r="G2861" i="1"/>
  <c r="B2861" i="1"/>
  <c r="A2861" i="1"/>
  <c r="J2860" i="1"/>
  <c r="H2860" i="1"/>
  <c r="G2860" i="1"/>
  <c r="B2860" i="1"/>
  <c r="A2860" i="1"/>
  <c r="J2859" i="1"/>
  <c r="H2859" i="1"/>
  <c r="G2859" i="1"/>
  <c r="B2859" i="1"/>
  <c r="A2859" i="1"/>
  <c r="J2858" i="1"/>
  <c r="H2858" i="1"/>
  <c r="G2858" i="1"/>
  <c r="B2858" i="1"/>
  <c r="A2858" i="1"/>
  <c r="J2857" i="1"/>
  <c r="H2857" i="1"/>
  <c r="G2857" i="1"/>
  <c r="B2857" i="1"/>
  <c r="A2857" i="1"/>
  <c r="J2856" i="1"/>
  <c r="H2856" i="1"/>
  <c r="G2856" i="1"/>
  <c r="B2856" i="1"/>
  <c r="A2856" i="1"/>
  <c r="J2855" i="1"/>
  <c r="H2855" i="1"/>
  <c r="G2855" i="1"/>
  <c r="B2855" i="1"/>
  <c r="A2855" i="1"/>
  <c r="J2854" i="1"/>
  <c r="H2854" i="1"/>
  <c r="G2854" i="1"/>
  <c r="B2854" i="1"/>
  <c r="A2854" i="1"/>
  <c r="J2853" i="1"/>
  <c r="H2853" i="1"/>
  <c r="G2853" i="1"/>
  <c r="B2853" i="1"/>
  <c r="A2853" i="1"/>
  <c r="J2852" i="1"/>
  <c r="H2852" i="1"/>
  <c r="G2852" i="1"/>
  <c r="B2852" i="1"/>
  <c r="A2852" i="1"/>
  <c r="J2851" i="1"/>
  <c r="H2851" i="1"/>
  <c r="G2851" i="1"/>
  <c r="B2851" i="1"/>
  <c r="A2851" i="1"/>
  <c r="J2850" i="1"/>
  <c r="H2850" i="1"/>
  <c r="G2850" i="1"/>
  <c r="B2850" i="1"/>
  <c r="A2850" i="1"/>
  <c r="J2849" i="1"/>
  <c r="H2849" i="1"/>
  <c r="G2849" i="1"/>
  <c r="B2849" i="1"/>
  <c r="A2849" i="1"/>
  <c r="J2848" i="1"/>
  <c r="H2848" i="1"/>
  <c r="G2848" i="1"/>
  <c r="B2848" i="1"/>
  <c r="A2848" i="1"/>
  <c r="J2847" i="1"/>
  <c r="H2847" i="1"/>
  <c r="G2847" i="1"/>
  <c r="B2847" i="1"/>
  <c r="A2847" i="1"/>
  <c r="J2846" i="1"/>
  <c r="H2846" i="1"/>
  <c r="G2846" i="1"/>
  <c r="B2846" i="1"/>
  <c r="A2846" i="1"/>
  <c r="J2845" i="1"/>
  <c r="H2845" i="1"/>
  <c r="G2845" i="1"/>
  <c r="B2845" i="1"/>
  <c r="A2845" i="1"/>
  <c r="J2844" i="1"/>
  <c r="H2844" i="1"/>
  <c r="G2844" i="1"/>
  <c r="B2844" i="1"/>
  <c r="A2844" i="1"/>
  <c r="J2843" i="1"/>
  <c r="H2843" i="1"/>
  <c r="G2843" i="1"/>
  <c r="B2843" i="1"/>
  <c r="A2843" i="1"/>
  <c r="J2842" i="1"/>
  <c r="H2842" i="1"/>
  <c r="G2842" i="1"/>
  <c r="B2842" i="1"/>
  <c r="A2842" i="1"/>
  <c r="J2841" i="1"/>
  <c r="H2841" i="1"/>
  <c r="G2841" i="1"/>
  <c r="B2841" i="1"/>
  <c r="A2841" i="1"/>
  <c r="J2840" i="1"/>
  <c r="H2840" i="1"/>
  <c r="G2840" i="1"/>
  <c r="B2840" i="1"/>
  <c r="A2840" i="1"/>
  <c r="J2839" i="1"/>
  <c r="H2839" i="1"/>
  <c r="G2839" i="1"/>
  <c r="B2839" i="1"/>
  <c r="A2839" i="1"/>
  <c r="J2838" i="1"/>
  <c r="H2838" i="1"/>
  <c r="G2838" i="1"/>
  <c r="B2838" i="1"/>
  <c r="A2838" i="1"/>
  <c r="J2837" i="1"/>
  <c r="H2837" i="1"/>
  <c r="G2837" i="1"/>
  <c r="B2837" i="1"/>
  <c r="A2837" i="1"/>
  <c r="J2836" i="1"/>
  <c r="H2836" i="1"/>
  <c r="G2836" i="1"/>
  <c r="B2836" i="1"/>
  <c r="A2836" i="1"/>
  <c r="J2835" i="1"/>
  <c r="H2835" i="1"/>
  <c r="G2835" i="1"/>
  <c r="B2835" i="1"/>
  <c r="A2835" i="1"/>
  <c r="J2834" i="1"/>
  <c r="H2834" i="1"/>
  <c r="G2834" i="1"/>
  <c r="B2834" i="1"/>
  <c r="A2834" i="1"/>
  <c r="J2833" i="1"/>
  <c r="H2833" i="1"/>
  <c r="G2833" i="1"/>
  <c r="B2833" i="1"/>
  <c r="A2833" i="1"/>
  <c r="J2832" i="1"/>
  <c r="H2832" i="1"/>
  <c r="G2832" i="1"/>
  <c r="B2832" i="1"/>
  <c r="A2832" i="1"/>
  <c r="J2831" i="1"/>
  <c r="H2831" i="1"/>
  <c r="G2831" i="1"/>
  <c r="B2831" i="1"/>
  <c r="A2831" i="1"/>
  <c r="J2830" i="1"/>
  <c r="H2830" i="1"/>
  <c r="G2830" i="1"/>
  <c r="B2830" i="1"/>
  <c r="A2830" i="1"/>
  <c r="J2829" i="1"/>
  <c r="H2829" i="1"/>
  <c r="G2829" i="1"/>
  <c r="B2829" i="1"/>
  <c r="A2829" i="1"/>
  <c r="J2828" i="1"/>
  <c r="H2828" i="1"/>
  <c r="G2828" i="1"/>
  <c r="B2828" i="1"/>
  <c r="A2828" i="1"/>
  <c r="J2827" i="1"/>
  <c r="H2827" i="1"/>
  <c r="G2827" i="1"/>
  <c r="B2827" i="1"/>
  <c r="A2827" i="1"/>
  <c r="J2826" i="1"/>
  <c r="H2826" i="1"/>
  <c r="G2826" i="1"/>
  <c r="B2826" i="1"/>
  <c r="A2826" i="1"/>
  <c r="J2825" i="1"/>
  <c r="H2825" i="1"/>
  <c r="G2825" i="1"/>
  <c r="B2825" i="1"/>
  <c r="A2825" i="1"/>
  <c r="J2824" i="1"/>
  <c r="H2824" i="1"/>
  <c r="G2824" i="1"/>
  <c r="B2824" i="1"/>
  <c r="A2824" i="1"/>
  <c r="J2823" i="1"/>
  <c r="H2823" i="1"/>
  <c r="G2823" i="1"/>
  <c r="B2823" i="1"/>
  <c r="A2823" i="1"/>
  <c r="J2822" i="1"/>
  <c r="H2822" i="1"/>
  <c r="G2822" i="1"/>
  <c r="B2822" i="1"/>
  <c r="A2822" i="1"/>
  <c r="J2821" i="1"/>
  <c r="H2821" i="1"/>
  <c r="G2821" i="1"/>
  <c r="B2821" i="1"/>
  <c r="A2821" i="1"/>
  <c r="J2820" i="1"/>
  <c r="H2820" i="1"/>
  <c r="G2820" i="1"/>
  <c r="B2820" i="1"/>
  <c r="A2820" i="1"/>
  <c r="J2819" i="1"/>
  <c r="H2819" i="1"/>
  <c r="G2819" i="1"/>
  <c r="B2819" i="1"/>
  <c r="A2819" i="1"/>
  <c r="J2818" i="1"/>
  <c r="H2818" i="1"/>
  <c r="G2818" i="1"/>
  <c r="B2818" i="1"/>
  <c r="A2818" i="1"/>
  <c r="J2817" i="1"/>
  <c r="H2817" i="1"/>
  <c r="G2817" i="1"/>
  <c r="B2817" i="1"/>
  <c r="A2817" i="1"/>
  <c r="J2816" i="1"/>
  <c r="H2816" i="1"/>
  <c r="G2816" i="1"/>
  <c r="B2816" i="1"/>
  <c r="A2816" i="1"/>
  <c r="J2815" i="1"/>
  <c r="H2815" i="1"/>
  <c r="G2815" i="1"/>
  <c r="B2815" i="1"/>
  <c r="A2815" i="1"/>
  <c r="J2814" i="1"/>
  <c r="H2814" i="1"/>
  <c r="G2814" i="1"/>
  <c r="B2814" i="1"/>
  <c r="A2814" i="1"/>
  <c r="J2813" i="1"/>
  <c r="H2813" i="1"/>
  <c r="G2813" i="1"/>
  <c r="B2813" i="1"/>
  <c r="A2813" i="1"/>
  <c r="J2812" i="1"/>
  <c r="H2812" i="1"/>
  <c r="G2812" i="1"/>
  <c r="B2812" i="1"/>
  <c r="A2812" i="1"/>
  <c r="J2811" i="1"/>
  <c r="H2811" i="1"/>
  <c r="G2811" i="1"/>
  <c r="B2811" i="1"/>
  <c r="A2811" i="1"/>
  <c r="J2810" i="1"/>
  <c r="H2810" i="1"/>
  <c r="G2810" i="1"/>
  <c r="B2810" i="1"/>
  <c r="A2810" i="1"/>
  <c r="J2809" i="1"/>
  <c r="H2809" i="1"/>
  <c r="G2809" i="1"/>
  <c r="B2809" i="1"/>
  <c r="A2809" i="1"/>
  <c r="J2808" i="1"/>
  <c r="H2808" i="1"/>
  <c r="G2808" i="1"/>
  <c r="B2808" i="1"/>
  <c r="A2808" i="1"/>
  <c r="J2807" i="1"/>
  <c r="H2807" i="1"/>
  <c r="G2807" i="1"/>
  <c r="B2807" i="1"/>
  <c r="A2807" i="1"/>
  <c r="J2806" i="1"/>
  <c r="H2806" i="1"/>
  <c r="G2806" i="1"/>
  <c r="B2806" i="1"/>
  <c r="A2806" i="1"/>
  <c r="J2805" i="1"/>
  <c r="H2805" i="1"/>
  <c r="G2805" i="1"/>
  <c r="B2805" i="1"/>
  <c r="A2805" i="1"/>
  <c r="J2804" i="1"/>
  <c r="H2804" i="1"/>
  <c r="G2804" i="1"/>
  <c r="B2804" i="1"/>
  <c r="A2804" i="1"/>
  <c r="J2803" i="1"/>
  <c r="H2803" i="1"/>
  <c r="G2803" i="1"/>
  <c r="B2803" i="1"/>
  <c r="A2803" i="1"/>
  <c r="J2802" i="1"/>
  <c r="H2802" i="1"/>
  <c r="G2802" i="1"/>
  <c r="B2802" i="1"/>
  <c r="A2802" i="1"/>
  <c r="J2801" i="1"/>
  <c r="H2801" i="1"/>
  <c r="G2801" i="1"/>
  <c r="B2801" i="1"/>
  <c r="A2801" i="1"/>
  <c r="J2800" i="1"/>
  <c r="H2800" i="1"/>
  <c r="G2800" i="1"/>
  <c r="B2800" i="1"/>
  <c r="A2800" i="1"/>
  <c r="J2799" i="1"/>
  <c r="H2799" i="1"/>
  <c r="G2799" i="1"/>
  <c r="B2799" i="1"/>
  <c r="A2799" i="1"/>
  <c r="J2798" i="1"/>
  <c r="H2798" i="1"/>
  <c r="G2798" i="1"/>
  <c r="B2798" i="1"/>
  <c r="A2798" i="1"/>
  <c r="J2797" i="1"/>
  <c r="H2797" i="1"/>
  <c r="G2797" i="1"/>
  <c r="B2797" i="1"/>
  <c r="A2797" i="1"/>
  <c r="J2796" i="1"/>
  <c r="H2796" i="1"/>
  <c r="G2796" i="1"/>
  <c r="B2796" i="1"/>
  <c r="A2796" i="1"/>
  <c r="J2795" i="1"/>
  <c r="H2795" i="1"/>
  <c r="G2795" i="1"/>
  <c r="B2795" i="1"/>
  <c r="A2795" i="1"/>
  <c r="J2794" i="1"/>
  <c r="H2794" i="1"/>
  <c r="G2794" i="1"/>
  <c r="B2794" i="1"/>
  <c r="A2794" i="1"/>
  <c r="J2793" i="1"/>
  <c r="H2793" i="1"/>
  <c r="G2793" i="1"/>
  <c r="B2793" i="1"/>
  <c r="A2793" i="1"/>
  <c r="J2792" i="1"/>
  <c r="H2792" i="1"/>
  <c r="G2792" i="1"/>
  <c r="B2792" i="1"/>
  <c r="A2792" i="1"/>
  <c r="J2791" i="1"/>
  <c r="H2791" i="1"/>
  <c r="G2791" i="1"/>
  <c r="B2791" i="1"/>
  <c r="A2791" i="1"/>
  <c r="J2790" i="1"/>
  <c r="H2790" i="1"/>
  <c r="G2790" i="1"/>
  <c r="B2790" i="1"/>
  <c r="A2790" i="1"/>
  <c r="J2789" i="1"/>
  <c r="H2789" i="1"/>
  <c r="G2789" i="1"/>
  <c r="B2789" i="1"/>
  <c r="A2789" i="1"/>
  <c r="J2788" i="1"/>
  <c r="H2788" i="1"/>
  <c r="G2788" i="1"/>
  <c r="B2788" i="1"/>
  <c r="A2788" i="1"/>
  <c r="J2787" i="1"/>
  <c r="H2787" i="1"/>
  <c r="G2787" i="1"/>
  <c r="B2787" i="1"/>
  <c r="A2787" i="1"/>
  <c r="J2786" i="1"/>
  <c r="H2786" i="1"/>
  <c r="G2786" i="1"/>
  <c r="B2786" i="1"/>
  <c r="A2786" i="1"/>
  <c r="J2785" i="1"/>
  <c r="H2785" i="1"/>
  <c r="G2785" i="1"/>
  <c r="B2785" i="1"/>
  <c r="A2785" i="1"/>
  <c r="J2784" i="1"/>
  <c r="H2784" i="1"/>
  <c r="G2784" i="1"/>
  <c r="B2784" i="1"/>
  <c r="A2784" i="1"/>
  <c r="J2783" i="1"/>
  <c r="H2783" i="1"/>
  <c r="G2783" i="1"/>
  <c r="B2783" i="1"/>
  <c r="A2783" i="1"/>
  <c r="J2782" i="1"/>
  <c r="H2782" i="1"/>
  <c r="G2782" i="1"/>
  <c r="B2782" i="1"/>
  <c r="A2782" i="1"/>
  <c r="J2781" i="1"/>
  <c r="H2781" i="1"/>
  <c r="G2781" i="1"/>
  <c r="B2781" i="1"/>
  <c r="A2781" i="1"/>
  <c r="J2780" i="1"/>
  <c r="H2780" i="1"/>
  <c r="G2780" i="1"/>
  <c r="B2780" i="1"/>
  <c r="A2780" i="1"/>
  <c r="J2779" i="1"/>
  <c r="H2779" i="1"/>
  <c r="G2779" i="1"/>
  <c r="B2779" i="1"/>
  <c r="A2779" i="1"/>
  <c r="J2778" i="1"/>
  <c r="H2778" i="1"/>
  <c r="G2778" i="1"/>
  <c r="B2778" i="1"/>
  <c r="A2778" i="1"/>
  <c r="J2777" i="1"/>
  <c r="H2777" i="1"/>
  <c r="G2777" i="1"/>
  <c r="B2777" i="1"/>
  <c r="A2777" i="1"/>
  <c r="J2776" i="1"/>
  <c r="H2776" i="1"/>
  <c r="G2776" i="1"/>
  <c r="B2776" i="1"/>
  <c r="A2776" i="1"/>
  <c r="J2775" i="1"/>
  <c r="H2775" i="1"/>
  <c r="G2775" i="1"/>
  <c r="B2775" i="1"/>
  <c r="A2775" i="1"/>
  <c r="J2774" i="1"/>
  <c r="H2774" i="1"/>
  <c r="G2774" i="1"/>
  <c r="B2774" i="1"/>
  <c r="A2774" i="1"/>
  <c r="J2773" i="1"/>
  <c r="H2773" i="1"/>
  <c r="G2773" i="1"/>
  <c r="B2773" i="1"/>
  <c r="A2773" i="1"/>
  <c r="J2772" i="1"/>
  <c r="H2772" i="1"/>
  <c r="G2772" i="1"/>
  <c r="B2772" i="1"/>
  <c r="A2772" i="1"/>
  <c r="J2771" i="1"/>
  <c r="H2771" i="1"/>
  <c r="G2771" i="1"/>
  <c r="B2771" i="1"/>
  <c r="A2771" i="1"/>
  <c r="J2770" i="1"/>
  <c r="H2770" i="1"/>
  <c r="G2770" i="1"/>
  <c r="B2770" i="1"/>
  <c r="A2770" i="1"/>
  <c r="J2769" i="1"/>
  <c r="H2769" i="1"/>
  <c r="G2769" i="1"/>
  <c r="B2769" i="1"/>
  <c r="A2769" i="1"/>
  <c r="J2768" i="1"/>
  <c r="H2768" i="1"/>
  <c r="G2768" i="1"/>
  <c r="B2768" i="1"/>
  <c r="A2768" i="1"/>
  <c r="J2767" i="1"/>
  <c r="H2767" i="1"/>
  <c r="G2767" i="1"/>
  <c r="B2767" i="1"/>
  <c r="A2767" i="1"/>
  <c r="J2766" i="1"/>
  <c r="H2766" i="1"/>
  <c r="G2766" i="1"/>
  <c r="B2766" i="1"/>
  <c r="A2766" i="1"/>
  <c r="J2765" i="1"/>
  <c r="H2765" i="1"/>
  <c r="G2765" i="1"/>
  <c r="B2765" i="1"/>
  <c r="A2765" i="1"/>
  <c r="J2764" i="1"/>
  <c r="H2764" i="1"/>
  <c r="G2764" i="1"/>
  <c r="B2764" i="1"/>
  <c r="A2764" i="1"/>
  <c r="J2763" i="1"/>
  <c r="H2763" i="1"/>
  <c r="G2763" i="1"/>
  <c r="B2763" i="1"/>
  <c r="A2763" i="1"/>
  <c r="J2762" i="1"/>
  <c r="H2762" i="1"/>
  <c r="G2762" i="1"/>
  <c r="B2762" i="1"/>
  <c r="A2762" i="1"/>
  <c r="J2761" i="1"/>
  <c r="H2761" i="1"/>
  <c r="G2761" i="1"/>
  <c r="B2761" i="1"/>
  <c r="A2761" i="1"/>
  <c r="J2760" i="1"/>
  <c r="H2760" i="1"/>
  <c r="G2760" i="1"/>
  <c r="B2760" i="1"/>
  <c r="A2760" i="1"/>
  <c r="J2759" i="1"/>
  <c r="H2759" i="1"/>
  <c r="G2759" i="1"/>
  <c r="B2759" i="1"/>
  <c r="A2759" i="1"/>
  <c r="J2758" i="1"/>
  <c r="H2758" i="1"/>
  <c r="G2758" i="1"/>
  <c r="B2758" i="1"/>
  <c r="A2758" i="1"/>
  <c r="J2757" i="1"/>
  <c r="H2757" i="1"/>
  <c r="G2757" i="1"/>
  <c r="B2757" i="1"/>
  <c r="A2757" i="1"/>
  <c r="J2756" i="1"/>
  <c r="H2756" i="1"/>
  <c r="G2756" i="1"/>
  <c r="B2756" i="1"/>
  <c r="A2756" i="1"/>
  <c r="J2755" i="1"/>
  <c r="H2755" i="1"/>
  <c r="G2755" i="1"/>
  <c r="B2755" i="1"/>
  <c r="A2755" i="1"/>
  <c r="J2754" i="1"/>
  <c r="H2754" i="1"/>
  <c r="G2754" i="1"/>
  <c r="B2754" i="1"/>
  <c r="A2754" i="1"/>
  <c r="J2753" i="1"/>
  <c r="H2753" i="1"/>
  <c r="G2753" i="1"/>
  <c r="B2753" i="1"/>
  <c r="A2753" i="1"/>
  <c r="J2752" i="1"/>
  <c r="H2752" i="1"/>
  <c r="G2752" i="1"/>
  <c r="B2752" i="1"/>
  <c r="A2752" i="1"/>
  <c r="J2751" i="1"/>
  <c r="H2751" i="1"/>
  <c r="G2751" i="1"/>
  <c r="B2751" i="1"/>
  <c r="A2751" i="1"/>
  <c r="J2750" i="1"/>
  <c r="H2750" i="1"/>
  <c r="G2750" i="1"/>
  <c r="B2750" i="1"/>
  <c r="A2750" i="1"/>
  <c r="J2749" i="1"/>
  <c r="H2749" i="1"/>
  <c r="G2749" i="1"/>
  <c r="B2749" i="1"/>
  <c r="A2749" i="1"/>
  <c r="J2748" i="1"/>
  <c r="H2748" i="1"/>
  <c r="G2748" i="1"/>
  <c r="B2748" i="1"/>
  <c r="A2748" i="1"/>
  <c r="J2747" i="1"/>
  <c r="H2747" i="1"/>
  <c r="G2747" i="1"/>
  <c r="B2747" i="1"/>
  <c r="A2747" i="1"/>
  <c r="J2746" i="1"/>
  <c r="H2746" i="1"/>
  <c r="G2746" i="1"/>
  <c r="B2746" i="1"/>
  <c r="A2746" i="1"/>
  <c r="J2745" i="1"/>
  <c r="H2745" i="1"/>
  <c r="G2745" i="1"/>
  <c r="B2745" i="1"/>
  <c r="A2745" i="1"/>
  <c r="J2744" i="1"/>
  <c r="H2744" i="1"/>
  <c r="G2744" i="1"/>
  <c r="B2744" i="1"/>
  <c r="A2744" i="1"/>
  <c r="J2743" i="1"/>
  <c r="H2743" i="1"/>
  <c r="G2743" i="1"/>
  <c r="B2743" i="1"/>
  <c r="A2743" i="1"/>
  <c r="J2742" i="1"/>
  <c r="H2742" i="1"/>
  <c r="G2742" i="1"/>
  <c r="B2742" i="1"/>
  <c r="A2742" i="1"/>
  <c r="J2741" i="1"/>
  <c r="H2741" i="1"/>
  <c r="G2741" i="1"/>
  <c r="B2741" i="1"/>
  <c r="A2741" i="1"/>
  <c r="J2740" i="1"/>
  <c r="H2740" i="1"/>
  <c r="G2740" i="1"/>
  <c r="B2740" i="1"/>
  <c r="A2740" i="1"/>
  <c r="J2739" i="1"/>
  <c r="H2739" i="1"/>
  <c r="G2739" i="1"/>
  <c r="B2739" i="1"/>
  <c r="A2739" i="1"/>
  <c r="J2738" i="1"/>
  <c r="H2738" i="1"/>
  <c r="G2738" i="1"/>
  <c r="B2738" i="1"/>
  <c r="A2738" i="1"/>
  <c r="J2737" i="1"/>
  <c r="H2737" i="1"/>
  <c r="G2737" i="1"/>
  <c r="B2737" i="1"/>
  <c r="A2737" i="1"/>
  <c r="J2736" i="1"/>
  <c r="H2736" i="1"/>
  <c r="G2736" i="1"/>
  <c r="B2736" i="1"/>
  <c r="A2736" i="1"/>
  <c r="J2735" i="1"/>
  <c r="H2735" i="1"/>
  <c r="G2735" i="1"/>
  <c r="B2735" i="1"/>
  <c r="A2735" i="1"/>
  <c r="J2734" i="1"/>
  <c r="H2734" i="1"/>
  <c r="G2734" i="1"/>
  <c r="B2734" i="1"/>
  <c r="A2734" i="1"/>
  <c r="J2733" i="1"/>
  <c r="H2733" i="1"/>
  <c r="G2733" i="1"/>
  <c r="B2733" i="1"/>
  <c r="A2733" i="1"/>
  <c r="J2732" i="1"/>
  <c r="H2732" i="1"/>
  <c r="G2732" i="1"/>
  <c r="B2732" i="1"/>
  <c r="A2732" i="1"/>
  <c r="J2731" i="1"/>
  <c r="H2731" i="1"/>
  <c r="G2731" i="1"/>
  <c r="B2731" i="1"/>
  <c r="A2731" i="1"/>
  <c r="J2730" i="1"/>
  <c r="H2730" i="1"/>
  <c r="G2730" i="1"/>
  <c r="B2730" i="1"/>
  <c r="A2730" i="1"/>
  <c r="J2729" i="1"/>
  <c r="H2729" i="1"/>
  <c r="G2729" i="1"/>
  <c r="B2729" i="1"/>
  <c r="A2729" i="1"/>
  <c r="J2728" i="1"/>
  <c r="H2728" i="1"/>
  <c r="G2728" i="1"/>
  <c r="B2728" i="1"/>
  <c r="A2728" i="1"/>
  <c r="J2727" i="1"/>
  <c r="H2727" i="1"/>
  <c r="G2727" i="1"/>
  <c r="B2727" i="1"/>
  <c r="A2727" i="1"/>
  <c r="J2726" i="1"/>
  <c r="H2726" i="1"/>
  <c r="G2726" i="1"/>
  <c r="B2726" i="1"/>
  <c r="A2726" i="1"/>
  <c r="J2725" i="1"/>
  <c r="H2725" i="1"/>
  <c r="G2725" i="1"/>
  <c r="B2725" i="1"/>
  <c r="A2725" i="1"/>
  <c r="J2724" i="1"/>
  <c r="H2724" i="1"/>
  <c r="G2724" i="1"/>
  <c r="B2724" i="1"/>
  <c r="A2724" i="1"/>
  <c r="J2723" i="1"/>
  <c r="H2723" i="1"/>
  <c r="G2723" i="1"/>
  <c r="B2723" i="1"/>
  <c r="A2723" i="1"/>
  <c r="J2722" i="1"/>
  <c r="H2722" i="1"/>
  <c r="G2722" i="1"/>
  <c r="B2722" i="1"/>
  <c r="A2722" i="1"/>
  <c r="J2721" i="1"/>
  <c r="H2721" i="1"/>
  <c r="G2721" i="1"/>
  <c r="B2721" i="1"/>
  <c r="A2721" i="1"/>
  <c r="J2720" i="1"/>
  <c r="H2720" i="1"/>
  <c r="G2720" i="1"/>
  <c r="B2720" i="1"/>
  <c r="A2720" i="1"/>
  <c r="J2719" i="1"/>
  <c r="H2719" i="1"/>
  <c r="G2719" i="1"/>
  <c r="B2719" i="1"/>
  <c r="A2719" i="1"/>
  <c r="J2718" i="1"/>
  <c r="H2718" i="1"/>
  <c r="G2718" i="1"/>
  <c r="B2718" i="1"/>
  <c r="A2718" i="1"/>
  <c r="J2717" i="1"/>
  <c r="H2717" i="1"/>
  <c r="G2717" i="1"/>
  <c r="B2717" i="1"/>
  <c r="A2717" i="1"/>
  <c r="J2716" i="1"/>
  <c r="H2716" i="1"/>
  <c r="G2716" i="1"/>
  <c r="B2716" i="1"/>
  <c r="A2716" i="1"/>
  <c r="J2715" i="1"/>
  <c r="H2715" i="1"/>
  <c r="G2715" i="1"/>
  <c r="B2715" i="1"/>
  <c r="A2715" i="1"/>
  <c r="J2714" i="1"/>
  <c r="H2714" i="1"/>
  <c r="G2714" i="1"/>
  <c r="B2714" i="1"/>
  <c r="A2714" i="1"/>
  <c r="J2713" i="1"/>
  <c r="H2713" i="1"/>
  <c r="G2713" i="1"/>
  <c r="B2713" i="1"/>
  <c r="A2713" i="1"/>
  <c r="J2712" i="1"/>
  <c r="H2712" i="1"/>
  <c r="G2712" i="1"/>
  <c r="B2712" i="1"/>
  <c r="A2712" i="1"/>
  <c r="J2711" i="1"/>
  <c r="H2711" i="1"/>
  <c r="G2711" i="1"/>
  <c r="B2711" i="1"/>
  <c r="A2711" i="1"/>
  <c r="J2710" i="1"/>
  <c r="H2710" i="1"/>
  <c r="G2710" i="1"/>
  <c r="B2710" i="1"/>
  <c r="A2710" i="1"/>
  <c r="J2709" i="1"/>
  <c r="H2709" i="1"/>
  <c r="G2709" i="1"/>
  <c r="B2709" i="1"/>
  <c r="A2709" i="1"/>
  <c r="J2708" i="1"/>
  <c r="H2708" i="1"/>
  <c r="G2708" i="1"/>
  <c r="B2708" i="1"/>
  <c r="A2708" i="1"/>
  <c r="J2707" i="1"/>
  <c r="H2707" i="1"/>
  <c r="G2707" i="1"/>
  <c r="B2707" i="1"/>
  <c r="A2707" i="1"/>
  <c r="J2706" i="1"/>
  <c r="H2706" i="1"/>
  <c r="G2706" i="1"/>
  <c r="B2706" i="1"/>
  <c r="A2706" i="1"/>
  <c r="J2705" i="1"/>
  <c r="H2705" i="1"/>
  <c r="G2705" i="1"/>
  <c r="B2705" i="1"/>
  <c r="A2705" i="1"/>
  <c r="J2704" i="1"/>
  <c r="H2704" i="1"/>
  <c r="G2704" i="1"/>
  <c r="B2704" i="1"/>
  <c r="A2704" i="1"/>
  <c r="J2703" i="1"/>
  <c r="H2703" i="1"/>
  <c r="G2703" i="1"/>
  <c r="B2703" i="1"/>
  <c r="A2703" i="1"/>
  <c r="J2702" i="1"/>
  <c r="H2702" i="1"/>
  <c r="G2702" i="1"/>
  <c r="B2702" i="1"/>
  <c r="A2702" i="1"/>
  <c r="J2701" i="1"/>
  <c r="H2701" i="1"/>
  <c r="G2701" i="1"/>
  <c r="B2701" i="1"/>
  <c r="A2701" i="1"/>
  <c r="J2700" i="1"/>
  <c r="H2700" i="1"/>
  <c r="G2700" i="1"/>
  <c r="B2700" i="1"/>
  <c r="A2700" i="1"/>
  <c r="J2699" i="1"/>
  <c r="H2699" i="1"/>
  <c r="G2699" i="1"/>
  <c r="B2699" i="1"/>
  <c r="A2699" i="1"/>
  <c r="J2698" i="1"/>
  <c r="H2698" i="1"/>
  <c r="G2698" i="1"/>
  <c r="B2698" i="1"/>
  <c r="A2698" i="1"/>
  <c r="J2697" i="1"/>
  <c r="H2697" i="1"/>
  <c r="G2697" i="1"/>
  <c r="B2697" i="1"/>
  <c r="A2697" i="1"/>
  <c r="J2696" i="1"/>
  <c r="H2696" i="1"/>
  <c r="G2696" i="1"/>
  <c r="B2696" i="1"/>
  <c r="A2696" i="1"/>
  <c r="J2695" i="1"/>
  <c r="H2695" i="1"/>
  <c r="G2695" i="1"/>
  <c r="B2695" i="1"/>
  <c r="A2695" i="1"/>
  <c r="J2694" i="1"/>
  <c r="H2694" i="1"/>
  <c r="G2694" i="1"/>
  <c r="B2694" i="1"/>
  <c r="A2694" i="1"/>
  <c r="J2693" i="1"/>
  <c r="H2693" i="1"/>
  <c r="G2693" i="1"/>
  <c r="B2693" i="1"/>
  <c r="A2693" i="1"/>
  <c r="J2692" i="1"/>
  <c r="H2692" i="1"/>
  <c r="G2692" i="1"/>
  <c r="B2692" i="1"/>
  <c r="A2692" i="1"/>
  <c r="J2691" i="1"/>
  <c r="H2691" i="1"/>
  <c r="G2691" i="1"/>
  <c r="B2691" i="1"/>
  <c r="A2691" i="1"/>
  <c r="J2690" i="1"/>
  <c r="H2690" i="1"/>
  <c r="G2690" i="1"/>
  <c r="B2690" i="1"/>
  <c r="A2690" i="1"/>
  <c r="J2689" i="1"/>
  <c r="H2689" i="1"/>
  <c r="G2689" i="1"/>
  <c r="B2689" i="1"/>
  <c r="A2689" i="1"/>
  <c r="J2688" i="1"/>
  <c r="H2688" i="1"/>
  <c r="G2688" i="1"/>
  <c r="B2688" i="1"/>
  <c r="A2688" i="1"/>
  <c r="J2687" i="1"/>
  <c r="H2687" i="1"/>
  <c r="G2687" i="1"/>
  <c r="B2687" i="1"/>
  <c r="A2687" i="1"/>
  <c r="J2686" i="1"/>
  <c r="H2686" i="1"/>
  <c r="G2686" i="1"/>
  <c r="B2686" i="1"/>
  <c r="A2686" i="1"/>
  <c r="J2685" i="1"/>
  <c r="H2685" i="1"/>
  <c r="G2685" i="1"/>
  <c r="B2685" i="1"/>
  <c r="A2685" i="1"/>
  <c r="J2684" i="1"/>
  <c r="H2684" i="1"/>
  <c r="G2684" i="1"/>
  <c r="B2684" i="1"/>
  <c r="A2684" i="1"/>
  <c r="J2683" i="1"/>
  <c r="H2683" i="1"/>
  <c r="G2683" i="1"/>
  <c r="B2683" i="1"/>
  <c r="A2683" i="1"/>
  <c r="J2682" i="1"/>
  <c r="H2682" i="1"/>
  <c r="G2682" i="1"/>
  <c r="B2682" i="1"/>
  <c r="A2682" i="1"/>
  <c r="J2681" i="1"/>
  <c r="H2681" i="1"/>
  <c r="G2681" i="1"/>
  <c r="B2681" i="1"/>
  <c r="A2681" i="1"/>
  <c r="J2680" i="1"/>
  <c r="H2680" i="1"/>
  <c r="G2680" i="1"/>
  <c r="B2680" i="1"/>
  <c r="A2680" i="1"/>
  <c r="J2679" i="1"/>
  <c r="H2679" i="1"/>
  <c r="G2679" i="1"/>
  <c r="B2679" i="1"/>
  <c r="A2679" i="1"/>
  <c r="J2678" i="1"/>
  <c r="H2678" i="1"/>
  <c r="G2678" i="1"/>
  <c r="B2678" i="1"/>
  <c r="A2678" i="1"/>
  <c r="J2677" i="1"/>
  <c r="H2677" i="1"/>
  <c r="G2677" i="1"/>
  <c r="B2677" i="1"/>
  <c r="A2677" i="1"/>
  <c r="J2676" i="1"/>
  <c r="H2676" i="1"/>
  <c r="G2676" i="1"/>
  <c r="B2676" i="1"/>
  <c r="A2676" i="1"/>
  <c r="J2675" i="1"/>
  <c r="H2675" i="1"/>
  <c r="G2675" i="1"/>
  <c r="B2675" i="1"/>
  <c r="A2675" i="1"/>
  <c r="J2674" i="1"/>
  <c r="H2674" i="1"/>
  <c r="G2674" i="1"/>
  <c r="B2674" i="1"/>
  <c r="A2674" i="1"/>
  <c r="J2673" i="1"/>
  <c r="H2673" i="1"/>
  <c r="G2673" i="1"/>
  <c r="B2673" i="1"/>
  <c r="A2673" i="1"/>
  <c r="J2672" i="1"/>
  <c r="H2672" i="1"/>
  <c r="G2672" i="1"/>
  <c r="B2672" i="1"/>
  <c r="A2672" i="1"/>
  <c r="J2671" i="1"/>
  <c r="H2671" i="1"/>
  <c r="G2671" i="1"/>
  <c r="B2671" i="1"/>
  <c r="A2671" i="1"/>
  <c r="J2670" i="1"/>
  <c r="H2670" i="1"/>
  <c r="G2670" i="1"/>
  <c r="B2670" i="1"/>
  <c r="A2670" i="1"/>
  <c r="J2669" i="1"/>
  <c r="H2669" i="1"/>
  <c r="G2669" i="1"/>
  <c r="B2669" i="1"/>
  <c r="A2669" i="1"/>
  <c r="J2668" i="1"/>
  <c r="H2668" i="1"/>
  <c r="G2668" i="1"/>
  <c r="B2668" i="1"/>
  <c r="A2668" i="1"/>
  <c r="J2667" i="1"/>
  <c r="H2667" i="1"/>
  <c r="G2667" i="1"/>
  <c r="B2667" i="1"/>
  <c r="A2667" i="1"/>
  <c r="J2666" i="1"/>
  <c r="H2666" i="1"/>
  <c r="G2666" i="1"/>
  <c r="B2666" i="1"/>
  <c r="A2666" i="1"/>
  <c r="J2665" i="1"/>
  <c r="H2665" i="1"/>
  <c r="G2665" i="1"/>
  <c r="B2665" i="1"/>
  <c r="A2665" i="1"/>
  <c r="J2664" i="1"/>
  <c r="H2664" i="1"/>
  <c r="G2664" i="1"/>
  <c r="B2664" i="1"/>
  <c r="A2664" i="1"/>
  <c r="J2663" i="1"/>
  <c r="H2663" i="1"/>
  <c r="G2663" i="1"/>
  <c r="B2663" i="1"/>
  <c r="A2663" i="1"/>
  <c r="J2662" i="1"/>
  <c r="H2662" i="1"/>
  <c r="G2662" i="1"/>
  <c r="B2662" i="1"/>
  <c r="A2662" i="1"/>
  <c r="J2661" i="1"/>
  <c r="H2661" i="1"/>
  <c r="G2661" i="1"/>
  <c r="B2661" i="1"/>
  <c r="A2661" i="1"/>
  <c r="J2660" i="1"/>
  <c r="H2660" i="1"/>
  <c r="G2660" i="1"/>
  <c r="B2660" i="1"/>
  <c r="A2660" i="1"/>
  <c r="J2659" i="1"/>
  <c r="H2659" i="1"/>
  <c r="G2659" i="1"/>
  <c r="B2659" i="1"/>
  <c r="A2659" i="1"/>
  <c r="J2658" i="1"/>
  <c r="H2658" i="1"/>
  <c r="G2658" i="1"/>
  <c r="B2658" i="1"/>
  <c r="A2658" i="1"/>
  <c r="J2657" i="1"/>
  <c r="H2657" i="1"/>
  <c r="G2657" i="1"/>
  <c r="B2657" i="1"/>
  <c r="A2657" i="1"/>
  <c r="J2656" i="1"/>
  <c r="H2656" i="1"/>
  <c r="G2656" i="1"/>
  <c r="B2656" i="1"/>
  <c r="A2656" i="1"/>
  <c r="J2655" i="1"/>
  <c r="H2655" i="1"/>
  <c r="G2655" i="1"/>
  <c r="B2655" i="1"/>
  <c r="A2655" i="1"/>
  <c r="J2654" i="1"/>
  <c r="H2654" i="1"/>
  <c r="G2654" i="1"/>
  <c r="B2654" i="1"/>
  <c r="A2654" i="1"/>
  <c r="J2653" i="1"/>
  <c r="H2653" i="1"/>
  <c r="G2653" i="1"/>
  <c r="B2653" i="1"/>
  <c r="A2653" i="1"/>
  <c r="J2652" i="1"/>
  <c r="H2652" i="1"/>
  <c r="G2652" i="1"/>
  <c r="B2652" i="1"/>
  <c r="A2652" i="1"/>
  <c r="J2651" i="1"/>
  <c r="H2651" i="1"/>
  <c r="G2651" i="1"/>
  <c r="B2651" i="1"/>
  <c r="A2651" i="1"/>
  <c r="J2650" i="1"/>
  <c r="H2650" i="1"/>
  <c r="G2650" i="1"/>
  <c r="B2650" i="1"/>
  <c r="A2650" i="1"/>
  <c r="J2649" i="1"/>
  <c r="H2649" i="1"/>
  <c r="G2649" i="1"/>
  <c r="B2649" i="1"/>
  <c r="A2649" i="1"/>
  <c r="J2648" i="1"/>
  <c r="H2648" i="1"/>
  <c r="G2648" i="1"/>
  <c r="B2648" i="1"/>
  <c r="A2648" i="1"/>
  <c r="J2647" i="1"/>
  <c r="H2647" i="1"/>
  <c r="G2647" i="1"/>
  <c r="B2647" i="1"/>
  <c r="A2647" i="1"/>
  <c r="J2646" i="1"/>
  <c r="H2646" i="1"/>
  <c r="G2646" i="1"/>
  <c r="B2646" i="1"/>
  <c r="A2646" i="1"/>
  <c r="J2645" i="1"/>
  <c r="H2645" i="1"/>
  <c r="G2645" i="1"/>
  <c r="B2645" i="1"/>
  <c r="A2645" i="1"/>
  <c r="J2644" i="1"/>
  <c r="H2644" i="1"/>
  <c r="G2644" i="1"/>
  <c r="B2644" i="1"/>
  <c r="A2644" i="1"/>
  <c r="J2643" i="1"/>
  <c r="H2643" i="1"/>
  <c r="G2643" i="1"/>
  <c r="B2643" i="1"/>
  <c r="A2643" i="1"/>
  <c r="J2642" i="1"/>
  <c r="H2642" i="1"/>
  <c r="G2642" i="1"/>
  <c r="B2642" i="1"/>
  <c r="A2642" i="1"/>
  <c r="J2641" i="1"/>
  <c r="H2641" i="1"/>
  <c r="G2641" i="1"/>
  <c r="B2641" i="1"/>
  <c r="A2641" i="1"/>
  <c r="J2640" i="1"/>
  <c r="H2640" i="1"/>
  <c r="G2640" i="1"/>
  <c r="B2640" i="1"/>
  <c r="A2640" i="1"/>
  <c r="J2639" i="1"/>
  <c r="H2639" i="1"/>
  <c r="G2639" i="1"/>
  <c r="B2639" i="1"/>
  <c r="A2639" i="1"/>
  <c r="J2638" i="1"/>
  <c r="H2638" i="1"/>
  <c r="G2638" i="1"/>
  <c r="B2638" i="1"/>
  <c r="A2638" i="1"/>
  <c r="J2637" i="1"/>
  <c r="H2637" i="1"/>
  <c r="G2637" i="1"/>
  <c r="B2637" i="1"/>
  <c r="A2637" i="1"/>
  <c r="J2636" i="1"/>
  <c r="H2636" i="1"/>
  <c r="G2636" i="1"/>
  <c r="B2636" i="1"/>
  <c r="A2636" i="1"/>
  <c r="J2635" i="1"/>
  <c r="H2635" i="1"/>
  <c r="G2635" i="1"/>
  <c r="B2635" i="1"/>
  <c r="A2635" i="1"/>
  <c r="J2634" i="1"/>
  <c r="H2634" i="1"/>
  <c r="G2634" i="1"/>
  <c r="B2634" i="1"/>
  <c r="A2634" i="1"/>
  <c r="J2633" i="1"/>
  <c r="H2633" i="1"/>
  <c r="G2633" i="1"/>
  <c r="B2633" i="1"/>
  <c r="A2633" i="1"/>
  <c r="J2632" i="1"/>
  <c r="H2632" i="1"/>
  <c r="G2632" i="1"/>
  <c r="B2632" i="1"/>
  <c r="A2632" i="1"/>
  <c r="J2631" i="1"/>
  <c r="H2631" i="1"/>
  <c r="G2631" i="1"/>
  <c r="B2631" i="1"/>
  <c r="A2631" i="1"/>
  <c r="J2630" i="1"/>
  <c r="H2630" i="1"/>
  <c r="G2630" i="1"/>
  <c r="B2630" i="1"/>
  <c r="A2630" i="1"/>
  <c r="J2629" i="1"/>
  <c r="H2629" i="1"/>
  <c r="G2629" i="1"/>
  <c r="B2629" i="1"/>
  <c r="A2629" i="1"/>
  <c r="J2628" i="1"/>
  <c r="H2628" i="1"/>
  <c r="G2628" i="1"/>
  <c r="B2628" i="1"/>
  <c r="A2628" i="1"/>
  <c r="J2627" i="1"/>
  <c r="H2627" i="1"/>
  <c r="G2627" i="1"/>
  <c r="B2627" i="1"/>
  <c r="A2627" i="1"/>
  <c r="J2626" i="1"/>
  <c r="H2626" i="1"/>
  <c r="G2626" i="1"/>
  <c r="B2626" i="1"/>
  <c r="A2626" i="1"/>
  <c r="J2625" i="1"/>
  <c r="H2625" i="1"/>
  <c r="G2625" i="1"/>
  <c r="B2625" i="1"/>
  <c r="A2625" i="1"/>
  <c r="J2624" i="1"/>
  <c r="H2624" i="1"/>
  <c r="G2624" i="1"/>
  <c r="B2624" i="1"/>
  <c r="A2624" i="1"/>
  <c r="J2623" i="1"/>
  <c r="H2623" i="1"/>
  <c r="G2623" i="1"/>
  <c r="B2623" i="1"/>
  <c r="A2623" i="1"/>
  <c r="J2622" i="1"/>
  <c r="H2622" i="1"/>
  <c r="G2622" i="1"/>
  <c r="B2622" i="1"/>
  <c r="A2622" i="1"/>
  <c r="J2621" i="1"/>
  <c r="H2621" i="1"/>
  <c r="G2621" i="1"/>
  <c r="B2621" i="1"/>
  <c r="A2621" i="1"/>
  <c r="J2620" i="1"/>
  <c r="H2620" i="1"/>
  <c r="G2620" i="1"/>
  <c r="B2620" i="1"/>
  <c r="A2620" i="1"/>
  <c r="J2619" i="1"/>
  <c r="H2619" i="1"/>
  <c r="G2619" i="1"/>
  <c r="B2619" i="1"/>
  <c r="A2619" i="1"/>
  <c r="J2618" i="1"/>
  <c r="H2618" i="1"/>
  <c r="G2618" i="1"/>
  <c r="B2618" i="1"/>
  <c r="A2618" i="1"/>
  <c r="J2617" i="1"/>
  <c r="H2617" i="1"/>
  <c r="G2617" i="1"/>
  <c r="B2617" i="1"/>
  <c r="A2617" i="1"/>
  <c r="J2616" i="1"/>
  <c r="H2616" i="1"/>
  <c r="G2616" i="1"/>
  <c r="B2616" i="1"/>
  <c r="A2616" i="1"/>
  <c r="J2615" i="1"/>
  <c r="H2615" i="1"/>
  <c r="G2615" i="1"/>
  <c r="B2615" i="1"/>
  <c r="A2615" i="1"/>
  <c r="J2614" i="1"/>
  <c r="H2614" i="1"/>
  <c r="G2614" i="1"/>
  <c r="B2614" i="1"/>
  <c r="A2614" i="1"/>
  <c r="J2613" i="1"/>
  <c r="H2613" i="1"/>
  <c r="G2613" i="1"/>
  <c r="B2613" i="1"/>
  <c r="A2613" i="1"/>
  <c r="J2612" i="1"/>
  <c r="H2612" i="1"/>
  <c r="G2612" i="1"/>
  <c r="B2612" i="1"/>
  <c r="A2612" i="1"/>
  <c r="J2611" i="1"/>
  <c r="H2611" i="1"/>
  <c r="G2611" i="1"/>
  <c r="B2611" i="1"/>
  <c r="A2611" i="1"/>
  <c r="J2610" i="1"/>
  <c r="H2610" i="1"/>
  <c r="G2610" i="1"/>
  <c r="B2610" i="1"/>
  <c r="A2610" i="1"/>
  <c r="J2609" i="1"/>
  <c r="H2609" i="1"/>
  <c r="G2609" i="1"/>
  <c r="B2609" i="1"/>
  <c r="A2609" i="1"/>
  <c r="J2608" i="1"/>
  <c r="H2608" i="1"/>
  <c r="G2608" i="1"/>
  <c r="B2608" i="1"/>
  <c r="A2608" i="1"/>
  <c r="J2607" i="1"/>
  <c r="H2607" i="1"/>
  <c r="G2607" i="1"/>
  <c r="B2607" i="1"/>
  <c r="A2607" i="1"/>
  <c r="J2606" i="1"/>
  <c r="H2606" i="1"/>
  <c r="G2606" i="1"/>
  <c r="B2606" i="1"/>
  <c r="A2606" i="1"/>
  <c r="J2605" i="1"/>
  <c r="H2605" i="1"/>
  <c r="G2605" i="1"/>
  <c r="B2605" i="1"/>
  <c r="A2605" i="1"/>
  <c r="J2604" i="1"/>
  <c r="H2604" i="1"/>
  <c r="G2604" i="1"/>
  <c r="B2604" i="1"/>
  <c r="A2604" i="1"/>
  <c r="J2603" i="1"/>
  <c r="H2603" i="1"/>
  <c r="G2603" i="1"/>
  <c r="B2603" i="1"/>
  <c r="A2603" i="1"/>
  <c r="J2602" i="1"/>
  <c r="H2602" i="1"/>
  <c r="G2602" i="1"/>
  <c r="B2602" i="1"/>
  <c r="A2602" i="1"/>
  <c r="J2601" i="1"/>
  <c r="H2601" i="1"/>
  <c r="G2601" i="1"/>
  <c r="B2601" i="1"/>
  <c r="A2601" i="1"/>
  <c r="J2600" i="1"/>
  <c r="H2600" i="1"/>
  <c r="G2600" i="1"/>
  <c r="B2600" i="1"/>
  <c r="A2600" i="1"/>
  <c r="J2599" i="1"/>
  <c r="H2599" i="1"/>
  <c r="G2599" i="1"/>
  <c r="B2599" i="1"/>
  <c r="A2599" i="1"/>
  <c r="J2598" i="1"/>
  <c r="H2598" i="1"/>
  <c r="G2598" i="1"/>
  <c r="B2598" i="1"/>
  <c r="A2598" i="1"/>
  <c r="J2597" i="1"/>
  <c r="H2597" i="1"/>
  <c r="G2597" i="1"/>
  <c r="B2597" i="1"/>
  <c r="A2597" i="1"/>
  <c r="J2596" i="1"/>
  <c r="H2596" i="1"/>
  <c r="G2596" i="1"/>
  <c r="B2596" i="1"/>
  <c r="A2596" i="1"/>
  <c r="J2595" i="1"/>
  <c r="H2595" i="1"/>
  <c r="G2595" i="1"/>
  <c r="B2595" i="1"/>
  <c r="A2595" i="1"/>
  <c r="J2594" i="1"/>
  <c r="H2594" i="1"/>
  <c r="G2594" i="1"/>
  <c r="B2594" i="1"/>
  <c r="A2594" i="1"/>
  <c r="J2593" i="1"/>
  <c r="H2593" i="1"/>
  <c r="G2593" i="1"/>
  <c r="B2593" i="1"/>
  <c r="A2593" i="1"/>
  <c r="J2592" i="1"/>
  <c r="H2592" i="1"/>
  <c r="G2592" i="1"/>
  <c r="B2592" i="1"/>
  <c r="A2592" i="1"/>
  <c r="J2591" i="1"/>
  <c r="H2591" i="1"/>
  <c r="G2591" i="1"/>
  <c r="B2591" i="1"/>
  <c r="A2591" i="1"/>
  <c r="J2590" i="1"/>
  <c r="H2590" i="1"/>
  <c r="G2590" i="1"/>
  <c r="B2590" i="1"/>
  <c r="A2590" i="1"/>
  <c r="J2589" i="1"/>
  <c r="H2589" i="1"/>
  <c r="G2589" i="1"/>
  <c r="B2589" i="1"/>
  <c r="A2589" i="1"/>
  <c r="J2588" i="1"/>
  <c r="H2588" i="1"/>
  <c r="G2588" i="1"/>
  <c r="B2588" i="1"/>
  <c r="A2588" i="1"/>
  <c r="J2587" i="1"/>
  <c r="H2587" i="1"/>
  <c r="G2587" i="1"/>
  <c r="B2587" i="1"/>
  <c r="A2587" i="1"/>
  <c r="J2586" i="1"/>
  <c r="H2586" i="1"/>
  <c r="G2586" i="1"/>
  <c r="B2586" i="1"/>
  <c r="A2586" i="1"/>
  <c r="J2585" i="1"/>
  <c r="H2585" i="1"/>
  <c r="G2585" i="1"/>
  <c r="B2585" i="1"/>
  <c r="A2585" i="1"/>
  <c r="J2584" i="1"/>
  <c r="H2584" i="1"/>
  <c r="G2584" i="1"/>
  <c r="B2584" i="1"/>
  <c r="A2584" i="1"/>
  <c r="J2583" i="1"/>
  <c r="H2583" i="1"/>
  <c r="G2583" i="1"/>
  <c r="B2583" i="1"/>
  <c r="A2583" i="1"/>
  <c r="J2582" i="1"/>
  <c r="H2582" i="1"/>
  <c r="G2582" i="1"/>
  <c r="B2582" i="1"/>
  <c r="A2582" i="1"/>
  <c r="J2581" i="1"/>
  <c r="H2581" i="1"/>
  <c r="G2581" i="1"/>
  <c r="B2581" i="1"/>
  <c r="A2581" i="1"/>
  <c r="J2580" i="1"/>
  <c r="H2580" i="1"/>
  <c r="G2580" i="1"/>
  <c r="B2580" i="1"/>
  <c r="A2580" i="1"/>
  <c r="J2579" i="1"/>
  <c r="H2579" i="1"/>
  <c r="G2579" i="1"/>
  <c r="B2579" i="1"/>
  <c r="A2579" i="1"/>
  <c r="J2578" i="1"/>
  <c r="H2578" i="1"/>
  <c r="G2578" i="1"/>
  <c r="B2578" i="1"/>
  <c r="A2578" i="1"/>
  <c r="J2577" i="1"/>
  <c r="H2577" i="1"/>
  <c r="G2577" i="1"/>
  <c r="B2577" i="1"/>
  <c r="A2577" i="1"/>
  <c r="J2576" i="1"/>
  <c r="H2576" i="1"/>
  <c r="G2576" i="1"/>
  <c r="B2576" i="1"/>
  <c r="A2576" i="1"/>
  <c r="J2575" i="1"/>
  <c r="H2575" i="1"/>
  <c r="G2575" i="1"/>
  <c r="B2575" i="1"/>
  <c r="A2575" i="1"/>
  <c r="J2574" i="1"/>
  <c r="H2574" i="1"/>
  <c r="G2574" i="1"/>
  <c r="B2574" i="1"/>
  <c r="A2574" i="1"/>
  <c r="J2573" i="1"/>
  <c r="H2573" i="1"/>
  <c r="G2573" i="1"/>
  <c r="B2573" i="1"/>
  <c r="A2573" i="1"/>
  <c r="J2572" i="1"/>
  <c r="H2572" i="1"/>
  <c r="G2572" i="1"/>
  <c r="B2572" i="1"/>
  <c r="A2572" i="1"/>
  <c r="J2571" i="1"/>
  <c r="H2571" i="1"/>
  <c r="G2571" i="1"/>
  <c r="B2571" i="1"/>
  <c r="A2571" i="1"/>
  <c r="J2570" i="1"/>
  <c r="H2570" i="1"/>
  <c r="G2570" i="1"/>
  <c r="B2570" i="1"/>
  <c r="A2570" i="1"/>
  <c r="J2569" i="1"/>
  <c r="H2569" i="1"/>
  <c r="G2569" i="1"/>
  <c r="B2569" i="1"/>
  <c r="A2569" i="1"/>
  <c r="J2568" i="1"/>
  <c r="H2568" i="1"/>
  <c r="G2568" i="1"/>
  <c r="B2568" i="1"/>
  <c r="A2568" i="1"/>
  <c r="J2567" i="1"/>
  <c r="H2567" i="1"/>
  <c r="G2567" i="1"/>
  <c r="B2567" i="1"/>
  <c r="A2567" i="1"/>
  <c r="J2566" i="1"/>
  <c r="H2566" i="1"/>
  <c r="G2566" i="1"/>
  <c r="B2566" i="1"/>
  <c r="A2566" i="1"/>
  <c r="J2565" i="1"/>
  <c r="H2565" i="1"/>
  <c r="G2565" i="1"/>
  <c r="B2565" i="1"/>
  <c r="A2565" i="1"/>
  <c r="J2564" i="1"/>
  <c r="H2564" i="1"/>
  <c r="G2564" i="1"/>
  <c r="B2564" i="1"/>
  <c r="A2564" i="1"/>
  <c r="J2563" i="1"/>
  <c r="H2563" i="1"/>
  <c r="G2563" i="1"/>
  <c r="B2563" i="1"/>
  <c r="A2563" i="1"/>
  <c r="J2562" i="1"/>
  <c r="H2562" i="1"/>
  <c r="G2562" i="1"/>
  <c r="B2562" i="1"/>
  <c r="A2562" i="1"/>
  <c r="J2561" i="1"/>
  <c r="H2561" i="1"/>
  <c r="G2561" i="1"/>
  <c r="B2561" i="1"/>
  <c r="A2561" i="1"/>
  <c r="J2560" i="1"/>
  <c r="H2560" i="1"/>
  <c r="G2560" i="1"/>
  <c r="B2560" i="1"/>
  <c r="A2560" i="1"/>
  <c r="J2559" i="1"/>
  <c r="H2559" i="1"/>
  <c r="G2559" i="1"/>
  <c r="B2559" i="1"/>
  <c r="A2559" i="1"/>
  <c r="J2558" i="1"/>
  <c r="H2558" i="1"/>
  <c r="G2558" i="1"/>
  <c r="B2558" i="1"/>
  <c r="A2558" i="1"/>
  <c r="J2557" i="1"/>
  <c r="H2557" i="1"/>
  <c r="G2557" i="1"/>
  <c r="B2557" i="1"/>
  <c r="A2557" i="1"/>
  <c r="J2556" i="1"/>
  <c r="H2556" i="1"/>
  <c r="G2556" i="1"/>
  <c r="B2556" i="1"/>
  <c r="A2556" i="1"/>
  <c r="J2555" i="1"/>
  <c r="H2555" i="1"/>
  <c r="G2555" i="1"/>
  <c r="B2555" i="1"/>
  <c r="A2555" i="1"/>
  <c r="J2554" i="1"/>
  <c r="H2554" i="1"/>
  <c r="G2554" i="1"/>
  <c r="B2554" i="1"/>
  <c r="A2554" i="1"/>
  <c r="J2553" i="1"/>
  <c r="H2553" i="1"/>
  <c r="G2553" i="1"/>
  <c r="B2553" i="1"/>
  <c r="A2553" i="1"/>
  <c r="J2552" i="1"/>
  <c r="H2552" i="1"/>
  <c r="G2552" i="1"/>
  <c r="B2552" i="1"/>
  <c r="A2552" i="1"/>
  <c r="J2551" i="1"/>
  <c r="H2551" i="1"/>
  <c r="G2551" i="1"/>
  <c r="B2551" i="1"/>
  <c r="A2551" i="1"/>
  <c r="J2550" i="1"/>
  <c r="H2550" i="1"/>
  <c r="G2550" i="1"/>
  <c r="B2550" i="1"/>
  <c r="A2550" i="1"/>
  <c r="J2549" i="1"/>
  <c r="H2549" i="1"/>
  <c r="G2549" i="1"/>
  <c r="B2549" i="1"/>
  <c r="A2549" i="1"/>
  <c r="J2548" i="1"/>
  <c r="H2548" i="1"/>
  <c r="G2548" i="1"/>
  <c r="B2548" i="1"/>
  <c r="A2548" i="1"/>
  <c r="J2547" i="1"/>
  <c r="H2547" i="1"/>
  <c r="G2547" i="1"/>
  <c r="B2547" i="1"/>
  <c r="A2547" i="1"/>
  <c r="J2546" i="1"/>
  <c r="H2546" i="1"/>
  <c r="G2546" i="1"/>
  <c r="B2546" i="1"/>
  <c r="A2546" i="1"/>
  <c r="J2545" i="1"/>
  <c r="H2545" i="1"/>
  <c r="G2545" i="1"/>
  <c r="B2545" i="1"/>
  <c r="A2545" i="1"/>
  <c r="J2544" i="1"/>
  <c r="H2544" i="1"/>
  <c r="G2544" i="1"/>
  <c r="B2544" i="1"/>
  <c r="A2544" i="1"/>
  <c r="J2543" i="1"/>
  <c r="H2543" i="1"/>
  <c r="G2543" i="1"/>
  <c r="B2543" i="1"/>
  <c r="A2543" i="1"/>
  <c r="J2542" i="1"/>
  <c r="H2542" i="1"/>
  <c r="G2542" i="1"/>
  <c r="B2542" i="1"/>
  <c r="A2542" i="1"/>
  <c r="J2541" i="1"/>
  <c r="H2541" i="1"/>
  <c r="G2541" i="1"/>
  <c r="B2541" i="1"/>
  <c r="A2541" i="1"/>
  <c r="J2540" i="1"/>
  <c r="H2540" i="1"/>
  <c r="G2540" i="1"/>
  <c r="B2540" i="1"/>
  <c r="A2540" i="1"/>
  <c r="J2539" i="1"/>
  <c r="H2539" i="1"/>
  <c r="G2539" i="1"/>
  <c r="B2539" i="1"/>
  <c r="A2539" i="1"/>
  <c r="J2538" i="1"/>
  <c r="H2538" i="1"/>
  <c r="G2538" i="1"/>
  <c r="B2538" i="1"/>
  <c r="A2538" i="1"/>
  <c r="J2537" i="1"/>
  <c r="H2537" i="1"/>
  <c r="G2537" i="1"/>
  <c r="B2537" i="1"/>
  <c r="A2537" i="1"/>
  <c r="J2536" i="1"/>
  <c r="H2536" i="1"/>
  <c r="G2536" i="1"/>
  <c r="B2536" i="1"/>
  <c r="A2536" i="1"/>
  <c r="J2535" i="1"/>
  <c r="H2535" i="1"/>
  <c r="G2535" i="1"/>
  <c r="B2535" i="1"/>
  <c r="A2535" i="1"/>
  <c r="J2534" i="1"/>
  <c r="H2534" i="1"/>
  <c r="G2534" i="1"/>
  <c r="B2534" i="1"/>
  <c r="A2534" i="1"/>
  <c r="J2533" i="1"/>
  <c r="H2533" i="1"/>
  <c r="G2533" i="1"/>
  <c r="B2533" i="1"/>
  <c r="A2533" i="1"/>
  <c r="J2532" i="1"/>
  <c r="H2532" i="1"/>
  <c r="G2532" i="1"/>
  <c r="B2532" i="1"/>
  <c r="A2532" i="1"/>
  <c r="J2531" i="1"/>
  <c r="H2531" i="1"/>
  <c r="G2531" i="1"/>
  <c r="B2531" i="1"/>
  <c r="A2531" i="1"/>
  <c r="J2530" i="1"/>
  <c r="H2530" i="1"/>
  <c r="G2530" i="1"/>
  <c r="B2530" i="1"/>
  <c r="A2530" i="1"/>
  <c r="J2529" i="1"/>
  <c r="H2529" i="1"/>
  <c r="G2529" i="1"/>
  <c r="B2529" i="1"/>
  <c r="A2529" i="1"/>
  <c r="J2528" i="1"/>
  <c r="H2528" i="1"/>
  <c r="G2528" i="1"/>
  <c r="B2528" i="1"/>
  <c r="A2528" i="1"/>
  <c r="J2527" i="1"/>
  <c r="H2527" i="1"/>
  <c r="G2527" i="1"/>
  <c r="B2527" i="1"/>
  <c r="A2527" i="1"/>
  <c r="J2526" i="1"/>
  <c r="H2526" i="1"/>
  <c r="G2526" i="1"/>
  <c r="B2526" i="1"/>
  <c r="A2526" i="1"/>
  <c r="J2525" i="1"/>
  <c r="H2525" i="1"/>
  <c r="G2525" i="1"/>
  <c r="B2525" i="1"/>
  <c r="A2525" i="1"/>
  <c r="J2524" i="1"/>
  <c r="H2524" i="1"/>
  <c r="G2524" i="1"/>
  <c r="B2524" i="1"/>
  <c r="A2524" i="1"/>
  <c r="J2523" i="1"/>
  <c r="H2523" i="1"/>
  <c r="G2523" i="1"/>
  <c r="B2523" i="1"/>
  <c r="A2523" i="1"/>
  <c r="J2522" i="1"/>
  <c r="H2522" i="1"/>
  <c r="G2522" i="1"/>
  <c r="B2522" i="1"/>
  <c r="A2522" i="1"/>
  <c r="J2521" i="1"/>
  <c r="H2521" i="1"/>
  <c r="G2521" i="1"/>
  <c r="B2521" i="1"/>
  <c r="A2521" i="1"/>
  <c r="J2520" i="1"/>
  <c r="H2520" i="1"/>
  <c r="G2520" i="1"/>
  <c r="B2520" i="1"/>
  <c r="A2520" i="1"/>
  <c r="J2519" i="1"/>
  <c r="H2519" i="1"/>
  <c r="G2519" i="1"/>
  <c r="B2519" i="1"/>
  <c r="A2519" i="1"/>
  <c r="J2518" i="1"/>
  <c r="H2518" i="1"/>
  <c r="G2518" i="1"/>
  <c r="B2518" i="1"/>
  <c r="A2518" i="1"/>
  <c r="J2517" i="1"/>
  <c r="H2517" i="1"/>
  <c r="G2517" i="1"/>
  <c r="B2517" i="1"/>
  <c r="A2517" i="1"/>
  <c r="J2516" i="1"/>
  <c r="H2516" i="1"/>
  <c r="G2516" i="1"/>
  <c r="B2516" i="1"/>
  <c r="A2516" i="1"/>
  <c r="J2515" i="1"/>
  <c r="H2515" i="1"/>
  <c r="G2515" i="1"/>
  <c r="B2515" i="1"/>
  <c r="A2515" i="1"/>
  <c r="J2514" i="1"/>
  <c r="H2514" i="1"/>
  <c r="G2514" i="1"/>
  <c r="B2514" i="1"/>
  <c r="A2514" i="1"/>
  <c r="J2513" i="1"/>
  <c r="H2513" i="1"/>
  <c r="G2513" i="1"/>
  <c r="B2513" i="1"/>
  <c r="A2513" i="1"/>
  <c r="J2512" i="1"/>
  <c r="H2512" i="1"/>
  <c r="G2512" i="1"/>
  <c r="B2512" i="1"/>
  <c r="A2512" i="1"/>
  <c r="J2511" i="1"/>
  <c r="H2511" i="1"/>
  <c r="G2511" i="1"/>
  <c r="B2511" i="1"/>
  <c r="A2511" i="1"/>
  <c r="J2510" i="1"/>
  <c r="H2510" i="1"/>
  <c r="G2510" i="1"/>
  <c r="B2510" i="1"/>
  <c r="A2510" i="1"/>
  <c r="J2509" i="1"/>
  <c r="H2509" i="1"/>
  <c r="G2509" i="1"/>
  <c r="B2509" i="1"/>
  <c r="A2509" i="1"/>
  <c r="J2508" i="1"/>
  <c r="H2508" i="1"/>
  <c r="G2508" i="1"/>
  <c r="B2508" i="1"/>
  <c r="A2508" i="1"/>
  <c r="J2507" i="1"/>
  <c r="H2507" i="1"/>
  <c r="G2507" i="1"/>
  <c r="B2507" i="1"/>
  <c r="A2507" i="1"/>
  <c r="J2506" i="1"/>
  <c r="H2506" i="1"/>
  <c r="G2506" i="1"/>
  <c r="B2506" i="1"/>
  <c r="A2506" i="1"/>
  <c r="J2505" i="1"/>
  <c r="H2505" i="1"/>
  <c r="G2505" i="1"/>
  <c r="B2505" i="1"/>
  <c r="A2505" i="1"/>
  <c r="J2504" i="1"/>
  <c r="H2504" i="1"/>
  <c r="G2504" i="1"/>
  <c r="B2504" i="1"/>
  <c r="A2504" i="1"/>
  <c r="J2503" i="1"/>
  <c r="H2503" i="1"/>
  <c r="G2503" i="1"/>
  <c r="B2503" i="1"/>
  <c r="A2503" i="1"/>
  <c r="J2502" i="1"/>
  <c r="H2502" i="1"/>
  <c r="G2502" i="1"/>
  <c r="B2502" i="1"/>
  <c r="A2502" i="1"/>
  <c r="J2501" i="1"/>
  <c r="H2501" i="1"/>
  <c r="G2501" i="1"/>
  <c r="B2501" i="1"/>
  <c r="A2501" i="1"/>
  <c r="J2500" i="1"/>
  <c r="H2500" i="1"/>
  <c r="G2500" i="1"/>
  <c r="B2500" i="1"/>
  <c r="A2500" i="1"/>
  <c r="J2499" i="1"/>
  <c r="H2499" i="1"/>
  <c r="G2499" i="1"/>
  <c r="B2499" i="1"/>
  <c r="A2499" i="1"/>
  <c r="J2498" i="1"/>
  <c r="H2498" i="1"/>
  <c r="G2498" i="1"/>
  <c r="B2498" i="1"/>
  <c r="A2498" i="1"/>
  <c r="J2497" i="1"/>
  <c r="H2497" i="1"/>
  <c r="G2497" i="1"/>
  <c r="B2497" i="1"/>
  <c r="A2497" i="1"/>
  <c r="J2496" i="1"/>
  <c r="H2496" i="1"/>
  <c r="G2496" i="1"/>
  <c r="B2496" i="1"/>
  <c r="A2496" i="1"/>
  <c r="J2495" i="1"/>
  <c r="H2495" i="1"/>
  <c r="G2495" i="1"/>
  <c r="B2495" i="1"/>
  <c r="A2495" i="1"/>
  <c r="J2494" i="1"/>
  <c r="H2494" i="1"/>
  <c r="G2494" i="1"/>
  <c r="B2494" i="1"/>
  <c r="A2494" i="1"/>
  <c r="J2493" i="1"/>
  <c r="H2493" i="1"/>
  <c r="G2493" i="1"/>
  <c r="B2493" i="1"/>
  <c r="A2493" i="1"/>
  <c r="J2492" i="1"/>
  <c r="H2492" i="1"/>
  <c r="G2492" i="1"/>
  <c r="B2492" i="1"/>
  <c r="A2492" i="1"/>
  <c r="J2491" i="1"/>
  <c r="H2491" i="1"/>
  <c r="G2491" i="1"/>
  <c r="B2491" i="1"/>
  <c r="A2491" i="1"/>
  <c r="J2490" i="1"/>
  <c r="H2490" i="1"/>
  <c r="G2490" i="1"/>
  <c r="B2490" i="1"/>
  <c r="A2490" i="1"/>
  <c r="J2489" i="1"/>
  <c r="H2489" i="1"/>
  <c r="G2489" i="1"/>
  <c r="B2489" i="1"/>
  <c r="A2489" i="1"/>
  <c r="J2488" i="1"/>
  <c r="H2488" i="1"/>
  <c r="G2488" i="1"/>
  <c r="B2488" i="1"/>
  <c r="A2488" i="1"/>
  <c r="J2487" i="1"/>
  <c r="H2487" i="1"/>
  <c r="G2487" i="1"/>
  <c r="B2487" i="1"/>
  <c r="A2487" i="1"/>
  <c r="J2486" i="1"/>
  <c r="H2486" i="1"/>
  <c r="G2486" i="1"/>
  <c r="B2486" i="1"/>
  <c r="A2486" i="1"/>
  <c r="J2485" i="1"/>
  <c r="H2485" i="1"/>
  <c r="G2485" i="1"/>
  <c r="B2485" i="1"/>
  <c r="A2485" i="1"/>
  <c r="J2484" i="1"/>
  <c r="H2484" i="1"/>
  <c r="G2484" i="1"/>
  <c r="B2484" i="1"/>
  <c r="A2484" i="1"/>
  <c r="J2483" i="1"/>
  <c r="H2483" i="1"/>
  <c r="G2483" i="1"/>
  <c r="B2483" i="1"/>
  <c r="A2483" i="1"/>
  <c r="J2482" i="1"/>
  <c r="H2482" i="1"/>
  <c r="G2482" i="1"/>
  <c r="B2482" i="1"/>
  <c r="A2482" i="1"/>
  <c r="J2481" i="1"/>
  <c r="H2481" i="1"/>
  <c r="G2481" i="1"/>
  <c r="B2481" i="1"/>
  <c r="A2481" i="1"/>
  <c r="J2480" i="1"/>
  <c r="H2480" i="1"/>
  <c r="G2480" i="1"/>
  <c r="B2480" i="1"/>
  <c r="A2480" i="1"/>
  <c r="J2479" i="1"/>
  <c r="H2479" i="1"/>
  <c r="G2479" i="1"/>
  <c r="B2479" i="1"/>
  <c r="A2479" i="1"/>
  <c r="J2478" i="1"/>
  <c r="H2478" i="1"/>
  <c r="G2478" i="1"/>
  <c r="B2478" i="1"/>
  <c r="A2478" i="1"/>
  <c r="J2477" i="1"/>
  <c r="H2477" i="1"/>
  <c r="G2477" i="1"/>
  <c r="B2477" i="1"/>
  <c r="A2477" i="1"/>
  <c r="J2476" i="1"/>
  <c r="H2476" i="1"/>
  <c r="G2476" i="1"/>
  <c r="B2476" i="1"/>
  <c r="A2476" i="1"/>
  <c r="J2475" i="1"/>
  <c r="H2475" i="1"/>
  <c r="G2475" i="1"/>
  <c r="B2475" i="1"/>
  <c r="A2475" i="1"/>
  <c r="J2474" i="1"/>
  <c r="H2474" i="1"/>
  <c r="G2474" i="1"/>
  <c r="B2474" i="1"/>
  <c r="A2474" i="1"/>
  <c r="J2473" i="1"/>
  <c r="H2473" i="1"/>
  <c r="G2473" i="1"/>
  <c r="B2473" i="1"/>
  <c r="A2473" i="1"/>
  <c r="J2472" i="1"/>
  <c r="H2472" i="1"/>
  <c r="G2472" i="1"/>
  <c r="B2472" i="1"/>
  <c r="A2472" i="1"/>
  <c r="J2471" i="1"/>
  <c r="H2471" i="1"/>
  <c r="G2471" i="1"/>
  <c r="B2471" i="1"/>
  <c r="A2471" i="1"/>
  <c r="J2470" i="1"/>
  <c r="H2470" i="1"/>
  <c r="G2470" i="1"/>
  <c r="B2470" i="1"/>
  <c r="A2470" i="1"/>
  <c r="J2469" i="1"/>
  <c r="H2469" i="1"/>
  <c r="G2469" i="1"/>
  <c r="B2469" i="1"/>
  <c r="A2469" i="1"/>
  <c r="J2468" i="1"/>
  <c r="H2468" i="1"/>
  <c r="G2468" i="1"/>
  <c r="B2468" i="1"/>
  <c r="A2468" i="1"/>
  <c r="J2467" i="1"/>
  <c r="H2467" i="1"/>
  <c r="G2467" i="1"/>
  <c r="B2467" i="1"/>
  <c r="A2467" i="1"/>
  <c r="J2466" i="1"/>
  <c r="H2466" i="1"/>
  <c r="G2466" i="1"/>
  <c r="B2466" i="1"/>
  <c r="A2466" i="1"/>
  <c r="J2465" i="1"/>
  <c r="H2465" i="1"/>
  <c r="G2465" i="1"/>
  <c r="B2465" i="1"/>
  <c r="A2465" i="1"/>
  <c r="J2464" i="1"/>
  <c r="H2464" i="1"/>
  <c r="G2464" i="1"/>
  <c r="B2464" i="1"/>
  <c r="A2464" i="1"/>
  <c r="J2463" i="1"/>
  <c r="H2463" i="1"/>
  <c r="G2463" i="1"/>
  <c r="B2463" i="1"/>
  <c r="A2463" i="1"/>
  <c r="J2462" i="1"/>
  <c r="H2462" i="1"/>
  <c r="G2462" i="1"/>
  <c r="B2462" i="1"/>
  <c r="A2462" i="1"/>
  <c r="J2461" i="1"/>
  <c r="H2461" i="1"/>
  <c r="G2461" i="1"/>
  <c r="B2461" i="1"/>
  <c r="A2461" i="1"/>
  <c r="J2460" i="1"/>
  <c r="H2460" i="1"/>
  <c r="G2460" i="1"/>
  <c r="B2460" i="1"/>
  <c r="A2460" i="1"/>
  <c r="J2459" i="1"/>
  <c r="H2459" i="1"/>
  <c r="G2459" i="1"/>
  <c r="B2459" i="1"/>
  <c r="A2459" i="1"/>
  <c r="J2458" i="1"/>
  <c r="H2458" i="1"/>
  <c r="G2458" i="1"/>
  <c r="B2458" i="1"/>
  <c r="A2458" i="1"/>
  <c r="J2457" i="1"/>
  <c r="H2457" i="1"/>
  <c r="G2457" i="1"/>
  <c r="B2457" i="1"/>
  <c r="A2457" i="1"/>
  <c r="J2456" i="1"/>
  <c r="H2456" i="1"/>
  <c r="G2456" i="1"/>
  <c r="B2456" i="1"/>
  <c r="A2456" i="1"/>
  <c r="J2455" i="1"/>
  <c r="H2455" i="1"/>
  <c r="G2455" i="1"/>
  <c r="B2455" i="1"/>
  <c r="A2455" i="1"/>
  <c r="J2454" i="1"/>
  <c r="H2454" i="1"/>
  <c r="G2454" i="1"/>
  <c r="B2454" i="1"/>
  <c r="A2454" i="1"/>
  <c r="J2453" i="1"/>
  <c r="H2453" i="1"/>
  <c r="G2453" i="1"/>
  <c r="B2453" i="1"/>
  <c r="A2453" i="1"/>
  <c r="J2452" i="1"/>
  <c r="H2452" i="1"/>
  <c r="G2452" i="1"/>
  <c r="B2452" i="1"/>
  <c r="A2452" i="1"/>
  <c r="J2451" i="1"/>
  <c r="H2451" i="1"/>
  <c r="G2451" i="1"/>
  <c r="B2451" i="1"/>
  <c r="A2451" i="1"/>
  <c r="J2450" i="1"/>
  <c r="H2450" i="1"/>
  <c r="G2450" i="1"/>
  <c r="B2450" i="1"/>
  <c r="A2450" i="1"/>
  <c r="J2449" i="1"/>
  <c r="H2449" i="1"/>
  <c r="G2449" i="1"/>
  <c r="B2449" i="1"/>
  <c r="A2449" i="1"/>
  <c r="J2448" i="1"/>
  <c r="H2448" i="1"/>
  <c r="G2448" i="1"/>
  <c r="B2448" i="1"/>
  <c r="A2448" i="1"/>
  <c r="J2447" i="1"/>
  <c r="H2447" i="1"/>
  <c r="G2447" i="1"/>
  <c r="B2447" i="1"/>
  <c r="A2447" i="1"/>
  <c r="J2446" i="1"/>
  <c r="H2446" i="1"/>
  <c r="G2446" i="1"/>
  <c r="B2446" i="1"/>
  <c r="A2446" i="1"/>
  <c r="J2445" i="1"/>
  <c r="H2445" i="1"/>
  <c r="G2445" i="1"/>
  <c r="B2445" i="1"/>
  <c r="A2445" i="1"/>
  <c r="J2444" i="1"/>
  <c r="H2444" i="1"/>
  <c r="G2444" i="1"/>
  <c r="B2444" i="1"/>
  <c r="A2444" i="1"/>
  <c r="J2443" i="1"/>
  <c r="H2443" i="1"/>
  <c r="G2443" i="1"/>
  <c r="B2443" i="1"/>
  <c r="A2443" i="1"/>
  <c r="J2442" i="1"/>
  <c r="H2442" i="1"/>
  <c r="G2442" i="1"/>
  <c r="B2442" i="1"/>
  <c r="A2442" i="1"/>
  <c r="J2441" i="1"/>
  <c r="H2441" i="1"/>
  <c r="G2441" i="1"/>
  <c r="B2441" i="1"/>
  <c r="A2441" i="1"/>
  <c r="J2440" i="1"/>
  <c r="H2440" i="1"/>
  <c r="G2440" i="1"/>
  <c r="B2440" i="1"/>
  <c r="A2440" i="1"/>
  <c r="J2439" i="1"/>
  <c r="H2439" i="1"/>
  <c r="G2439" i="1"/>
  <c r="B2439" i="1"/>
  <c r="A2439" i="1"/>
  <c r="J2438" i="1"/>
  <c r="H2438" i="1"/>
  <c r="G2438" i="1"/>
  <c r="B2438" i="1"/>
  <c r="A2438" i="1"/>
  <c r="J2437" i="1"/>
  <c r="H2437" i="1"/>
  <c r="G2437" i="1"/>
  <c r="B2437" i="1"/>
  <c r="A2437" i="1"/>
  <c r="J2436" i="1"/>
  <c r="H2436" i="1"/>
  <c r="G2436" i="1"/>
  <c r="B2436" i="1"/>
  <c r="A2436" i="1"/>
  <c r="J2435" i="1"/>
  <c r="H2435" i="1"/>
  <c r="G2435" i="1"/>
  <c r="B2435" i="1"/>
  <c r="A2435" i="1"/>
  <c r="J2434" i="1"/>
  <c r="H2434" i="1"/>
  <c r="G2434" i="1"/>
  <c r="B2434" i="1"/>
  <c r="A2434" i="1"/>
  <c r="J2433" i="1"/>
  <c r="H2433" i="1"/>
  <c r="G2433" i="1"/>
  <c r="B2433" i="1"/>
  <c r="A2433" i="1"/>
  <c r="J2432" i="1"/>
  <c r="H2432" i="1"/>
  <c r="G2432" i="1"/>
  <c r="B2432" i="1"/>
  <c r="A2432" i="1"/>
  <c r="J2431" i="1"/>
  <c r="H2431" i="1"/>
  <c r="G2431" i="1"/>
  <c r="B2431" i="1"/>
  <c r="A2431" i="1"/>
  <c r="J2430" i="1"/>
  <c r="H2430" i="1"/>
  <c r="G2430" i="1"/>
  <c r="B2430" i="1"/>
  <c r="A2430" i="1"/>
  <c r="J2429" i="1"/>
  <c r="H2429" i="1"/>
  <c r="G2429" i="1"/>
  <c r="B2429" i="1"/>
  <c r="A2429" i="1"/>
  <c r="J2428" i="1"/>
  <c r="H2428" i="1"/>
  <c r="G2428" i="1"/>
  <c r="B2428" i="1"/>
  <c r="A2428" i="1"/>
  <c r="J2427" i="1"/>
  <c r="H2427" i="1"/>
  <c r="G2427" i="1"/>
  <c r="B2427" i="1"/>
  <c r="A2427" i="1"/>
  <c r="J2426" i="1"/>
  <c r="H2426" i="1"/>
  <c r="G2426" i="1"/>
  <c r="B2426" i="1"/>
  <c r="A2426" i="1"/>
  <c r="J2425" i="1"/>
  <c r="H2425" i="1"/>
  <c r="G2425" i="1"/>
  <c r="B2425" i="1"/>
  <c r="A2425" i="1"/>
  <c r="J2424" i="1"/>
  <c r="H2424" i="1"/>
  <c r="G2424" i="1"/>
  <c r="B2424" i="1"/>
  <c r="A2424" i="1"/>
  <c r="J2423" i="1"/>
  <c r="H2423" i="1"/>
  <c r="G2423" i="1"/>
  <c r="B2423" i="1"/>
  <c r="A2423" i="1"/>
  <c r="J2422" i="1"/>
  <c r="H2422" i="1"/>
  <c r="G2422" i="1"/>
  <c r="B2422" i="1"/>
  <c r="A2422" i="1"/>
  <c r="J2421" i="1"/>
  <c r="H2421" i="1"/>
  <c r="G2421" i="1"/>
  <c r="B2421" i="1"/>
  <c r="A2421" i="1"/>
  <c r="J2420" i="1"/>
  <c r="H2420" i="1"/>
  <c r="G2420" i="1"/>
  <c r="B2420" i="1"/>
  <c r="A2420" i="1"/>
  <c r="J2419" i="1"/>
  <c r="H2419" i="1"/>
  <c r="G2419" i="1"/>
  <c r="B2419" i="1"/>
  <c r="A2419" i="1"/>
  <c r="J2418" i="1"/>
  <c r="H2418" i="1"/>
  <c r="G2418" i="1"/>
  <c r="B2418" i="1"/>
  <c r="A2418" i="1"/>
  <c r="J2417" i="1"/>
  <c r="H2417" i="1"/>
  <c r="G2417" i="1"/>
  <c r="B2417" i="1"/>
  <c r="A2417" i="1"/>
  <c r="J2416" i="1"/>
  <c r="H2416" i="1"/>
  <c r="G2416" i="1"/>
  <c r="B2416" i="1"/>
  <c r="A2416" i="1"/>
  <c r="J2415" i="1"/>
  <c r="H2415" i="1"/>
  <c r="G2415" i="1"/>
  <c r="B2415" i="1"/>
  <c r="A2415" i="1"/>
  <c r="J2414" i="1"/>
  <c r="H2414" i="1"/>
  <c r="G2414" i="1"/>
  <c r="B2414" i="1"/>
  <c r="A2414" i="1"/>
  <c r="J2413" i="1"/>
  <c r="H2413" i="1"/>
  <c r="G2413" i="1"/>
  <c r="B2413" i="1"/>
  <c r="A2413" i="1"/>
  <c r="J2412" i="1"/>
  <c r="H2412" i="1"/>
  <c r="G2412" i="1"/>
  <c r="B2412" i="1"/>
  <c r="A2412" i="1"/>
  <c r="J2411" i="1"/>
  <c r="H2411" i="1"/>
  <c r="G2411" i="1"/>
  <c r="B2411" i="1"/>
  <c r="A2411" i="1"/>
  <c r="J2410" i="1"/>
  <c r="H2410" i="1"/>
  <c r="G2410" i="1"/>
  <c r="B2410" i="1"/>
  <c r="A2410" i="1"/>
  <c r="J2409" i="1"/>
  <c r="H2409" i="1"/>
  <c r="G2409" i="1"/>
  <c r="B2409" i="1"/>
  <c r="A2409" i="1"/>
  <c r="J2408" i="1"/>
  <c r="H2408" i="1"/>
  <c r="G2408" i="1"/>
  <c r="B2408" i="1"/>
  <c r="A2408" i="1"/>
  <c r="J2407" i="1"/>
  <c r="H2407" i="1"/>
  <c r="G2407" i="1"/>
  <c r="B2407" i="1"/>
  <c r="A2407" i="1"/>
  <c r="J2406" i="1"/>
  <c r="H2406" i="1"/>
  <c r="G2406" i="1"/>
  <c r="B2406" i="1"/>
  <c r="A2406" i="1"/>
  <c r="J2405" i="1"/>
  <c r="H2405" i="1"/>
  <c r="G2405" i="1"/>
  <c r="B2405" i="1"/>
  <c r="A2405" i="1"/>
  <c r="J2404" i="1"/>
  <c r="H2404" i="1"/>
  <c r="G2404" i="1"/>
  <c r="B2404" i="1"/>
  <c r="A2404" i="1"/>
  <c r="J2403" i="1"/>
  <c r="H2403" i="1"/>
  <c r="G2403" i="1"/>
  <c r="B2403" i="1"/>
  <c r="A2403" i="1"/>
  <c r="J2402" i="1"/>
  <c r="H2402" i="1"/>
  <c r="G2402" i="1"/>
  <c r="B2402" i="1"/>
  <c r="A2402" i="1"/>
  <c r="J2401" i="1"/>
  <c r="H2401" i="1"/>
  <c r="G2401" i="1"/>
  <c r="B2401" i="1"/>
  <c r="A2401" i="1"/>
  <c r="J2400" i="1"/>
  <c r="H2400" i="1"/>
  <c r="G2400" i="1"/>
  <c r="B2400" i="1"/>
  <c r="A2400" i="1"/>
  <c r="J2399" i="1"/>
  <c r="H2399" i="1"/>
  <c r="G2399" i="1"/>
  <c r="B2399" i="1"/>
  <c r="A2399" i="1"/>
  <c r="J2398" i="1"/>
  <c r="H2398" i="1"/>
  <c r="G2398" i="1"/>
  <c r="B2398" i="1"/>
  <c r="A2398" i="1"/>
  <c r="J2397" i="1"/>
  <c r="H2397" i="1"/>
  <c r="G2397" i="1"/>
  <c r="B2397" i="1"/>
  <c r="A2397" i="1"/>
  <c r="J2396" i="1"/>
  <c r="H2396" i="1"/>
  <c r="G2396" i="1"/>
  <c r="B2396" i="1"/>
  <c r="A2396" i="1"/>
  <c r="J2395" i="1"/>
  <c r="H2395" i="1"/>
  <c r="G2395" i="1"/>
  <c r="B2395" i="1"/>
  <c r="A2395" i="1"/>
  <c r="J2394" i="1"/>
  <c r="H2394" i="1"/>
  <c r="G2394" i="1"/>
  <c r="B2394" i="1"/>
  <c r="A2394" i="1"/>
  <c r="J2393" i="1"/>
  <c r="H2393" i="1"/>
  <c r="G2393" i="1"/>
  <c r="B2393" i="1"/>
  <c r="A2393" i="1"/>
  <c r="J2392" i="1"/>
  <c r="H2392" i="1"/>
  <c r="G2392" i="1"/>
  <c r="B2392" i="1"/>
  <c r="A2392" i="1"/>
  <c r="J2391" i="1"/>
  <c r="H2391" i="1"/>
  <c r="G2391" i="1"/>
  <c r="B2391" i="1"/>
  <c r="A2391" i="1"/>
  <c r="J2390" i="1"/>
  <c r="H2390" i="1"/>
  <c r="G2390" i="1"/>
  <c r="B2390" i="1"/>
  <c r="A2390" i="1"/>
  <c r="J2389" i="1"/>
  <c r="H2389" i="1"/>
  <c r="G2389" i="1"/>
  <c r="B2389" i="1"/>
  <c r="A2389" i="1"/>
  <c r="J2388" i="1"/>
  <c r="H2388" i="1"/>
  <c r="G2388" i="1"/>
  <c r="B2388" i="1"/>
  <c r="A2388" i="1"/>
  <c r="J2387" i="1"/>
  <c r="H2387" i="1"/>
  <c r="G2387" i="1"/>
  <c r="B2387" i="1"/>
  <c r="A2387" i="1"/>
  <c r="J2386" i="1"/>
  <c r="H2386" i="1"/>
  <c r="G2386" i="1"/>
  <c r="B2386" i="1"/>
  <c r="A2386" i="1"/>
  <c r="J2385" i="1"/>
  <c r="H2385" i="1"/>
  <c r="G2385" i="1"/>
  <c r="B2385" i="1"/>
  <c r="A2385" i="1"/>
  <c r="J2384" i="1"/>
  <c r="H2384" i="1"/>
  <c r="G2384" i="1"/>
  <c r="B2384" i="1"/>
  <c r="A2384" i="1"/>
  <c r="J2383" i="1"/>
  <c r="H2383" i="1"/>
  <c r="G2383" i="1"/>
  <c r="B2383" i="1"/>
  <c r="A2383" i="1"/>
  <c r="J2382" i="1"/>
  <c r="H2382" i="1"/>
  <c r="G2382" i="1"/>
  <c r="B2382" i="1"/>
  <c r="A2382" i="1"/>
  <c r="J2381" i="1"/>
  <c r="H2381" i="1"/>
  <c r="G2381" i="1"/>
  <c r="B2381" i="1"/>
  <c r="A2381" i="1"/>
  <c r="J2380" i="1"/>
  <c r="H2380" i="1"/>
  <c r="G2380" i="1"/>
  <c r="B2380" i="1"/>
  <c r="A2380" i="1"/>
  <c r="J2379" i="1"/>
  <c r="H2379" i="1"/>
  <c r="G2379" i="1"/>
  <c r="B2379" i="1"/>
  <c r="A2379" i="1"/>
  <c r="J2378" i="1"/>
  <c r="H2378" i="1"/>
  <c r="G2378" i="1"/>
  <c r="B2378" i="1"/>
  <c r="A2378" i="1"/>
  <c r="J2377" i="1"/>
  <c r="H2377" i="1"/>
  <c r="G2377" i="1"/>
  <c r="B2377" i="1"/>
  <c r="A2377" i="1"/>
  <c r="J2376" i="1"/>
  <c r="H2376" i="1"/>
  <c r="G2376" i="1"/>
  <c r="B2376" i="1"/>
  <c r="A2376" i="1"/>
  <c r="J2375" i="1"/>
  <c r="H2375" i="1"/>
  <c r="G2375" i="1"/>
  <c r="B2375" i="1"/>
  <c r="A2375" i="1"/>
  <c r="J2374" i="1"/>
  <c r="H2374" i="1"/>
  <c r="G2374" i="1"/>
  <c r="B2374" i="1"/>
  <c r="A2374" i="1"/>
  <c r="J2373" i="1"/>
  <c r="H2373" i="1"/>
  <c r="G2373" i="1"/>
  <c r="B2373" i="1"/>
  <c r="A2373" i="1"/>
  <c r="J2372" i="1"/>
  <c r="H2372" i="1"/>
  <c r="G2372" i="1"/>
  <c r="B2372" i="1"/>
  <c r="A2372" i="1"/>
  <c r="J2371" i="1"/>
  <c r="H2371" i="1"/>
  <c r="G2371" i="1"/>
  <c r="B2371" i="1"/>
  <c r="A2371" i="1"/>
  <c r="J2370" i="1"/>
  <c r="H2370" i="1"/>
  <c r="G2370" i="1"/>
  <c r="B2370" i="1"/>
  <c r="A2370" i="1"/>
  <c r="J2369" i="1"/>
  <c r="H2369" i="1"/>
  <c r="G2369" i="1"/>
  <c r="B2369" i="1"/>
  <c r="A2369" i="1"/>
  <c r="J2368" i="1"/>
  <c r="H2368" i="1"/>
  <c r="G2368" i="1"/>
  <c r="B2368" i="1"/>
  <c r="A2368" i="1"/>
  <c r="J2367" i="1"/>
  <c r="H2367" i="1"/>
  <c r="G2367" i="1"/>
  <c r="B2367" i="1"/>
  <c r="A2367" i="1"/>
  <c r="J2366" i="1"/>
  <c r="H2366" i="1"/>
  <c r="G2366" i="1"/>
  <c r="B2366" i="1"/>
  <c r="A2366" i="1"/>
  <c r="J2365" i="1"/>
  <c r="H2365" i="1"/>
  <c r="G2365" i="1"/>
  <c r="B2365" i="1"/>
  <c r="A2365" i="1"/>
  <c r="J2364" i="1"/>
  <c r="H2364" i="1"/>
  <c r="G2364" i="1"/>
  <c r="B2364" i="1"/>
  <c r="A2364" i="1"/>
  <c r="J2363" i="1"/>
  <c r="H2363" i="1"/>
  <c r="G2363" i="1"/>
  <c r="B2363" i="1"/>
  <c r="A2363" i="1"/>
  <c r="J2362" i="1"/>
  <c r="H2362" i="1"/>
  <c r="G2362" i="1"/>
  <c r="B2362" i="1"/>
  <c r="A2362" i="1"/>
  <c r="J2361" i="1"/>
  <c r="H2361" i="1"/>
  <c r="G2361" i="1"/>
  <c r="B2361" i="1"/>
  <c r="A2361" i="1"/>
  <c r="J2360" i="1"/>
  <c r="H2360" i="1"/>
  <c r="G2360" i="1"/>
  <c r="B2360" i="1"/>
  <c r="A2360" i="1"/>
  <c r="J2359" i="1"/>
  <c r="H2359" i="1"/>
  <c r="G2359" i="1"/>
  <c r="B2359" i="1"/>
  <c r="A2359" i="1"/>
  <c r="J2358" i="1"/>
  <c r="H2358" i="1"/>
  <c r="G2358" i="1"/>
  <c r="B2358" i="1"/>
  <c r="A2358" i="1"/>
  <c r="J2357" i="1"/>
  <c r="H2357" i="1"/>
  <c r="G2357" i="1"/>
  <c r="B2357" i="1"/>
  <c r="A2357" i="1"/>
  <c r="J2356" i="1"/>
  <c r="H2356" i="1"/>
  <c r="G2356" i="1"/>
  <c r="B2356" i="1"/>
  <c r="A2356" i="1"/>
  <c r="J2355" i="1"/>
  <c r="H2355" i="1"/>
  <c r="G2355" i="1"/>
  <c r="B2355" i="1"/>
  <c r="A2355" i="1"/>
  <c r="J2354" i="1"/>
  <c r="H2354" i="1"/>
  <c r="G2354" i="1"/>
  <c r="B2354" i="1"/>
  <c r="A2354" i="1"/>
  <c r="J2353" i="1"/>
  <c r="H2353" i="1"/>
  <c r="G2353" i="1"/>
  <c r="B2353" i="1"/>
  <c r="A2353" i="1"/>
  <c r="J2352" i="1"/>
  <c r="H2352" i="1"/>
  <c r="G2352" i="1"/>
  <c r="B2352" i="1"/>
  <c r="A2352" i="1"/>
  <c r="J2351" i="1"/>
  <c r="H2351" i="1"/>
  <c r="G2351" i="1"/>
  <c r="B2351" i="1"/>
  <c r="A2351" i="1"/>
  <c r="J2350" i="1"/>
  <c r="H2350" i="1"/>
  <c r="G2350" i="1"/>
  <c r="B2350" i="1"/>
  <c r="A2350" i="1"/>
  <c r="J2349" i="1"/>
  <c r="H2349" i="1"/>
  <c r="G2349" i="1"/>
  <c r="B2349" i="1"/>
  <c r="A2349" i="1"/>
  <c r="J2348" i="1"/>
  <c r="H2348" i="1"/>
  <c r="G2348" i="1"/>
  <c r="B2348" i="1"/>
  <c r="A2348" i="1"/>
  <c r="J2347" i="1"/>
  <c r="H2347" i="1"/>
  <c r="G2347" i="1"/>
  <c r="B2347" i="1"/>
  <c r="A2347" i="1"/>
  <c r="J2346" i="1"/>
  <c r="H2346" i="1"/>
  <c r="G2346" i="1"/>
  <c r="B2346" i="1"/>
  <c r="A2346" i="1"/>
  <c r="J2345" i="1"/>
  <c r="H2345" i="1"/>
  <c r="G2345" i="1"/>
  <c r="B2345" i="1"/>
  <c r="A2345" i="1"/>
  <c r="J2344" i="1"/>
  <c r="H2344" i="1"/>
  <c r="G2344" i="1"/>
  <c r="B2344" i="1"/>
  <c r="A2344" i="1"/>
  <c r="J2343" i="1"/>
  <c r="H2343" i="1"/>
  <c r="G2343" i="1"/>
  <c r="B2343" i="1"/>
  <c r="A2343" i="1"/>
  <c r="J2342" i="1"/>
  <c r="H2342" i="1"/>
  <c r="G2342" i="1"/>
  <c r="B2342" i="1"/>
  <c r="A2342" i="1"/>
  <c r="J2341" i="1"/>
  <c r="H2341" i="1"/>
  <c r="G2341" i="1"/>
  <c r="B2341" i="1"/>
  <c r="A2341" i="1"/>
  <c r="J2340" i="1"/>
  <c r="H2340" i="1"/>
  <c r="G2340" i="1"/>
  <c r="B2340" i="1"/>
  <c r="A2340" i="1"/>
  <c r="J2339" i="1"/>
  <c r="H2339" i="1"/>
  <c r="G2339" i="1"/>
  <c r="B2339" i="1"/>
  <c r="A2339" i="1"/>
  <c r="J2338" i="1"/>
  <c r="H2338" i="1"/>
  <c r="G2338" i="1"/>
  <c r="B2338" i="1"/>
  <c r="A2338" i="1"/>
  <c r="J2337" i="1"/>
  <c r="H2337" i="1"/>
  <c r="G2337" i="1"/>
  <c r="B2337" i="1"/>
  <c r="A2337" i="1"/>
  <c r="J2336" i="1"/>
  <c r="H2336" i="1"/>
  <c r="G2336" i="1"/>
  <c r="B2336" i="1"/>
  <c r="A2336" i="1"/>
  <c r="J2335" i="1"/>
  <c r="H2335" i="1"/>
  <c r="G2335" i="1"/>
  <c r="B2335" i="1"/>
  <c r="A2335" i="1"/>
  <c r="J2334" i="1"/>
  <c r="H2334" i="1"/>
  <c r="G2334" i="1"/>
  <c r="B2334" i="1"/>
  <c r="A2334" i="1"/>
  <c r="J2333" i="1"/>
  <c r="H2333" i="1"/>
  <c r="G2333" i="1"/>
  <c r="B2333" i="1"/>
  <c r="A2333" i="1"/>
  <c r="J2332" i="1"/>
  <c r="H2332" i="1"/>
  <c r="G2332" i="1"/>
  <c r="B2332" i="1"/>
  <c r="A2332" i="1"/>
  <c r="J2331" i="1"/>
  <c r="H2331" i="1"/>
  <c r="G2331" i="1"/>
  <c r="B2331" i="1"/>
  <c r="A2331" i="1"/>
  <c r="J2330" i="1"/>
  <c r="H2330" i="1"/>
  <c r="G2330" i="1"/>
  <c r="B2330" i="1"/>
  <c r="A2330" i="1"/>
  <c r="J2329" i="1"/>
  <c r="H2329" i="1"/>
  <c r="G2329" i="1"/>
  <c r="B2329" i="1"/>
  <c r="A2329" i="1"/>
  <c r="J2328" i="1"/>
  <c r="H2328" i="1"/>
  <c r="G2328" i="1"/>
  <c r="B2328" i="1"/>
  <c r="A2328" i="1"/>
  <c r="J2327" i="1"/>
  <c r="H2327" i="1"/>
  <c r="G2327" i="1"/>
  <c r="B2327" i="1"/>
  <c r="A2327" i="1"/>
  <c r="J2326" i="1"/>
  <c r="H2326" i="1"/>
  <c r="G2326" i="1"/>
  <c r="B2326" i="1"/>
  <c r="A2326" i="1"/>
  <c r="J2325" i="1"/>
  <c r="H2325" i="1"/>
  <c r="G2325" i="1"/>
  <c r="B2325" i="1"/>
  <c r="A2325" i="1"/>
  <c r="J2324" i="1"/>
  <c r="H2324" i="1"/>
  <c r="G2324" i="1"/>
  <c r="B2324" i="1"/>
  <c r="A2324" i="1"/>
  <c r="J2323" i="1"/>
  <c r="H2323" i="1"/>
  <c r="G2323" i="1"/>
  <c r="B2323" i="1"/>
  <c r="A2323" i="1"/>
  <c r="J2322" i="1"/>
  <c r="H2322" i="1"/>
  <c r="G2322" i="1"/>
  <c r="B2322" i="1"/>
  <c r="A2322" i="1"/>
  <c r="J2321" i="1"/>
  <c r="H2321" i="1"/>
  <c r="G2321" i="1"/>
  <c r="B2321" i="1"/>
  <c r="A2321" i="1"/>
  <c r="J2320" i="1"/>
  <c r="H2320" i="1"/>
  <c r="G2320" i="1"/>
  <c r="B2320" i="1"/>
  <c r="A2320" i="1"/>
  <c r="J2319" i="1"/>
  <c r="H2319" i="1"/>
  <c r="G2319" i="1"/>
  <c r="B2319" i="1"/>
  <c r="A2319" i="1"/>
  <c r="J2318" i="1"/>
  <c r="H2318" i="1"/>
  <c r="G2318" i="1"/>
  <c r="B2318" i="1"/>
  <c r="A2318" i="1"/>
  <c r="J2317" i="1"/>
  <c r="H2317" i="1"/>
  <c r="G2317" i="1"/>
  <c r="B2317" i="1"/>
  <c r="A2317" i="1"/>
  <c r="J2316" i="1"/>
  <c r="H2316" i="1"/>
  <c r="G2316" i="1"/>
  <c r="B2316" i="1"/>
  <c r="A2316" i="1"/>
  <c r="J2315" i="1"/>
  <c r="H2315" i="1"/>
  <c r="G2315" i="1"/>
  <c r="B2315" i="1"/>
  <c r="A2315" i="1"/>
  <c r="J2314" i="1"/>
  <c r="H2314" i="1"/>
  <c r="G2314" i="1"/>
  <c r="B2314" i="1"/>
  <c r="A2314" i="1"/>
  <c r="J2313" i="1"/>
  <c r="H2313" i="1"/>
  <c r="G2313" i="1"/>
  <c r="B2313" i="1"/>
  <c r="A2313" i="1"/>
  <c r="J2312" i="1"/>
  <c r="H2312" i="1"/>
  <c r="G2312" i="1"/>
  <c r="B2312" i="1"/>
  <c r="A2312" i="1"/>
  <c r="J2311" i="1"/>
  <c r="H2311" i="1"/>
  <c r="G2311" i="1"/>
  <c r="B2311" i="1"/>
  <c r="A2311" i="1"/>
  <c r="J2310" i="1"/>
  <c r="H2310" i="1"/>
  <c r="G2310" i="1"/>
  <c r="B2310" i="1"/>
  <c r="A2310" i="1"/>
  <c r="J2309" i="1"/>
  <c r="H2309" i="1"/>
  <c r="G2309" i="1"/>
  <c r="B2309" i="1"/>
  <c r="A2309" i="1"/>
  <c r="J2308" i="1"/>
  <c r="H2308" i="1"/>
  <c r="G2308" i="1"/>
  <c r="B2308" i="1"/>
  <c r="A2308" i="1"/>
  <c r="J2307" i="1"/>
  <c r="H2307" i="1"/>
  <c r="G2307" i="1"/>
  <c r="B2307" i="1"/>
  <c r="A2307" i="1"/>
  <c r="J2306" i="1"/>
  <c r="H2306" i="1"/>
  <c r="G2306" i="1"/>
  <c r="B2306" i="1"/>
  <c r="A2306" i="1"/>
  <c r="J2305" i="1"/>
  <c r="H2305" i="1"/>
  <c r="G2305" i="1"/>
  <c r="B2305" i="1"/>
  <c r="A2305" i="1"/>
  <c r="J2304" i="1"/>
  <c r="H2304" i="1"/>
  <c r="G2304" i="1"/>
  <c r="B2304" i="1"/>
  <c r="A2304" i="1"/>
  <c r="J2303" i="1"/>
  <c r="H2303" i="1"/>
  <c r="G2303" i="1"/>
  <c r="B2303" i="1"/>
  <c r="A2303" i="1"/>
  <c r="J2302" i="1"/>
  <c r="H2302" i="1"/>
  <c r="G2302" i="1"/>
  <c r="B2302" i="1"/>
  <c r="A2302" i="1"/>
  <c r="J2301" i="1"/>
  <c r="H2301" i="1"/>
  <c r="G2301" i="1"/>
  <c r="B2301" i="1"/>
  <c r="A2301" i="1"/>
  <c r="J2300" i="1"/>
  <c r="H2300" i="1"/>
  <c r="G2300" i="1"/>
  <c r="B2300" i="1"/>
  <c r="A2300" i="1"/>
  <c r="J2299" i="1"/>
  <c r="H2299" i="1"/>
  <c r="G2299" i="1"/>
  <c r="B2299" i="1"/>
  <c r="A2299" i="1"/>
  <c r="J2298" i="1"/>
  <c r="H2298" i="1"/>
  <c r="G2298" i="1"/>
  <c r="B2298" i="1"/>
  <c r="A2298" i="1"/>
  <c r="J2297" i="1"/>
  <c r="H2297" i="1"/>
  <c r="G2297" i="1"/>
  <c r="B2297" i="1"/>
  <c r="A2297" i="1"/>
  <c r="J2296" i="1"/>
  <c r="H2296" i="1"/>
  <c r="G2296" i="1"/>
  <c r="B2296" i="1"/>
  <c r="A2296" i="1"/>
  <c r="J2295" i="1"/>
  <c r="H2295" i="1"/>
  <c r="G2295" i="1"/>
  <c r="B2295" i="1"/>
  <c r="A2295" i="1"/>
  <c r="J2294" i="1"/>
  <c r="H2294" i="1"/>
  <c r="G2294" i="1"/>
  <c r="B2294" i="1"/>
  <c r="A2294" i="1"/>
  <c r="J2293" i="1"/>
  <c r="H2293" i="1"/>
  <c r="G2293" i="1"/>
  <c r="B2293" i="1"/>
  <c r="A2293" i="1"/>
  <c r="J2292" i="1"/>
  <c r="H2292" i="1"/>
  <c r="G2292" i="1"/>
  <c r="B2292" i="1"/>
  <c r="A2292" i="1"/>
  <c r="J2291" i="1"/>
  <c r="H2291" i="1"/>
  <c r="G2291" i="1"/>
  <c r="B2291" i="1"/>
  <c r="A2291" i="1"/>
  <c r="J2290" i="1"/>
  <c r="H2290" i="1"/>
  <c r="G2290" i="1"/>
  <c r="B2290" i="1"/>
  <c r="A2290" i="1"/>
  <c r="J2289" i="1"/>
  <c r="H2289" i="1"/>
  <c r="G2289" i="1"/>
  <c r="B2289" i="1"/>
  <c r="A2289" i="1"/>
  <c r="J2288" i="1"/>
  <c r="H2288" i="1"/>
  <c r="G2288" i="1"/>
  <c r="B2288" i="1"/>
  <c r="A2288" i="1"/>
  <c r="J2287" i="1"/>
  <c r="H2287" i="1"/>
  <c r="G2287" i="1"/>
  <c r="B2287" i="1"/>
  <c r="A2287" i="1"/>
  <c r="J2286" i="1"/>
  <c r="H2286" i="1"/>
  <c r="G2286" i="1"/>
  <c r="B2286" i="1"/>
  <c r="A2286" i="1"/>
  <c r="J2285" i="1"/>
  <c r="H2285" i="1"/>
  <c r="G2285" i="1"/>
  <c r="B2285" i="1"/>
  <c r="A2285" i="1"/>
  <c r="J2284" i="1"/>
  <c r="H2284" i="1"/>
  <c r="G2284" i="1"/>
  <c r="B2284" i="1"/>
  <c r="A2284" i="1"/>
  <c r="J2283" i="1"/>
  <c r="H2283" i="1"/>
  <c r="G2283" i="1"/>
  <c r="B2283" i="1"/>
  <c r="A2283" i="1"/>
  <c r="J2282" i="1"/>
  <c r="H2282" i="1"/>
  <c r="G2282" i="1"/>
  <c r="B2282" i="1"/>
  <c r="A2282" i="1"/>
  <c r="J2281" i="1"/>
  <c r="H2281" i="1"/>
  <c r="G2281" i="1"/>
  <c r="B2281" i="1"/>
  <c r="A2281" i="1"/>
  <c r="J2280" i="1"/>
  <c r="H2280" i="1"/>
  <c r="G2280" i="1"/>
  <c r="B2280" i="1"/>
  <c r="A2280" i="1"/>
  <c r="J2279" i="1"/>
  <c r="H2279" i="1"/>
  <c r="G2279" i="1"/>
  <c r="B2279" i="1"/>
  <c r="A2279" i="1"/>
  <c r="J2278" i="1"/>
  <c r="H2278" i="1"/>
  <c r="G2278" i="1"/>
  <c r="B2278" i="1"/>
  <c r="A2278" i="1"/>
  <c r="J2277" i="1"/>
  <c r="H2277" i="1"/>
  <c r="G2277" i="1"/>
  <c r="B2277" i="1"/>
  <c r="A2277" i="1"/>
  <c r="J2276" i="1"/>
  <c r="H2276" i="1"/>
  <c r="G2276" i="1"/>
  <c r="B2276" i="1"/>
  <c r="A2276" i="1"/>
  <c r="J2275" i="1"/>
  <c r="H2275" i="1"/>
  <c r="G2275" i="1"/>
  <c r="B2275" i="1"/>
  <c r="A2275" i="1"/>
  <c r="J2274" i="1"/>
  <c r="H2274" i="1"/>
  <c r="G2274" i="1"/>
  <c r="B2274" i="1"/>
  <c r="A2274" i="1"/>
  <c r="J2273" i="1"/>
  <c r="H2273" i="1"/>
  <c r="G2273" i="1"/>
  <c r="B2273" i="1"/>
  <c r="A2273" i="1"/>
  <c r="J2272" i="1"/>
  <c r="H2272" i="1"/>
  <c r="G2272" i="1"/>
  <c r="B2272" i="1"/>
  <c r="A2272" i="1"/>
  <c r="J2271" i="1"/>
  <c r="H2271" i="1"/>
  <c r="G2271" i="1"/>
  <c r="B2271" i="1"/>
  <c r="A2271" i="1"/>
  <c r="J2270" i="1"/>
  <c r="H2270" i="1"/>
  <c r="G2270" i="1"/>
  <c r="B2270" i="1"/>
  <c r="A2270" i="1"/>
  <c r="J2269" i="1"/>
  <c r="H2269" i="1"/>
  <c r="G2269" i="1"/>
  <c r="B2269" i="1"/>
  <c r="A2269" i="1"/>
  <c r="J2268" i="1"/>
  <c r="H2268" i="1"/>
  <c r="G2268" i="1"/>
  <c r="B2268" i="1"/>
  <c r="A2268" i="1"/>
  <c r="J2267" i="1"/>
  <c r="H2267" i="1"/>
  <c r="G2267" i="1"/>
  <c r="B2267" i="1"/>
  <c r="A2267" i="1"/>
  <c r="J2266" i="1"/>
  <c r="H2266" i="1"/>
  <c r="G2266" i="1"/>
  <c r="B2266" i="1"/>
  <c r="A2266" i="1"/>
  <c r="J2265" i="1"/>
  <c r="H2265" i="1"/>
  <c r="G2265" i="1"/>
  <c r="B2265" i="1"/>
  <c r="A2265" i="1"/>
  <c r="J2264" i="1"/>
  <c r="H2264" i="1"/>
  <c r="G2264" i="1"/>
  <c r="B2264" i="1"/>
  <c r="A2264" i="1"/>
  <c r="J2263" i="1"/>
  <c r="H2263" i="1"/>
  <c r="G2263" i="1"/>
  <c r="B2263" i="1"/>
  <c r="A2263" i="1"/>
  <c r="J2262" i="1"/>
  <c r="H2262" i="1"/>
  <c r="G2262" i="1"/>
  <c r="B2262" i="1"/>
  <c r="A2262" i="1"/>
  <c r="J2261" i="1"/>
  <c r="H2261" i="1"/>
  <c r="G2261" i="1"/>
  <c r="B2261" i="1"/>
  <c r="A2261" i="1"/>
  <c r="J2260" i="1"/>
  <c r="H2260" i="1"/>
  <c r="G2260" i="1"/>
  <c r="B2260" i="1"/>
  <c r="A2260" i="1"/>
  <c r="J2259" i="1"/>
  <c r="H2259" i="1"/>
  <c r="G2259" i="1"/>
  <c r="B2259" i="1"/>
  <c r="A2259" i="1"/>
  <c r="J2258" i="1"/>
  <c r="H2258" i="1"/>
  <c r="G2258" i="1"/>
  <c r="B2258" i="1"/>
  <c r="A2258" i="1"/>
  <c r="J2257" i="1"/>
  <c r="H2257" i="1"/>
  <c r="G2257" i="1"/>
  <c r="B2257" i="1"/>
  <c r="A2257" i="1"/>
  <c r="J2256" i="1"/>
  <c r="H2256" i="1"/>
  <c r="G2256" i="1"/>
  <c r="B2256" i="1"/>
  <c r="A2256" i="1"/>
  <c r="J2255" i="1"/>
  <c r="H2255" i="1"/>
  <c r="G2255" i="1"/>
  <c r="B2255" i="1"/>
  <c r="A2255" i="1"/>
  <c r="J2254" i="1"/>
  <c r="H2254" i="1"/>
  <c r="G2254" i="1"/>
  <c r="B2254" i="1"/>
  <c r="A2254" i="1"/>
  <c r="J2253" i="1"/>
  <c r="H2253" i="1"/>
  <c r="G2253" i="1"/>
  <c r="B2253" i="1"/>
  <c r="A2253" i="1"/>
  <c r="J2252" i="1"/>
  <c r="H2252" i="1"/>
  <c r="G2252" i="1"/>
  <c r="B2252" i="1"/>
  <c r="A2252" i="1"/>
  <c r="J2251" i="1"/>
  <c r="H2251" i="1"/>
  <c r="G2251" i="1"/>
  <c r="B2251" i="1"/>
  <c r="A2251" i="1"/>
  <c r="J2250" i="1"/>
  <c r="H2250" i="1"/>
  <c r="G2250" i="1"/>
  <c r="B2250" i="1"/>
  <c r="A2250" i="1"/>
  <c r="J2249" i="1"/>
  <c r="H2249" i="1"/>
  <c r="G2249" i="1"/>
  <c r="B2249" i="1"/>
  <c r="A2249" i="1"/>
  <c r="J2248" i="1"/>
  <c r="H2248" i="1"/>
  <c r="G2248" i="1"/>
  <c r="B2248" i="1"/>
  <c r="A2248" i="1"/>
  <c r="J2247" i="1"/>
  <c r="H2247" i="1"/>
  <c r="G2247" i="1"/>
  <c r="B2247" i="1"/>
  <c r="A2247" i="1"/>
  <c r="J2246" i="1"/>
  <c r="H2246" i="1"/>
  <c r="G2246" i="1"/>
  <c r="B2246" i="1"/>
  <c r="A2246" i="1"/>
  <c r="J2245" i="1"/>
  <c r="H2245" i="1"/>
  <c r="G2245" i="1"/>
  <c r="B2245" i="1"/>
  <c r="A2245" i="1"/>
  <c r="J2244" i="1"/>
  <c r="H2244" i="1"/>
  <c r="G2244" i="1"/>
  <c r="B2244" i="1"/>
  <c r="A2244" i="1"/>
  <c r="J2243" i="1"/>
  <c r="H2243" i="1"/>
  <c r="G2243" i="1"/>
  <c r="B2243" i="1"/>
  <c r="A2243" i="1"/>
  <c r="J2242" i="1"/>
  <c r="H2242" i="1"/>
  <c r="G2242" i="1"/>
  <c r="B2242" i="1"/>
  <c r="A2242" i="1"/>
  <c r="J2241" i="1"/>
  <c r="H2241" i="1"/>
  <c r="G2241" i="1"/>
  <c r="B2241" i="1"/>
  <c r="A2241" i="1"/>
  <c r="J2240" i="1"/>
  <c r="H2240" i="1"/>
  <c r="G2240" i="1"/>
  <c r="B2240" i="1"/>
  <c r="A2240" i="1"/>
  <c r="J2239" i="1"/>
  <c r="H2239" i="1"/>
  <c r="G2239" i="1"/>
  <c r="B2239" i="1"/>
  <c r="A2239" i="1"/>
  <c r="J2238" i="1"/>
  <c r="H2238" i="1"/>
  <c r="G2238" i="1"/>
  <c r="B2238" i="1"/>
  <c r="A2238" i="1"/>
  <c r="J2237" i="1"/>
  <c r="H2237" i="1"/>
  <c r="G2237" i="1"/>
  <c r="B2237" i="1"/>
  <c r="A2237" i="1"/>
  <c r="J2236" i="1"/>
  <c r="H2236" i="1"/>
  <c r="G2236" i="1"/>
  <c r="B2236" i="1"/>
  <c r="A2236" i="1"/>
  <c r="J2235" i="1"/>
  <c r="H2235" i="1"/>
  <c r="G2235" i="1"/>
  <c r="B2235" i="1"/>
  <c r="A2235" i="1"/>
  <c r="J2234" i="1"/>
  <c r="H2234" i="1"/>
  <c r="G2234" i="1"/>
  <c r="B2234" i="1"/>
  <c r="A2234" i="1"/>
  <c r="J2233" i="1"/>
  <c r="H2233" i="1"/>
  <c r="G2233" i="1"/>
  <c r="B2233" i="1"/>
  <c r="A2233" i="1"/>
  <c r="J2232" i="1"/>
  <c r="H2232" i="1"/>
  <c r="G2232" i="1"/>
  <c r="B2232" i="1"/>
  <c r="A2232" i="1"/>
  <c r="J2231" i="1"/>
  <c r="H2231" i="1"/>
  <c r="G2231" i="1"/>
  <c r="B2231" i="1"/>
  <c r="A2231" i="1"/>
  <c r="J2230" i="1"/>
  <c r="H2230" i="1"/>
  <c r="G2230" i="1"/>
  <c r="B2230" i="1"/>
  <c r="A2230" i="1"/>
  <c r="J2229" i="1"/>
  <c r="H2229" i="1"/>
  <c r="G2229" i="1"/>
  <c r="B2229" i="1"/>
  <c r="A2229" i="1"/>
  <c r="J2228" i="1"/>
  <c r="H2228" i="1"/>
  <c r="G2228" i="1"/>
  <c r="B2228" i="1"/>
  <c r="A2228" i="1"/>
  <c r="J2227" i="1"/>
  <c r="H2227" i="1"/>
  <c r="G2227" i="1"/>
  <c r="B2227" i="1"/>
  <c r="A2227" i="1"/>
  <c r="J2226" i="1"/>
  <c r="H2226" i="1"/>
  <c r="G2226" i="1"/>
  <c r="B2226" i="1"/>
  <c r="A2226" i="1"/>
  <c r="J2225" i="1"/>
  <c r="H2225" i="1"/>
  <c r="G2225" i="1"/>
  <c r="B2225" i="1"/>
  <c r="A2225" i="1"/>
  <c r="J2224" i="1"/>
  <c r="H2224" i="1"/>
  <c r="G2224" i="1"/>
  <c r="B2224" i="1"/>
  <c r="A2224" i="1"/>
  <c r="J2223" i="1"/>
  <c r="H2223" i="1"/>
  <c r="G2223" i="1"/>
  <c r="B2223" i="1"/>
  <c r="A2223" i="1"/>
  <c r="J2222" i="1"/>
  <c r="H2222" i="1"/>
  <c r="G2222" i="1"/>
  <c r="B2222" i="1"/>
  <c r="A2222" i="1"/>
  <c r="J2221" i="1"/>
  <c r="H2221" i="1"/>
  <c r="G2221" i="1"/>
  <c r="B2221" i="1"/>
  <c r="A2221" i="1"/>
  <c r="J2220" i="1"/>
  <c r="H2220" i="1"/>
  <c r="G2220" i="1"/>
  <c r="B2220" i="1"/>
  <c r="A2220" i="1"/>
  <c r="J2219" i="1"/>
  <c r="H2219" i="1"/>
  <c r="G2219" i="1"/>
  <c r="B2219" i="1"/>
  <c r="A2219" i="1"/>
  <c r="J2218" i="1"/>
  <c r="H2218" i="1"/>
  <c r="G2218" i="1"/>
  <c r="B2218" i="1"/>
  <c r="A2218" i="1"/>
  <c r="J2217" i="1"/>
  <c r="H2217" i="1"/>
  <c r="G2217" i="1"/>
  <c r="B2217" i="1"/>
  <c r="A2217" i="1"/>
  <c r="J2216" i="1"/>
  <c r="H2216" i="1"/>
  <c r="G2216" i="1"/>
  <c r="B2216" i="1"/>
  <c r="A2216" i="1"/>
  <c r="J2215" i="1"/>
  <c r="H2215" i="1"/>
  <c r="G2215" i="1"/>
  <c r="B2215" i="1"/>
  <c r="A2215" i="1"/>
  <c r="J2214" i="1"/>
  <c r="H2214" i="1"/>
  <c r="G2214" i="1"/>
  <c r="B2214" i="1"/>
  <c r="A2214" i="1"/>
  <c r="J2213" i="1"/>
  <c r="H2213" i="1"/>
  <c r="G2213" i="1"/>
  <c r="B2213" i="1"/>
  <c r="A2213" i="1"/>
  <c r="J2212" i="1"/>
  <c r="H2212" i="1"/>
  <c r="G2212" i="1"/>
  <c r="B2212" i="1"/>
  <c r="A2212" i="1"/>
  <c r="J2211" i="1"/>
  <c r="H2211" i="1"/>
  <c r="G2211" i="1"/>
  <c r="B2211" i="1"/>
  <c r="A2211" i="1"/>
  <c r="J2210" i="1"/>
  <c r="H2210" i="1"/>
  <c r="G2210" i="1"/>
  <c r="B2210" i="1"/>
  <c r="A2210" i="1"/>
  <c r="J2209" i="1"/>
  <c r="H2209" i="1"/>
  <c r="G2209" i="1"/>
  <c r="B2209" i="1"/>
  <c r="A2209" i="1"/>
  <c r="J2208" i="1"/>
  <c r="H2208" i="1"/>
  <c r="G2208" i="1"/>
  <c r="B2208" i="1"/>
  <c r="A2208" i="1"/>
  <c r="J2207" i="1"/>
  <c r="H2207" i="1"/>
  <c r="G2207" i="1"/>
  <c r="B2207" i="1"/>
  <c r="A2207" i="1"/>
  <c r="J2206" i="1"/>
  <c r="H2206" i="1"/>
  <c r="G2206" i="1"/>
  <c r="B2206" i="1"/>
  <c r="A2206" i="1"/>
  <c r="J2205" i="1"/>
  <c r="H2205" i="1"/>
  <c r="G2205" i="1"/>
  <c r="B2205" i="1"/>
  <c r="A2205" i="1"/>
  <c r="J2204" i="1"/>
  <c r="H2204" i="1"/>
  <c r="G2204" i="1"/>
  <c r="B2204" i="1"/>
  <c r="A2204" i="1"/>
  <c r="J2203" i="1"/>
  <c r="H2203" i="1"/>
  <c r="G2203" i="1"/>
  <c r="B2203" i="1"/>
  <c r="A2203" i="1"/>
  <c r="J2202" i="1"/>
  <c r="H2202" i="1"/>
  <c r="G2202" i="1"/>
  <c r="B2202" i="1"/>
  <c r="A2202" i="1"/>
  <c r="J2201" i="1"/>
  <c r="H2201" i="1"/>
  <c r="G2201" i="1"/>
  <c r="B2201" i="1"/>
  <c r="A2201" i="1"/>
  <c r="J2200" i="1"/>
  <c r="H2200" i="1"/>
  <c r="G2200" i="1"/>
  <c r="B2200" i="1"/>
  <c r="A2200" i="1"/>
  <c r="J2199" i="1"/>
  <c r="H2199" i="1"/>
  <c r="G2199" i="1"/>
  <c r="B2199" i="1"/>
  <c r="A2199" i="1"/>
  <c r="J2198" i="1"/>
  <c r="H2198" i="1"/>
  <c r="G2198" i="1"/>
  <c r="B2198" i="1"/>
  <c r="A2198" i="1"/>
  <c r="J2197" i="1"/>
  <c r="H2197" i="1"/>
  <c r="G2197" i="1"/>
  <c r="B2197" i="1"/>
  <c r="A2197" i="1"/>
  <c r="J2196" i="1"/>
  <c r="H2196" i="1"/>
  <c r="G2196" i="1"/>
  <c r="B2196" i="1"/>
  <c r="A2196" i="1"/>
  <c r="J2195" i="1"/>
  <c r="H2195" i="1"/>
  <c r="G2195" i="1"/>
  <c r="B2195" i="1"/>
  <c r="A2195" i="1"/>
  <c r="J2194" i="1"/>
  <c r="H2194" i="1"/>
  <c r="G2194" i="1"/>
  <c r="B2194" i="1"/>
  <c r="A2194" i="1"/>
  <c r="J2193" i="1"/>
  <c r="H2193" i="1"/>
  <c r="G2193" i="1"/>
  <c r="B2193" i="1"/>
  <c r="A2193" i="1"/>
  <c r="J2192" i="1"/>
  <c r="H2192" i="1"/>
  <c r="G2192" i="1"/>
  <c r="B2192" i="1"/>
  <c r="A2192" i="1"/>
  <c r="J2191" i="1"/>
  <c r="H2191" i="1"/>
  <c r="G2191" i="1"/>
  <c r="B2191" i="1"/>
  <c r="A2191" i="1"/>
  <c r="J2190" i="1"/>
  <c r="H2190" i="1"/>
  <c r="G2190" i="1"/>
  <c r="B2190" i="1"/>
  <c r="A2190" i="1"/>
  <c r="J2189" i="1"/>
  <c r="H2189" i="1"/>
  <c r="G2189" i="1"/>
  <c r="B2189" i="1"/>
  <c r="A2189" i="1"/>
  <c r="J2188" i="1"/>
  <c r="H2188" i="1"/>
  <c r="G2188" i="1"/>
  <c r="B2188" i="1"/>
  <c r="A2188" i="1"/>
  <c r="J2187" i="1"/>
  <c r="H2187" i="1"/>
  <c r="G2187" i="1"/>
  <c r="B2187" i="1"/>
  <c r="A2187" i="1"/>
  <c r="J2186" i="1"/>
  <c r="H2186" i="1"/>
  <c r="G2186" i="1"/>
  <c r="B2186" i="1"/>
  <c r="A2186" i="1"/>
  <c r="J2185" i="1"/>
  <c r="H2185" i="1"/>
  <c r="G2185" i="1"/>
  <c r="B2185" i="1"/>
  <c r="A2185" i="1"/>
  <c r="J2184" i="1"/>
  <c r="H2184" i="1"/>
  <c r="G2184" i="1"/>
  <c r="B2184" i="1"/>
  <c r="A2184" i="1"/>
  <c r="J2183" i="1"/>
  <c r="H2183" i="1"/>
  <c r="G2183" i="1"/>
  <c r="B2183" i="1"/>
  <c r="A2183" i="1"/>
  <c r="J2182" i="1"/>
  <c r="H2182" i="1"/>
  <c r="G2182" i="1"/>
  <c r="B2182" i="1"/>
  <c r="A2182" i="1"/>
  <c r="J2181" i="1"/>
  <c r="H2181" i="1"/>
  <c r="G2181" i="1"/>
  <c r="B2181" i="1"/>
  <c r="A2181" i="1"/>
  <c r="J2180" i="1"/>
  <c r="H2180" i="1"/>
  <c r="G2180" i="1"/>
  <c r="B2180" i="1"/>
  <c r="A2180" i="1"/>
  <c r="J2179" i="1"/>
  <c r="H2179" i="1"/>
  <c r="G2179" i="1"/>
  <c r="B2179" i="1"/>
  <c r="A2179" i="1"/>
  <c r="J2178" i="1"/>
  <c r="H2178" i="1"/>
  <c r="G2178" i="1"/>
  <c r="B2178" i="1"/>
  <c r="A2178" i="1"/>
  <c r="J2177" i="1"/>
  <c r="H2177" i="1"/>
  <c r="G2177" i="1"/>
  <c r="B2177" i="1"/>
  <c r="A2177" i="1"/>
  <c r="J2176" i="1"/>
  <c r="H2176" i="1"/>
  <c r="G2176" i="1"/>
  <c r="B2176" i="1"/>
  <c r="A2176" i="1"/>
  <c r="J2175" i="1"/>
  <c r="H2175" i="1"/>
  <c r="G2175" i="1"/>
  <c r="B2175" i="1"/>
  <c r="A2175" i="1"/>
  <c r="J2174" i="1"/>
  <c r="H2174" i="1"/>
  <c r="G2174" i="1"/>
  <c r="B2174" i="1"/>
  <c r="A2174" i="1"/>
  <c r="J2173" i="1"/>
  <c r="H2173" i="1"/>
  <c r="G2173" i="1"/>
  <c r="B2173" i="1"/>
  <c r="A2173" i="1"/>
  <c r="J2172" i="1"/>
  <c r="H2172" i="1"/>
  <c r="G2172" i="1"/>
  <c r="B2172" i="1"/>
  <c r="A2172" i="1"/>
  <c r="J2171" i="1"/>
  <c r="H2171" i="1"/>
  <c r="G2171" i="1"/>
  <c r="B2171" i="1"/>
  <c r="A2171" i="1"/>
  <c r="J2170" i="1"/>
  <c r="H2170" i="1"/>
  <c r="G2170" i="1"/>
  <c r="B2170" i="1"/>
  <c r="A2170" i="1"/>
  <c r="J2169" i="1"/>
  <c r="H2169" i="1"/>
  <c r="G2169" i="1"/>
  <c r="B2169" i="1"/>
  <c r="A2169" i="1"/>
  <c r="J2168" i="1"/>
  <c r="H2168" i="1"/>
  <c r="G2168" i="1"/>
  <c r="B2168" i="1"/>
  <c r="A2168" i="1"/>
  <c r="J2167" i="1"/>
  <c r="H2167" i="1"/>
  <c r="G2167" i="1"/>
  <c r="B2167" i="1"/>
  <c r="A2167" i="1"/>
  <c r="J2166" i="1"/>
  <c r="H2166" i="1"/>
  <c r="G2166" i="1"/>
  <c r="B2166" i="1"/>
  <c r="A2166" i="1"/>
  <c r="J2165" i="1"/>
  <c r="H2165" i="1"/>
  <c r="G2165" i="1"/>
  <c r="B2165" i="1"/>
  <c r="A2165" i="1"/>
  <c r="J2164" i="1"/>
  <c r="H2164" i="1"/>
  <c r="G2164" i="1"/>
  <c r="B2164" i="1"/>
  <c r="A2164" i="1"/>
  <c r="J2163" i="1"/>
  <c r="H2163" i="1"/>
  <c r="G2163" i="1"/>
  <c r="B2163" i="1"/>
  <c r="A2163" i="1"/>
  <c r="J2162" i="1"/>
  <c r="H2162" i="1"/>
  <c r="G2162" i="1"/>
  <c r="B2162" i="1"/>
  <c r="A2162" i="1"/>
  <c r="J2161" i="1"/>
  <c r="H2161" i="1"/>
  <c r="G2161" i="1"/>
  <c r="B2161" i="1"/>
  <c r="A2161" i="1"/>
  <c r="J2160" i="1"/>
  <c r="H2160" i="1"/>
  <c r="G2160" i="1"/>
  <c r="B2160" i="1"/>
  <c r="A2160" i="1"/>
  <c r="J2159" i="1"/>
  <c r="H2159" i="1"/>
  <c r="G2159" i="1"/>
  <c r="B2159" i="1"/>
  <c r="A2159" i="1"/>
  <c r="J2158" i="1"/>
  <c r="H2158" i="1"/>
  <c r="G2158" i="1"/>
  <c r="B2158" i="1"/>
  <c r="A2158" i="1"/>
  <c r="J2157" i="1"/>
  <c r="H2157" i="1"/>
  <c r="G2157" i="1"/>
  <c r="B2157" i="1"/>
  <c r="A2157" i="1"/>
  <c r="J2156" i="1"/>
  <c r="H2156" i="1"/>
  <c r="G2156" i="1"/>
  <c r="B2156" i="1"/>
  <c r="A2156" i="1"/>
  <c r="J2155" i="1"/>
  <c r="H2155" i="1"/>
  <c r="G2155" i="1"/>
  <c r="B2155" i="1"/>
  <c r="A2155" i="1"/>
  <c r="J2154" i="1"/>
  <c r="H2154" i="1"/>
  <c r="G2154" i="1"/>
  <c r="B2154" i="1"/>
  <c r="A2154" i="1"/>
  <c r="J2153" i="1"/>
  <c r="H2153" i="1"/>
  <c r="G2153" i="1"/>
  <c r="B2153" i="1"/>
  <c r="A2153" i="1"/>
  <c r="J2152" i="1"/>
  <c r="H2152" i="1"/>
  <c r="G2152" i="1"/>
  <c r="B2152" i="1"/>
  <c r="A2152" i="1"/>
  <c r="J2151" i="1"/>
  <c r="H2151" i="1"/>
  <c r="G2151" i="1"/>
  <c r="B2151" i="1"/>
  <c r="A2151" i="1"/>
  <c r="J2150" i="1"/>
  <c r="H2150" i="1"/>
  <c r="G2150" i="1"/>
  <c r="B2150" i="1"/>
  <c r="A2150" i="1"/>
  <c r="J2149" i="1"/>
  <c r="H2149" i="1"/>
  <c r="G2149" i="1"/>
  <c r="B2149" i="1"/>
  <c r="A2149" i="1"/>
  <c r="J2148" i="1"/>
  <c r="H2148" i="1"/>
  <c r="G2148" i="1"/>
  <c r="B2148" i="1"/>
  <c r="A2148" i="1"/>
  <c r="J2147" i="1"/>
  <c r="H2147" i="1"/>
  <c r="G2147" i="1"/>
  <c r="B2147" i="1"/>
  <c r="A2147" i="1"/>
  <c r="J2146" i="1"/>
  <c r="H2146" i="1"/>
  <c r="G2146" i="1"/>
  <c r="B2146" i="1"/>
  <c r="A2146" i="1"/>
  <c r="J2145" i="1"/>
  <c r="H2145" i="1"/>
  <c r="G2145" i="1"/>
  <c r="B2145" i="1"/>
  <c r="A2145" i="1"/>
  <c r="J2144" i="1"/>
  <c r="H2144" i="1"/>
  <c r="G2144" i="1"/>
  <c r="B2144" i="1"/>
  <c r="A2144" i="1"/>
  <c r="J2143" i="1"/>
  <c r="H2143" i="1"/>
  <c r="G2143" i="1"/>
  <c r="B2143" i="1"/>
  <c r="A2143" i="1"/>
  <c r="J2142" i="1"/>
  <c r="H2142" i="1"/>
  <c r="G2142" i="1"/>
  <c r="B2142" i="1"/>
  <c r="A2142" i="1"/>
  <c r="J2141" i="1"/>
  <c r="H2141" i="1"/>
  <c r="G2141" i="1"/>
  <c r="B2141" i="1"/>
  <c r="A2141" i="1"/>
  <c r="J2140" i="1"/>
  <c r="H2140" i="1"/>
  <c r="G2140" i="1"/>
  <c r="B2140" i="1"/>
  <c r="A2140" i="1"/>
  <c r="J2139" i="1"/>
  <c r="H2139" i="1"/>
  <c r="G2139" i="1"/>
  <c r="B2139" i="1"/>
  <c r="A2139" i="1"/>
  <c r="J2138" i="1"/>
  <c r="H2138" i="1"/>
  <c r="G2138" i="1"/>
  <c r="B2138" i="1"/>
  <c r="A2138" i="1"/>
  <c r="J2137" i="1"/>
  <c r="H2137" i="1"/>
  <c r="G2137" i="1"/>
  <c r="B2137" i="1"/>
  <c r="A2137" i="1"/>
  <c r="J2136" i="1"/>
  <c r="H2136" i="1"/>
  <c r="G2136" i="1"/>
  <c r="B2136" i="1"/>
  <c r="A2136" i="1"/>
  <c r="J2135" i="1"/>
  <c r="H2135" i="1"/>
  <c r="G2135" i="1"/>
  <c r="B2135" i="1"/>
  <c r="A2135" i="1"/>
  <c r="J2134" i="1"/>
  <c r="H2134" i="1"/>
  <c r="G2134" i="1"/>
  <c r="B2134" i="1"/>
  <c r="A2134" i="1"/>
  <c r="J2133" i="1"/>
  <c r="H2133" i="1"/>
  <c r="G2133" i="1"/>
  <c r="B2133" i="1"/>
  <c r="A2133" i="1"/>
  <c r="J2132" i="1"/>
  <c r="H2132" i="1"/>
  <c r="G2132" i="1"/>
  <c r="B2132" i="1"/>
  <c r="A2132" i="1"/>
  <c r="J2131" i="1"/>
  <c r="H2131" i="1"/>
  <c r="G2131" i="1"/>
  <c r="B2131" i="1"/>
  <c r="A2131" i="1"/>
  <c r="J2130" i="1"/>
  <c r="H2130" i="1"/>
  <c r="G2130" i="1"/>
  <c r="B2130" i="1"/>
  <c r="A2130" i="1"/>
  <c r="J2129" i="1"/>
  <c r="H2129" i="1"/>
  <c r="G2129" i="1"/>
  <c r="B2129" i="1"/>
  <c r="A2129" i="1"/>
  <c r="J2128" i="1"/>
  <c r="H2128" i="1"/>
  <c r="G2128" i="1"/>
  <c r="B2128" i="1"/>
  <c r="A2128" i="1"/>
  <c r="J2127" i="1"/>
  <c r="H2127" i="1"/>
  <c r="G2127" i="1"/>
  <c r="B2127" i="1"/>
  <c r="A2127" i="1"/>
  <c r="J2126" i="1"/>
  <c r="H2126" i="1"/>
  <c r="G2126" i="1"/>
  <c r="B2126" i="1"/>
  <c r="A2126" i="1"/>
  <c r="J2125" i="1"/>
  <c r="H2125" i="1"/>
  <c r="G2125" i="1"/>
  <c r="B2125" i="1"/>
  <c r="A2125" i="1"/>
  <c r="J2124" i="1"/>
  <c r="H2124" i="1"/>
  <c r="G2124" i="1"/>
  <c r="B2124" i="1"/>
  <c r="A2124" i="1"/>
  <c r="J2123" i="1"/>
  <c r="H2123" i="1"/>
  <c r="G2123" i="1"/>
  <c r="B2123" i="1"/>
  <c r="A2123" i="1"/>
  <c r="J2122" i="1"/>
  <c r="H2122" i="1"/>
  <c r="G2122" i="1"/>
  <c r="B2122" i="1"/>
  <c r="A2122" i="1"/>
  <c r="J2121" i="1"/>
  <c r="H2121" i="1"/>
  <c r="G2121" i="1"/>
  <c r="B2121" i="1"/>
  <c r="A2121" i="1"/>
  <c r="J2120" i="1"/>
  <c r="H2120" i="1"/>
  <c r="G2120" i="1"/>
  <c r="B2120" i="1"/>
  <c r="A2120" i="1"/>
  <c r="J2119" i="1"/>
  <c r="H2119" i="1"/>
  <c r="G2119" i="1"/>
  <c r="B2119" i="1"/>
  <c r="A2119" i="1"/>
  <c r="J2118" i="1"/>
  <c r="H2118" i="1"/>
  <c r="G2118" i="1"/>
  <c r="B2118" i="1"/>
  <c r="A2118" i="1"/>
  <c r="J2117" i="1"/>
  <c r="H2117" i="1"/>
  <c r="G2117" i="1"/>
  <c r="B2117" i="1"/>
  <c r="A2117" i="1"/>
  <c r="J2116" i="1"/>
  <c r="H2116" i="1"/>
  <c r="G2116" i="1"/>
  <c r="B2116" i="1"/>
  <c r="A2116" i="1"/>
  <c r="J2115" i="1"/>
  <c r="H2115" i="1"/>
  <c r="G2115" i="1"/>
  <c r="B2115" i="1"/>
  <c r="A2115" i="1"/>
  <c r="J2114" i="1"/>
  <c r="H2114" i="1"/>
  <c r="G2114" i="1"/>
  <c r="B2114" i="1"/>
  <c r="A2114" i="1"/>
  <c r="J2113" i="1"/>
  <c r="H2113" i="1"/>
  <c r="G2113" i="1"/>
  <c r="B2113" i="1"/>
  <c r="A2113" i="1"/>
  <c r="J2112" i="1"/>
  <c r="H2112" i="1"/>
  <c r="G2112" i="1"/>
  <c r="B2112" i="1"/>
  <c r="A2112" i="1"/>
  <c r="J2111" i="1"/>
  <c r="H2111" i="1"/>
  <c r="G2111" i="1"/>
  <c r="B2111" i="1"/>
  <c r="A2111" i="1"/>
  <c r="J2110" i="1"/>
  <c r="H2110" i="1"/>
  <c r="G2110" i="1"/>
  <c r="B2110" i="1"/>
  <c r="A2110" i="1"/>
  <c r="J2109" i="1"/>
  <c r="H2109" i="1"/>
  <c r="G2109" i="1"/>
  <c r="B2109" i="1"/>
  <c r="A2109" i="1"/>
  <c r="J2108" i="1"/>
  <c r="H2108" i="1"/>
  <c r="G2108" i="1"/>
  <c r="B2108" i="1"/>
  <c r="A2108" i="1"/>
  <c r="J2107" i="1"/>
  <c r="H2107" i="1"/>
  <c r="G2107" i="1"/>
  <c r="B2107" i="1"/>
  <c r="A2107" i="1"/>
  <c r="J2106" i="1"/>
  <c r="H2106" i="1"/>
  <c r="G2106" i="1"/>
  <c r="B2106" i="1"/>
  <c r="A2106" i="1"/>
  <c r="J2105" i="1"/>
  <c r="H2105" i="1"/>
  <c r="G2105" i="1"/>
  <c r="B2105" i="1"/>
  <c r="A2105" i="1"/>
  <c r="J2104" i="1"/>
  <c r="H2104" i="1"/>
  <c r="G2104" i="1"/>
  <c r="B2104" i="1"/>
  <c r="A2104" i="1"/>
  <c r="J2103" i="1"/>
  <c r="H2103" i="1"/>
  <c r="G2103" i="1"/>
  <c r="B2103" i="1"/>
  <c r="A2103" i="1"/>
  <c r="J2102" i="1"/>
  <c r="H2102" i="1"/>
  <c r="G2102" i="1"/>
  <c r="B2102" i="1"/>
  <c r="A2102" i="1"/>
  <c r="J2101" i="1"/>
  <c r="H2101" i="1"/>
  <c r="G2101" i="1"/>
  <c r="B2101" i="1"/>
  <c r="A2101" i="1"/>
  <c r="J2100" i="1"/>
  <c r="H2100" i="1"/>
  <c r="G2100" i="1"/>
  <c r="B2100" i="1"/>
  <c r="A2100" i="1"/>
  <c r="J2099" i="1"/>
  <c r="H2099" i="1"/>
  <c r="G2099" i="1"/>
  <c r="B2099" i="1"/>
  <c r="A2099" i="1"/>
  <c r="J2098" i="1"/>
  <c r="H2098" i="1"/>
  <c r="G2098" i="1"/>
  <c r="B2098" i="1"/>
  <c r="A2098" i="1"/>
  <c r="J2097" i="1"/>
  <c r="H2097" i="1"/>
  <c r="G2097" i="1"/>
  <c r="B2097" i="1"/>
  <c r="A2097" i="1"/>
  <c r="J2096" i="1"/>
  <c r="H2096" i="1"/>
  <c r="G2096" i="1"/>
  <c r="B2096" i="1"/>
  <c r="A2096" i="1"/>
  <c r="J2095" i="1"/>
  <c r="H2095" i="1"/>
  <c r="G2095" i="1"/>
  <c r="B2095" i="1"/>
  <c r="A2095" i="1"/>
  <c r="J2094" i="1"/>
  <c r="H2094" i="1"/>
  <c r="G2094" i="1"/>
  <c r="B2094" i="1"/>
  <c r="A2094" i="1"/>
  <c r="J2093" i="1"/>
  <c r="H2093" i="1"/>
  <c r="G2093" i="1"/>
  <c r="B2093" i="1"/>
  <c r="A2093" i="1"/>
  <c r="J2092" i="1"/>
  <c r="H2092" i="1"/>
  <c r="G2092" i="1"/>
  <c r="B2092" i="1"/>
  <c r="A2092" i="1"/>
  <c r="J2091" i="1"/>
  <c r="H2091" i="1"/>
  <c r="G2091" i="1"/>
  <c r="B2091" i="1"/>
  <c r="A2091" i="1"/>
  <c r="J2090" i="1"/>
  <c r="H2090" i="1"/>
  <c r="G2090" i="1"/>
  <c r="B2090" i="1"/>
  <c r="A2090" i="1"/>
  <c r="J2089" i="1"/>
  <c r="H2089" i="1"/>
  <c r="G2089" i="1"/>
  <c r="B2089" i="1"/>
  <c r="A2089" i="1"/>
  <c r="J2088" i="1"/>
  <c r="H2088" i="1"/>
  <c r="G2088" i="1"/>
  <c r="B2088" i="1"/>
  <c r="A2088" i="1"/>
  <c r="J2087" i="1"/>
  <c r="H2087" i="1"/>
  <c r="G2087" i="1"/>
  <c r="B2087" i="1"/>
  <c r="A2087" i="1"/>
  <c r="J2086" i="1"/>
  <c r="H2086" i="1"/>
  <c r="G2086" i="1"/>
  <c r="B2086" i="1"/>
  <c r="A2086" i="1"/>
  <c r="J2085" i="1"/>
  <c r="H2085" i="1"/>
  <c r="G2085" i="1"/>
  <c r="B2085" i="1"/>
  <c r="A2085" i="1"/>
  <c r="J2084" i="1"/>
  <c r="H2084" i="1"/>
  <c r="G2084" i="1"/>
  <c r="B2084" i="1"/>
  <c r="A2084" i="1"/>
  <c r="J2083" i="1"/>
  <c r="H2083" i="1"/>
  <c r="G2083" i="1"/>
  <c r="B2083" i="1"/>
  <c r="A2083" i="1"/>
  <c r="J2082" i="1"/>
  <c r="H2082" i="1"/>
  <c r="G2082" i="1"/>
  <c r="B2082" i="1"/>
  <c r="A2082" i="1"/>
  <c r="J2081" i="1"/>
  <c r="H2081" i="1"/>
  <c r="G2081" i="1"/>
  <c r="B2081" i="1"/>
  <c r="A2081" i="1"/>
  <c r="J2080" i="1"/>
  <c r="H2080" i="1"/>
  <c r="G2080" i="1"/>
  <c r="B2080" i="1"/>
  <c r="A2080" i="1"/>
  <c r="J2079" i="1"/>
  <c r="H2079" i="1"/>
  <c r="G2079" i="1"/>
  <c r="B2079" i="1"/>
  <c r="A2079" i="1"/>
  <c r="J2078" i="1"/>
  <c r="H2078" i="1"/>
  <c r="G2078" i="1"/>
  <c r="B2078" i="1"/>
  <c r="A2078" i="1"/>
  <c r="J2077" i="1"/>
  <c r="H2077" i="1"/>
  <c r="G2077" i="1"/>
  <c r="B2077" i="1"/>
  <c r="A2077" i="1"/>
  <c r="J2076" i="1"/>
  <c r="H2076" i="1"/>
  <c r="G2076" i="1"/>
  <c r="B2076" i="1"/>
  <c r="A2076" i="1"/>
  <c r="J2075" i="1"/>
  <c r="H2075" i="1"/>
  <c r="G2075" i="1"/>
  <c r="B2075" i="1"/>
  <c r="A2075" i="1"/>
  <c r="J2074" i="1"/>
  <c r="H2074" i="1"/>
  <c r="G2074" i="1"/>
  <c r="B2074" i="1"/>
  <c r="A2074" i="1"/>
  <c r="J2073" i="1"/>
  <c r="H2073" i="1"/>
  <c r="G2073" i="1"/>
  <c r="B2073" i="1"/>
  <c r="A2073" i="1"/>
  <c r="J2072" i="1"/>
  <c r="H2072" i="1"/>
  <c r="G2072" i="1"/>
  <c r="B2072" i="1"/>
  <c r="A2072" i="1"/>
  <c r="J2071" i="1"/>
  <c r="H2071" i="1"/>
  <c r="G2071" i="1"/>
  <c r="B2071" i="1"/>
  <c r="A2071" i="1"/>
  <c r="J2070" i="1"/>
  <c r="H2070" i="1"/>
  <c r="G2070" i="1"/>
  <c r="B2070" i="1"/>
  <c r="A2070" i="1"/>
  <c r="J2069" i="1"/>
  <c r="H2069" i="1"/>
  <c r="G2069" i="1"/>
  <c r="B2069" i="1"/>
  <c r="A2069" i="1"/>
  <c r="J2068" i="1"/>
  <c r="H2068" i="1"/>
  <c r="G2068" i="1"/>
  <c r="B2068" i="1"/>
  <c r="A2068" i="1"/>
  <c r="J2067" i="1"/>
  <c r="H2067" i="1"/>
  <c r="G2067" i="1"/>
  <c r="B2067" i="1"/>
  <c r="A2067" i="1"/>
  <c r="J2066" i="1"/>
  <c r="H2066" i="1"/>
  <c r="G2066" i="1"/>
  <c r="B2066" i="1"/>
  <c r="A2066" i="1"/>
  <c r="J2065" i="1"/>
  <c r="H2065" i="1"/>
  <c r="G2065" i="1"/>
  <c r="B2065" i="1"/>
  <c r="A2065" i="1"/>
  <c r="J2064" i="1"/>
  <c r="H2064" i="1"/>
  <c r="G2064" i="1"/>
  <c r="B2064" i="1"/>
  <c r="A2064" i="1"/>
  <c r="J2063" i="1"/>
  <c r="H2063" i="1"/>
  <c r="G2063" i="1"/>
  <c r="B2063" i="1"/>
  <c r="A2063" i="1"/>
  <c r="J2062" i="1"/>
  <c r="H2062" i="1"/>
  <c r="G2062" i="1"/>
  <c r="B2062" i="1"/>
  <c r="A2062" i="1"/>
  <c r="J2061" i="1"/>
  <c r="H2061" i="1"/>
  <c r="G2061" i="1"/>
  <c r="B2061" i="1"/>
  <c r="A2061" i="1"/>
  <c r="J2060" i="1"/>
  <c r="H2060" i="1"/>
  <c r="G2060" i="1"/>
  <c r="B2060" i="1"/>
  <c r="A2060" i="1"/>
  <c r="J2059" i="1"/>
  <c r="H2059" i="1"/>
  <c r="G2059" i="1"/>
  <c r="B2059" i="1"/>
  <c r="A2059" i="1"/>
  <c r="J2058" i="1"/>
  <c r="H2058" i="1"/>
  <c r="G2058" i="1"/>
  <c r="B2058" i="1"/>
  <c r="A2058" i="1"/>
  <c r="J2057" i="1"/>
  <c r="H2057" i="1"/>
  <c r="G2057" i="1"/>
  <c r="B2057" i="1"/>
  <c r="A2057" i="1"/>
  <c r="J2056" i="1"/>
  <c r="H2056" i="1"/>
  <c r="G2056" i="1"/>
  <c r="B2056" i="1"/>
  <c r="A2056" i="1"/>
  <c r="J2055" i="1"/>
  <c r="H2055" i="1"/>
  <c r="G2055" i="1"/>
  <c r="B2055" i="1"/>
  <c r="A2055" i="1"/>
  <c r="J2054" i="1"/>
  <c r="H2054" i="1"/>
  <c r="G2054" i="1"/>
  <c r="B2054" i="1"/>
  <c r="A2054" i="1"/>
  <c r="J2053" i="1"/>
  <c r="H2053" i="1"/>
  <c r="G2053" i="1"/>
  <c r="B2053" i="1"/>
  <c r="A2053" i="1"/>
  <c r="J2052" i="1"/>
  <c r="H2052" i="1"/>
  <c r="G2052" i="1"/>
  <c r="B2052" i="1"/>
  <c r="A2052" i="1"/>
  <c r="J2051" i="1"/>
  <c r="H2051" i="1"/>
  <c r="G2051" i="1"/>
  <c r="B2051" i="1"/>
  <c r="A2051" i="1"/>
  <c r="J2050" i="1"/>
  <c r="H2050" i="1"/>
  <c r="G2050" i="1"/>
  <c r="B2050" i="1"/>
  <c r="A2050" i="1"/>
  <c r="J2049" i="1"/>
  <c r="H2049" i="1"/>
  <c r="G2049" i="1"/>
  <c r="B2049" i="1"/>
  <c r="A2049" i="1"/>
  <c r="J2048" i="1"/>
  <c r="H2048" i="1"/>
  <c r="G2048" i="1"/>
  <c r="B2048" i="1"/>
  <c r="A2048" i="1"/>
  <c r="J2047" i="1"/>
  <c r="H2047" i="1"/>
  <c r="G2047" i="1"/>
  <c r="B2047" i="1"/>
  <c r="A2047" i="1"/>
  <c r="J2046" i="1"/>
  <c r="H2046" i="1"/>
  <c r="G2046" i="1"/>
  <c r="B2046" i="1"/>
  <c r="A2046" i="1"/>
  <c r="J2045" i="1"/>
  <c r="H2045" i="1"/>
  <c r="G2045" i="1"/>
  <c r="B2045" i="1"/>
  <c r="A2045" i="1"/>
  <c r="J2044" i="1"/>
  <c r="H2044" i="1"/>
  <c r="G2044" i="1"/>
  <c r="B2044" i="1"/>
  <c r="A2044" i="1"/>
  <c r="J2043" i="1"/>
  <c r="H2043" i="1"/>
  <c r="G2043" i="1"/>
  <c r="B2043" i="1"/>
  <c r="A2043" i="1"/>
  <c r="J2042" i="1"/>
  <c r="H2042" i="1"/>
  <c r="G2042" i="1"/>
  <c r="B2042" i="1"/>
  <c r="A2042" i="1"/>
  <c r="J2041" i="1"/>
  <c r="H2041" i="1"/>
  <c r="G2041" i="1"/>
  <c r="B2041" i="1"/>
  <c r="A2041" i="1"/>
  <c r="J2040" i="1"/>
  <c r="H2040" i="1"/>
  <c r="G2040" i="1"/>
  <c r="B2040" i="1"/>
  <c r="A2040" i="1"/>
  <c r="J2039" i="1"/>
  <c r="H2039" i="1"/>
  <c r="G2039" i="1"/>
  <c r="B2039" i="1"/>
  <c r="A2039" i="1"/>
  <c r="J2038" i="1"/>
  <c r="H2038" i="1"/>
  <c r="G2038" i="1"/>
  <c r="B2038" i="1"/>
  <c r="A2038" i="1"/>
  <c r="J2037" i="1"/>
  <c r="H2037" i="1"/>
  <c r="G2037" i="1"/>
  <c r="B2037" i="1"/>
  <c r="A2037" i="1"/>
  <c r="J2036" i="1"/>
  <c r="H2036" i="1"/>
  <c r="G2036" i="1"/>
  <c r="B2036" i="1"/>
  <c r="A2036" i="1"/>
  <c r="J2035" i="1"/>
  <c r="H2035" i="1"/>
  <c r="G2035" i="1"/>
  <c r="B2035" i="1"/>
  <c r="A2035" i="1"/>
  <c r="J2034" i="1"/>
  <c r="H2034" i="1"/>
  <c r="G2034" i="1"/>
  <c r="B2034" i="1"/>
  <c r="A2034" i="1"/>
  <c r="J2033" i="1"/>
  <c r="H2033" i="1"/>
  <c r="G2033" i="1"/>
  <c r="B2033" i="1"/>
  <c r="A2033" i="1"/>
  <c r="J2032" i="1"/>
  <c r="H2032" i="1"/>
  <c r="G2032" i="1"/>
  <c r="B2032" i="1"/>
  <c r="A2032" i="1"/>
  <c r="J2031" i="1"/>
  <c r="H2031" i="1"/>
  <c r="G2031" i="1"/>
  <c r="B2031" i="1"/>
  <c r="A2031" i="1"/>
  <c r="J2030" i="1"/>
  <c r="H2030" i="1"/>
  <c r="G2030" i="1"/>
  <c r="B2030" i="1"/>
  <c r="A2030" i="1"/>
  <c r="J2029" i="1"/>
  <c r="H2029" i="1"/>
  <c r="G2029" i="1"/>
  <c r="B2029" i="1"/>
  <c r="A2029" i="1"/>
  <c r="J2028" i="1"/>
  <c r="H2028" i="1"/>
  <c r="G2028" i="1"/>
  <c r="B2028" i="1"/>
  <c r="A2028" i="1"/>
  <c r="J2027" i="1"/>
  <c r="H2027" i="1"/>
  <c r="G2027" i="1"/>
  <c r="B2027" i="1"/>
  <c r="A2027" i="1"/>
  <c r="J2026" i="1"/>
  <c r="H2026" i="1"/>
  <c r="G2026" i="1"/>
  <c r="B2026" i="1"/>
  <c r="A2026" i="1"/>
  <c r="J2025" i="1"/>
  <c r="H2025" i="1"/>
  <c r="G2025" i="1"/>
  <c r="B2025" i="1"/>
  <c r="A2025" i="1"/>
  <c r="J2024" i="1"/>
  <c r="H2024" i="1"/>
  <c r="G2024" i="1"/>
  <c r="B2024" i="1"/>
  <c r="A2024" i="1"/>
  <c r="J2023" i="1"/>
  <c r="H2023" i="1"/>
  <c r="G2023" i="1"/>
  <c r="B2023" i="1"/>
  <c r="A2023" i="1"/>
  <c r="J2022" i="1"/>
  <c r="H2022" i="1"/>
  <c r="G2022" i="1"/>
  <c r="B2022" i="1"/>
  <c r="A2022" i="1"/>
  <c r="J2021" i="1"/>
  <c r="H2021" i="1"/>
  <c r="G2021" i="1"/>
  <c r="B2021" i="1"/>
  <c r="A2021" i="1"/>
  <c r="J2020" i="1"/>
  <c r="H2020" i="1"/>
  <c r="G2020" i="1"/>
  <c r="B2020" i="1"/>
  <c r="A2020" i="1"/>
  <c r="J2019" i="1"/>
  <c r="H2019" i="1"/>
  <c r="G2019" i="1"/>
  <c r="B2019" i="1"/>
  <c r="A2019" i="1"/>
  <c r="J2018" i="1"/>
  <c r="H2018" i="1"/>
  <c r="G2018" i="1"/>
  <c r="B2018" i="1"/>
  <c r="A2018" i="1"/>
  <c r="J2017" i="1"/>
  <c r="H2017" i="1"/>
  <c r="G2017" i="1"/>
  <c r="B2017" i="1"/>
  <c r="A2017" i="1"/>
  <c r="J2016" i="1"/>
  <c r="H2016" i="1"/>
  <c r="G2016" i="1"/>
  <c r="B2016" i="1"/>
  <c r="A2016" i="1"/>
  <c r="J2015" i="1"/>
  <c r="H2015" i="1"/>
  <c r="G2015" i="1"/>
  <c r="B2015" i="1"/>
  <c r="A2015" i="1"/>
  <c r="J2014" i="1"/>
  <c r="H2014" i="1"/>
  <c r="G2014" i="1"/>
  <c r="B2014" i="1"/>
  <c r="A2014" i="1"/>
  <c r="J2013" i="1"/>
  <c r="H2013" i="1"/>
  <c r="G2013" i="1"/>
  <c r="B2013" i="1"/>
  <c r="A2013" i="1"/>
  <c r="J2012" i="1"/>
  <c r="H2012" i="1"/>
  <c r="G2012" i="1"/>
  <c r="B2012" i="1"/>
  <c r="A2012" i="1"/>
  <c r="J2011" i="1"/>
  <c r="H2011" i="1"/>
  <c r="G2011" i="1"/>
  <c r="B2011" i="1"/>
  <c r="A2011" i="1"/>
  <c r="J2010" i="1"/>
  <c r="H2010" i="1"/>
  <c r="G2010" i="1"/>
  <c r="B2010" i="1"/>
  <c r="A2010" i="1"/>
  <c r="J2009" i="1"/>
  <c r="H2009" i="1"/>
  <c r="G2009" i="1"/>
  <c r="B2009" i="1"/>
  <c r="A2009" i="1"/>
  <c r="J2008" i="1"/>
  <c r="H2008" i="1"/>
  <c r="G2008" i="1"/>
  <c r="B2008" i="1"/>
  <c r="A2008" i="1"/>
  <c r="J2007" i="1"/>
  <c r="H2007" i="1"/>
  <c r="G2007" i="1"/>
  <c r="B2007" i="1"/>
  <c r="A2007" i="1"/>
  <c r="J2006" i="1"/>
  <c r="H2006" i="1"/>
  <c r="G2006" i="1"/>
  <c r="B2006" i="1"/>
  <c r="A2006" i="1"/>
  <c r="J2005" i="1"/>
  <c r="H2005" i="1"/>
  <c r="G2005" i="1"/>
  <c r="B2005" i="1"/>
  <c r="A2005" i="1"/>
  <c r="J2004" i="1"/>
  <c r="H2004" i="1"/>
  <c r="G2004" i="1"/>
  <c r="B2004" i="1"/>
  <c r="A2004" i="1"/>
  <c r="J2003" i="1"/>
  <c r="H2003" i="1"/>
  <c r="G2003" i="1"/>
  <c r="B2003" i="1"/>
  <c r="A2003" i="1"/>
  <c r="J2002" i="1"/>
  <c r="H2002" i="1"/>
  <c r="G2002" i="1"/>
  <c r="B2002" i="1"/>
  <c r="A2002" i="1"/>
  <c r="J2001" i="1"/>
  <c r="H2001" i="1"/>
  <c r="G2001" i="1"/>
  <c r="B2001" i="1"/>
  <c r="A2001" i="1"/>
  <c r="J2000" i="1"/>
  <c r="H2000" i="1"/>
  <c r="G2000" i="1"/>
  <c r="B2000" i="1"/>
  <c r="A2000" i="1"/>
  <c r="J1999" i="1"/>
  <c r="H1999" i="1"/>
  <c r="G1999" i="1"/>
  <c r="B1999" i="1"/>
  <c r="A1999" i="1"/>
  <c r="J1998" i="1"/>
  <c r="H1998" i="1"/>
  <c r="G1998" i="1"/>
  <c r="B1998" i="1"/>
  <c r="A1998" i="1"/>
  <c r="J1997" i="1"/>
  <c r="H1997" i="1"/>
  <c r="G1997" i="1"/>
  <c r="B1997" i="1"/>
  <c r="A1997" i="1"/>
  <c r="J1996" i="1"/>
  <c r="H1996" i="1"/>
  <c r="G1996" i="1"/>
  <c r="B1996" i="1"/>
  <c r="A1996" i="1"/>
  <c r="J1995" i="1"/>
  <c r="H1995" i="1"/>
  <c r="G1995" i="1"/>
  <c r="B1995" i="1"/>
  <c r="A1995" i="1"/>
  <c r="J1994" i="1"/>
  <c r="H1994" i="1"/>
  <c r="G1994" i="1"/>
  <c r="B1994" i="1"/>
  <c r="A1994" i="1"/>
  <c r="J1993" i="1"/>
  <c r="H1993" i="1"/>
  <c r="G1993" i="1"/>
  <c r="B1993" i="1"/>
  <c r="A1993" i="1"/>
  <c r="J1992" i="1"/>
  <c r="H1992" i="1"/>
  <c r="G1992" i="1"/>
  <c r="B1992" i="1"/>
  <c r="A1992" i="1"/>
  <c r="J1991" i="1"/>
  <c r="H1991" i="1"/>
  <c r="G1991" i="1"/>
  <c r="B1991" i="1"/>
  <c r="A1991" i="1"/>
  <c r="J1990" i="1"/>
  <c r="H1990" i="1"/>
  <c r="G1990" i="1"/>
  <c r="B1990" i="1"/>
  <c r="A1990" i="1"/>
  <c r="J1989" i="1"/>
  <c r="H1989" i="1"/>
  <c r="G1989" i="1"/>
  <c r="B1989" i="1"/>
  <c r="A1989" i="1"/>
  <c r="J1988" i="1"/>
  <c r="H1988" i="1"/>
  <c r="G1988" i="1"/>
  <c r="B1988" i="1"/>
  <c r="A1988" i="1"/>
  <c r="J1987" i="1"/>
  <c r="H1987" i="1"/>
  <c r="G1987" i="1"/>
  <c r="B1987" i="1"/>
  <c r="A1987" i="1"/>
  <c r="J1986" i="1"/>
  <c r="H1986" i="1"/>
  <c r="G1986" i="1"/>
  <c r="B1986" i="1"/>
  <c r="A1986" i="1"/>
  <c r="J1985" i="1"/>
  <c r="H1985" i="1"/>
  <c r="G1985" i="1"/>
  <c r="B1985" i="1"/>
  <c r="A1985" i="1"/>
  <c r="J1984" i="1"/>
  <c r="H1984" i="1"/>
  <c r="G1984" i="1"/>
  <c r="B1984" i="1"/>
  <c r="A1984" i="1"/>
  <c r="J1983" i="1"/>
  <c r="H1983" i="1"/>
  <c r="G1983" i="1"/>
  <c r="B1983" i="1"/>
  <c r="A1983" i="1"/>
  <c r="J1982" i="1"/>
  <c r="H1982" i="1"/>
  <c r="G1982" i="1"/>
  <c r="B1982" i="1"/>
  <c r="A1982" i="1"/>
  <c r="J1981" i="1"/>
  <c r="H1981" i="1"/>
  <c r="G1981" i="1"/>
  <c r="B1981" i="1"/>
  <c r="A1981" i="1"/>
  <c r="J1980" i="1"/>
  <c r="H1980" i="1"/>
  <c r="G1980" i="1"/>
  <c r="B1980" i="1"/>
  <c r="A1980" i="1"/>
  <c r="J1979" i="1"/>
  <c r="H1979" i="1"/>
  <c r="G1979" i="1"/>
  <c r="B1979" i="1"/>
  <c r="A1979" i="1"/>
  <c r="J1978" i="1"/>
  <c r="H1978" i="1"/>
  <c r="G1978" i="1"/>
  <c r="B1978" i="1"/>
  <c r="A1978" i="1"/>
  <c r="J1977" i="1"/>
  <c r="H1977" i="1"/>
  <c r="G1977" i="1"/>
  <c r="B1977" i="1"/>
  <c r="A1977" i="1"/>
  <c r="J1976" i="1"/>
  <c r="H1976" i="1"/>
  <c r="G1976" i="1"/>
  <c r="B1976" i="1"/>
  <c r="A1976" i="1"/>
  <c r="J1975" i="1"/>
  <c r="H1975" i="1"/>
  <c r="G1975" i="1"/>
  <c r="B1975" i="1"/>
  <c r="A1975" i="1"/>
  <c r="J1974" i="1"/>
  <c r="H1974" i="1"/>
  <c r="G1974" i="1"/>
  <c r="B1974" i="1"/>
  <c r="A1974" i="1"/>
  <c r="J1973" i="1"/>
  <c r="H1973" i="1"/>
  <c r="G1973" i="1"/>
  <c r="B1973" i="1"/>
  <c r="A1973" i="1"/>
  <c r="J1972" i="1"/>
  <c r="H1972" i="1"/>
  <c r="G1972" i="1"/>
  <c r="B1972" i="1"/>
  <c r="A1972" i="1"/>
  <c r="J1971" i="1"/>
  <c r="H1971" i="1"/>
  <c r="G1971" i="1"/>
  <c r="B1971" i="1"/>
  <c r="A1971" i="1"/>
  <c r="J1970" i="1"/>
  <c r="H1970" i="1"/>
  <c r="G1970" i="1"/>
  <c r="B1970" i="1"/>
  <c r="A1970" i="1"/>
  <c r="J1969" i="1"/>
  <c r="H1969" i="1"/>
  <c r="G1969" i="1"/>
  <c r="B1969" i="1"/>
  <c r="A1969" i="1"/>
  <c r="J1968" i="1"/>
  <c r="H1968" i="1"/>
  <c r="G1968" i="1"/>
  <c r="B1968" i="1"/>
  <c r="A1968" i="1"/>
  <c r="J1967" i="1"/>
  <c r="H1967" i="1"/>
  <c r="G1967" i="1"/>
  <c r="B1967" i="1"/>
  <c r="A1967" i="1"/>
  <c r="J1966" i="1"/>
  <c r="H1966" i="1"/>
  <c r="G1966" i="1"/>
  <c r="B1966" i="1"/>
  <c r="A1966" i="1"/>
  <c r="J1965" i="1"/>
  <c r="H1965" i="1"/>
  <c r="G1965" i="1"/>
  <c r="B1965" i="1"/>
  <c r="A1965" i="1"/>
  <c r="J1964" i="1"/>
  <c r="H1964" i="1"/>
  <c r="G1964" i="1"/>
  <c r="B1964" i="1"/>
  <c r="A1964" i="1"/>
  <c r="J1963" i="1"/>
  <c r="H1963" i="1"/>
  <c r="G1963" i="1"/>
  <c r="B1963" i="1"/>
  <c r="A1963" i="1"/>
  <c r="J1962" i="1"/>
  <c r="H1962" i="1"/>
  <c r="G1962" i="1"/>
  <c r="B1962" i="1"/>
  <c r="A1962" i="1"/>
  <c r="J1961" i="1"/>
  <c r="H1961" i="1"/>
  <c r="G1961" i="1"/>
  <c r="B1961" i="1"/>
  <c r="A1961" i="1"/>
  <c r="J1960" i="1"/>
  <c r="H1960" i="1"/>
  <c r="G1960" i="1"/>
  <c r="B1960" i="1"/>
  <c r="A1960" i="1"/>
  <c r="J1959" i="1"/>
  <c r="H1959" i="1"/>
  <c r="G1959" i="1"/>
  <c r="B1959" i="1"/>
  <c r="A1959" i="1"/>
  <c r="J1958" i="1"/>
  <c r="H1958" i="1"/>
  <c r="G1958" i="1"/>
  <c r="B1958" i="1"/>
  <c r="A1958" i="1"/>
  <c r="J1957" i="1"/>
  <c r="H1957" i="1"/>
  <c r="G1957" i="1"/>
  <c r="B1957" i="1"/>
  <c r="A1957" i="1"/>
  <c r="J1956" i="1"/>
  <c r="H1956" i="1"/>
  <c r="G1956" i="1"/>
  <c r="B1956" i="1"/>
  <c r="A1956" i="1"/>
  <c r="J1955" i="1"/>
  <c r="H1955" i="1"/>
  <c r="G1955" i="1"/>
  <c r="B1955" i="1"/>
  <c r="A1955" i="1"/>
  <c r="J1954" i="1"/>
  <c r="H1954" i="1"/>
  <c r="G1954" i="1"/>
  <c r="B1954" i="1"/>
  <c r="A1954" i="1"/>
  <c r="J1953" i="1"/>
  <c r="H1953" i="1"/>
  <c r="G1953" i="1"/>
  <c r="B1953" i="1"/>
  <c r="A1953" i="1"/>
  <c r="J1952" i="1"/>
  <c r="H1952" i="1"/>
  <c r="G1952" i="1"/>
  <c r="B1952" i="1"/>
  <c r="A1952" i="1"/>
  <c r="J1951" i="1"/>
  <c r="H1951" i="1"/>
  <c r="G1951" i="1"/>
  <c r="B1951" i="1"/>
  <c r="A1951" i="1"/>
  <c r="J1950" i="1"/>
  <c r="H1950" i="1"/>
  <c r="G1950" i="1"/>
  <c r="B1950" i="1"/>
  <c r="A1950" i="1"/>
  <c r="J1949" i="1"/>
  <c r="H1949" i="1"/>
  <c r="G1949" i="1"/>
  <c r="B1949" i="1"/>
  <c r="A1949" i="1"/>
  <c r="J1948" i="1"/>
  <c r="H1948" i="1"/>
  <c r="G1948" i="1"/>
  <c r="B1948" i="1"/>
  <c r="A1948" i="1"/>
  <c r="J1947" i="1"/>
  <c r="H1947" i="1"/>
  <c r="G1947" i="1"/>
  <c r="B1947" i="1"/>
  <c r="A1947" i="1"/>
  <c r="J1946" i="1"/>
  <c r="H1946" i="1"/>
  <c r="G1946" i="1"/>
  <c r="B1946" i="1"/>
  <c r="A1946" i="1"/>
  <c r="J1945" i="1"/>
  <c r="H1945" i="1"/>
  <c r="G1945" i="1"/>
  <c r="B1945" i="1"/>
  <c r="A1945" i="1"/>
  <c r="J1944" i="1"/>
  <c r="H1944" i="1"/>
  <c r="G1944" i="1"/>
  <c r="B1944" i="1"/>
  <c r="A1944" i="1"/>
  <c r="J1943" i="1"/>
  <c r="H1943" i="1"/>
  <c r="G1943" i="1"/>
  <c r="B1943" i="1"/>
  <c r="A1943" i="1"/>
  <c r="J1942" i="1"/>
  <c r="H1942" i="1"/>
  <c r="G1942" i="1"/>
  <c r="B1942" i="1"/>
  <c r="A1942" i="1"/>
  <c r="J1941" i="1"/>
  <c r="H1941" i="1"/>
  <c r="G1941" i="1"/>
  <c r="B1941" i="1"/>
  <c r="A1941" i="1"/>
  <c r="J1940" i="1"/>
  <c r="H1940" i="1"/>
  <c r="G1940" i="1"/>
  <c r="B1940" i="1"/>
  <c r="A1940" i="1"/>
  <c r="J1939" i="1"/>
  <c r="H1939" i="1"/>
  <c r="G1939" i="1"/>
  <c r="B1939" i="1"/>
  <c r="A1939" i="1"/>
  <c r="J1938" i="1"/>
  <c r="H1938" i="1"/>
  <c r="G1938" i="1"/>
  <c r="B1938" i="1"/>
  <c r="A1938" i="1"/>
  <c r="J1937" i="1"/>
  <c r="H1937" i="1"/>
  <c r="G1937" i="1"/>
  <c r="B1937" i="1"/>
  <c r="A1937" i="1"/>
  <c r="J1936" i="1"/>
  <c r="H1936" i="1"/>
  <c r="G1936" i="1"/>
  <c r="B1936" i="1"/>
  <c r="A1936" i="1"/>
  <c r="J1935" i="1"/>
  <c r="H1935" i="1"/>
  <c r="G1935" i="1"/>
  <c r="B1935" i="1"/>
  <c r="A1935" i="1"/>
  <c r="J1934" i="1"/>
  <c r="H1934" i="1"/>
  <c r="G1934" i="1"/>
  <c r="B1934" i="1"/>
  <c r="A1934" i="1"/>
  <c r="J1933" i="1"/>
  <c r="H1933" i="1"/>
  <c r="G1933" i="1"/>
  <c r="B1933" i="1"/>
  <c r="A1933" i="1"/>
  <c r="J1932" i="1"/>
  <c r="H1932" i="1"/>
  <c r="G1932" i="1"/>
  <c r="B1932" i="1"/>
  <c r="A1932" i="1"/>
  <c r="J1931" i="1"/>
  <c r="H1931" i="1"/>
  <c r="G1931" i="1"/>
  <c r="B1931" i="1"/>
  <c r="A1931" i="1"/>
  <c r="J1930" i="1"/>
  <c r="H1930" i="1"/>
  <c r="G1930" i="1"/>
  <c r="B1930" i="1"/>
  <c r="A1930" i="1"/>
  <c r="J1929" i="1"/>
  <c r="H1929" i="1"/>
  <c r="G1929" i="1"/>
  <c r="B1929" i="1"/>
  <c r="A1929" i="1"/>
  <c r="J1928" i="1"/>
  <c r="H1928" i="1"/>
  <c r="G1928" i="1"/>
  <c r="B1928" i="1"/>
  <c r="A1928" i="1"/>
  <c r="J1927" i="1"/>
  <c r="H1927" i="1"/>
  <c r="G1927" i="1"/>
  <c r="B1927" i="1"/>
  <c r="A1927" i="1"/>
  <c r="J1926" i="1"/>
  <c r="H1926" i="1"/>
  <c r="G1926" i="1"/>
  <c r="B1926" i="1"/>
  <c r="A1926" i="1"/>
  <c r="J1925" i="1"/>
  <c r="H1925" i="1"/>
  <c r="G1925" i="1"/>
  <c r="B1925" i="1"/>
  <c r="A1925" i="1"/>
  <c r="J1924" i="1"/>
  <c r="H1924" i="1"/>
  <c r="G1924" i="1"/>
  <c r="B1924" i="1"/>
  <c r="A1924" i="1"/>
  <c r="J1923" i="1"/>
  <c r="H1923" i="1"/>
  <c r="G1923" i="1"/>
  <c r="B1923" i="1"/>
  <c r="A1923" i="1"/>
  <c r="J1922" i="1"/>
  <c r="H1922" i="1"/>
  <c r="G1922" i="1"/>
  <c r="B1922" i="1"/>
  <c r="A1922" i="1"/>
  <c r="J1921" i="1"/>
  <c r="H1921" i="1"/>
  <c r="G1921" i="1"/>
  <c r="B1921" i="1"/>
  <c r="A1921" i="1"/>
  <c r="J1920" i="1"/>
  <c r="H1920" i="1"/>
  <c r="G1920" i="1"/>
  <c r="B1920" i="1"/>
  <c r="A1920" i="1"/>
  <c r="J1919" i="1"/>
  <c r="H1919" i="1"/>
  <c r="G1919" i="1"/>
  <c r="B1919" i="1"/>
  <c r="A1919" i="1"/>
  <c r="J1918" i="1"/>
  <c r="H1918" i="1"/>
  <c r="G1918" i="1"/>
  <c r="B1918" i="1"/>
  <c r="A1918" i="1"/>
  <c r="J1917" i="1"/>
  <c r="H1917" i="1"/>
  <c r="G1917" i="1"/>
  <c r="B1917" i="1"/>
  <c r="A1917" i="1"/>
  <c r="J1916" i="1"/>
  <c r="H1916" i="1"/>
  <c r="G1916" i="1"/>
  <c r="B1916" i="1"/>
  <c r="A1916" i="1"/>
  <c r="J1915" i="1"/>
  <c r="H1915" i="1"/>
  <c r="G1915" i="1"/>
  <c r="B1915" i="1"/>
  <c r="A1915" i="1"/>
  <c r="J1914" i="1"/>
  <c r="H1914" i="1"/>
  <c r="G1914" i="1"/>
  <c r="B1914" i="1"/>
  <c r="A1914" i="1"/>
  <c r="J1913" i="1"/>
  <c r="H1913" i="1"/>
  <c r="G1913" i="1"/>
  <c r="B1913" i="1"/>
  <c r="A1913" i="1"/>
  <c r="J1912" i="1"/>
  <c r="H1912" i="1"/>
  <c r="G1912" i="1"/>
  <c r="B1912" i="1"/>
  <c r="A1912" i="1"/>
  <c r="J1911" i="1"/>
  <c r="H1911" i="1"/>
  <c r="G1911" i="1"/>
  <c r="B1911" i="1"/>
  <c r="A1911" i="1"/>
  <c r="J1910" i="1"/>
  <c r="H1910" i="1"/>
  <c r="G1910" i="1"/>
  <c r="B1910" i="1"/>
  <c r="A1910" i="1"/>
  <c r="J1909" i="1"/>
  <c r="H1909" i="1"/>
  <c r="G1909" i="1"/>
  <c r="B1909" i="1"/>
  <c r="A1909" i="1"/>
  <c r="J1908" i="1"/>
  <c r="H1908" i="1"/>
  <c r="G1908" i="1"/>
  <c r="B1908" i="1"/>
  <c r="A1908" i="1"/>
  <c r="J1907" i="1"/>
  <c r="H1907" i="1"/>
  <c r="G1907" i="1"/>
  <c r="B1907" i="1"/>
  <c r="A1907" i="1"/>
  <c r="J1906" i="1"/>
  <c r="H1906" i="1"/>
  <c r="G1906" i="1"/>
  <c r="B1906" i="1"/>
  <c r="A1906" i="1"/>
  <c r="J1905" i="1"/>
  <c r="H1905" i="1"/>
  <c r="G1905" i="1"/>
  <c r="B1905" i="1"/>
  <c r="A1905" i="1"/>
  <c r="J1904" i="1"/>
  <c r="H1904" i="1"/>
  <c r="G1904" i="1"/>
  <c r="B1904" i="1"/>
  <c r="A1904" i="1"/>
  <c r="J1903" i="1"/>
  <c r="H1903" i="1"/>
  <c r="G1903" i="1"/>
  <c r="B1903" i="1"/>
  <c r="A1903" i="1"/>
  <c r="J1902" i="1"/>
  <c r="H1902" i="1"/>
  <c r="G1902" i="1"/>
  <c r="B1902" i="1"/>
  <c r="A1902" i="1"/>
  <c r="J1901" i="1"/>
  <c r="H1901" i="1"/>
  <c r="G1901" i="1"/>
  <c r="B1901" i="1"/>
  <c r="A1901" i="1"/>
  <c r="J1900" i="1"/>
  <c r="H1900" i="1"/>
  <c r="G1900" i="1"/>
  <c r="B1900" i="1"/>
  <c r="A1900" i="1"/>
  <c r="J1899" i="1"/>
  <c r="H1899" i="1"/>
  <c r="G1899" i="1"/>
  <c r="B1899" i="1"/>
  <c r="A1899" i="1"/>
  <c r="J1898" i="1"/>
  <c r="H1898" i="1"/>
  <c r="G1898" i="1"/>
  <c r="B1898" i="1"/>
  <c r="A1898" i="1"/>
  <c r="J1897" i="1"/>
  <c r="H1897" i="1"/>
  <c r="G1897" i="1"/>
  <c r="B1897" i="1"/>
  <c r="A1897" i="1"/>
  <c r="J1896" i="1"/>
  <c r="H1896" i="1"/>
  <c r="G1896" i="1"/>
  <c r="B1896" i="1"/>
  <c r="A1896" i="1"/>
  <c r="J1895" i="1"/>
  <c r="H1895" i="1"/>
  <c r="G1895" i="1"/>
  <c r="B1895" i="1"/>
  <c r="A1895" i="1"/>
  <c r="J1894" i="1"/>
  <c r="H1894" i="1"/>
  <c r="G1894" i="1"/>
  <c r="B1894" i="1"/>
  <c r="A1894" i="1"/>
  <c r="J1893" i="1"/>
  <c r="H1893" i="1"/>
  <c r="G1893" i="1"/>
  <c r="B1893" i="1"/>
  <c r="A1893" i="1"/>
  <c r="J1892" i="1"/>
  <c r="H1892" i="1"/>
  <c r="G1892" i="1"/>
  <c r="B1892" i="1"/>
  <c r="A1892" i="1"/>
  <c r="J1891" i="1"/>
  <c r="H1891" i="1"/>
  <c r="G1891" i="1"/>
  <c r="B1891" i="1"/>
  <c r="A1891" i="1"/>
  <c r="J1890" i="1"/>
  <c r="H1890" i="1"/>
  <c r="G1890" i="1"/>
  <c r="B1890" i="1"/>
  <c r="A1890" i="1"/>
  <c r="J1889" i="1"/>
  <c r="H1889" i="1"/>
  <c r="G1889" i="1"/>
  <c r="B1889" i="1"/>
  <c r="A1889" i="1"/>
  <c r="J1888" i="1"/>
  <c r="H1888" i="1"/>
  <c r="G1888" i="1"/>
  <c r="B1888" i="1"/>
  <c r="A1888" i="1"/>
  <c r="J1887" i="1"/>
  <c r="H1887" i="1"/>
  <c r="G1887" i="1"/>
  <c r="B1887" i="1"/>
  <c r="A1887" i="1"/>
  <c r="J1886" i="1"/>
  <c r="H1886" i="1"/>
  <c r="G1886" i="1"/>
  <c r="B1886" i="1"/>
  <c r="A1886" i="1"/>
  <c r="J1885" i="1"/>
  <c r="H1885" i="1"/>
  <c r="G1885" i="1"/>
  <c r="B1885" i="1"/>
  <c r="A1885" i="1"/>
  <c r="J1884" i="1"/>
  <c r="H1884" i="1"/>
  <c r="G1884" i="1"/>
  <c r="B1884" i="1"/>
  <c r="A1884" i="1"/>
  <c r="J1883" i="1"/>
  <c r="H1883" i="1"/>
  <c r="G1883" i="1"/>
  <c r="B1883" i="1"/>
  <c r="A1883" i="1"/>
  <c r="J1882" i="1"/>
  <c r="H1882" i="1"/>
  <c r="G1882" i="1"/>
  <c r="B1882" i="1"/>
  <c r="A1882" i="1"/>
  <c r="J1881" i="1"/>
  <c r="H1881" i="1"/>
  <c r="G1881" i="1"/>
  <c r="B1881" i="1"/>
  <c r="A1881" i="1"/>
  <c r="J1880" i="1"/>
  <c r="H1880" i="1"/>
  <c r="G1880" i="1"/>
  <c r="B1880" i="1"/>
  <c r="A1880" i="1"/>
  <c r="J1879" i="1"/>
  <c r="H1879" i="1"/>
  <c r="G1879" i="1"/>
  <c r="B1879" i="1"/>
  <c r="A1879" i="1"/>
  <c r="J1878" i="1"/>
  <c r="H1878" i="1"/>
  <c r="G1878" i="1"/>
  <c r="B1878" i="1"/>
  <c r="A1878" i="1"/>
  <c r="J1877" i="1"/>
  <c r="H1877" i="1"/>
  <c r="G1877" i="1"/>
  <c r="B1877" i="1"/>
  <c r="A1877" i="1"/>
  <c r="J1876" i="1"/>
  <c r="H1876" i="1"/>
  <c r="G1876" i="1"/>
  <c r="B1876" i="1"/>
  <c r="A1876" i="1"/>
  <c r="J1875" i="1"/>
  <c r="H1875" i="1"/>
  <c r="G1875" i="1"/>
  <c r="B1875" i="1"/>
  <c r="A1875" i="1"/>
  <c r="J1874" i="1"/>
  <c r="H1874" i="1"/>
  <c r="G1874" i="1"/>
  <c r="B1874" i="1"/>
  <c r="A1874" i="1"/>
  <c r="J1873" i="1"/>
  <c r="H1873" i="1"/>
  <c r="G1873" i="1"/>
  <c r="B1873" i="1"/>
  <c r="A1873" i="1"/>
  <c r="J1872" i="1"/>
  <c r="H1872" i="1"/>
  <c r="G1872" i="1"/>
  <c r="B1872" i="1"/>
  <c r="A1872" i="1"/>
  <c r="J1871" i="1"/>
  <c r="H1871" i="1"/>
  <c r="G1871" i="1"/>
  <c r="B1871" i="1"/>
  <c r="A1871" i="1"/>
  <c r="J1870" i="1"/>
  <c r="H1870" i="1"/>
  <c r="G1870" i="1"/>
  <c r="B1870" i="1"/>
  <c r="A1870" i="1"/>
  <c r="J1869" i="1"/>
  <c r="H1869" i="1"/>
  <c r="G1869" i="1"/>
  <c r="B1869" i="1"/>
  <c r="A1869" i="1"/>
  <c r="J1868" i="1"/>
  <c r="H1868" i="1"/>
  <c r="G1868" i="1"/>
  <c r="B1868" i="1"/>
  <c r="A1868" i="1"/>
  <c r="J1867" i="1"/>
  <c r="H1867" i="1"/>
  <c r="G1867" i="1"/>
  <c r="B1867" i="1"/>
  <c r="A1867" i="1"/>
  <c r="J1866" i="1"/>
  <c r="H1866" i="1"/>
  <c r="G1866" i="1"/>
  <c r="B1866" i="1"/>
  <c r="A1866" i="1"/>
  <c r="J1865" i="1"/>
  <c r="H1865" i="1"/>
  <c r="G1865" i="1"/>
  <c r="B1865" i="1"/>
  <c r="A1865" i="1"/>
  <c r="J1864" i="1"/>
  <c r="H1864" i="1"/>
  <c r="G1864" i="1"/>
  <c r="B1864" i="1"/>
  <c r="A1864" i="1"/>
  <c r="J1863" i="1"/>
  <c r="H1863" i="1"/>
  <c r="G1863" i="1"/>
  <c r="B1863" i="1"/>
  <c r="A1863" i="1"/>
  <c r="J1862" i="1"/>
  <c r="H1862" i="1"/>
  <c r="G1862" i="1"/>
  <c r="B1862" i="1"/>
  <c r="A1862" i="1"/>
  <c r="J1861" i="1"/>
  <c r="H1861" i="1"/>
  <c r="G1861" i="1"/>
  <c r="B1861" i="1"/>
  <c r="A1861" i="1"/>
  <c r="J1860" i="1"/>
  <c r="H1860" i="1"/>
  <c r="G1860" i="1"/>
  <c r="B1860" i="1"/>
  <c r="A1860" i="1"/>
  <c r="J1859" i="1"/>
  <c r="H1859" i="1"/>
  <c r="G1859" i="1"/>
  <c r="B1859" i="1"/>
  <c r="A1859" i="1"/>
  <c r="J1858" i="1"/>
  <c r="H1858" i="1"/>
  <c r="G1858" i="1"/>
  <c r="B1858" i="1"/>
  <c r="A1858" i="1"/>
  <c r="J1857" i="1"/>
  <c r="H1857" i="1"/>
  <c r="G1857" i="1"/>
  <c r="B1857" i="1"/>
  <c r="A1857" i="1"/>
  <c r="J1856" i="1"/>
  <c r="H1856" i="1"/>
  <c r="G1856" i="1"/>
  <c r="B1856" i="1"/>
  <c r="A1856" i="1"/>
  <c r="J1855" i="1"/>
  <c r="H1855" i="1"/>
  <c r="G1855" i="1"/>
  <c r="B1855" i="1"/>
  <c r="A1855" i="1"/>
  <c r="J1854" i="1"/>
  <c r="H1854" i="1"/>
  <c r="G1854" i="1"/>
  <c r="B1854" i="1"/>
  <c r="A1854" i="1"/>
  <c r="J1853" i="1"/>
  <c r="H1853" i="1"/>
  <c r="G1853" i="1"/>
  <c r="B1853" i="1"/>
  <c r="A1853" i="1"/>
  <c r="J1852" i="1"/>
  <c r="H1852" i="1"/>
  <c r="G1852" i="1"/>
  <c r="B1852" i="1"/>
  <c r="A1852" i="1"/>
  <c r="J1851" i="1"/>
  <c r="H1851" i="1"/>
  <c r="G1851" i="1"/>
  <c r="B1851" i="1"/>
  <c r="A1851" i="1"/>
  <c r="J1850" i="1"/>
  <c r="H1850" i="1"/>
  <c r="G1850" i="1"/>
  <c r="B1850" i="1"/>
  <c r="A1850" i="1"/>
  <c r="J1849" i="1"/>
  <c r="H1849" i="1"/>
  <c r="G1849" i="1"/>
  <c r="B1849" i="1"/>
  <c r="A1849" i="1"/>
  <c r="J1848" i="1"/>
  <c r="H1848" i="1"/>
  <c r="G1848" i="1"/>
  <c r="B1848" i="1"/>
  <c r="A1848" i="1"/>
  <c r="J1847" i="1"/>
  <c r="H1847" i="1"/>
  <c r="G1847" i="1"/>
  <c r="B1847" i="1"/>
  <c r="A1847" i="1"/>
  <c r="J1846" i="1"/>
  <c r="H1846" i="1"/>
  <c r="G1846" i="1"/>
  <c r="B1846" i="1"/>
  <c r="A1846" i="1"/>
  <c r="J1845" i="1"/>
  <c r="H1845" i="1"/>
  <c r="G1845" i="1"/>
  <c r="B1845" i="1"/>
  <c r="A1845" i="1"/>
  <c r="J1844" i="1"/>
  <c r="H1844" i="1"/>
  <c r="G1844" i="1"/>
  <c r="B1844" i="1"/>
  <c r="A1844" i="1"/>
  <c r="J1843" i="1"/>
  <c r="H1843" i="1"/>
  <c r="G1843" i="1"/>
  <c r="B1843" i="1"/>
  <c r="A1843" i="1"/>
  <c r="J1842" i="1"/>
  <c r="H1842" i="1"/>
  <c r="G1842" i="1"/>
  <c r="B1842" i="1"/>
  <c r="A1842" i="1"/>
  <c r="J1841" i="1"/>
  <c r="H1841" i="1"/>
  <c r="G1841" i="1"/>
  <c r="B1841" i="1"/>
  <c r="A1841" i="1"/>
  <c r="J1840" i="1"/>
  <c r="H1840" i="1"/>
  <c r="G1840" i="1"/>
  <c r="B1840" i="1"/>
  <c r="A1840" i="1"/>
  <c r="J1839" i="1"/>
  <c r="H1839" i="1"/>
  <c r="G1839" i="1"/>
  <c r="B1839" i="1"/>
  <c r="A1839" i="1"/>
  <c r="J1838" i="1"/>
  <c r="H1838" i="1"/>
  <c r="G1838" i="1"/>
  <c r="B1838" i="1"/>
  <c r="A1838" i="1"/>
  <c r="J1837" i="1"/>
  <c r="H1837" i="1"/>
  <c r="G1837" i="1"/>
  <c r="B1837" i="1"/>
  <c r="A1837" i="1"/>
  <c r="J1836" i="1"/>
  <c r="H1836" i="1"/>
  <c r="G1836" i="1"/>
  <c r="B1836" i="1"/>
  <c r="A1836" i="1"/>
  <c r="J1835" i="1"/>
  <c r="H1835" i="1"/>
  <c r="G1835" i="1"/>
  <c r="B1835" i="1"/>
  <c r="A1835" i="1"/>
  <c r="J1834" i="1"/>
  <c r="H1834" i="1"/>
  <c r="G1834" i="1"/>
  <c r="B1834" i="1"/>
  <c r="A1834" i="1"/>
  <c r="J1833" i="1"/>
  <c r="H1833" i="1"/>
  <c r="G1833" i="1"/>
  <c r="B1833" i="1"/>
  <c r="A1833" i="1"/>
  <c r="J1832" i="1"/>
  <c r="H1832" i="1"/>
  <c r="G1832" i="1"/>
  <c r="B1832" i="1"/>
  <c r="A1832" i="1"/>
  <c r="J1831" i="1"/>
  <c r="H1831" i="1"/>
  <c r="G1831" i="1"/>
  <c r="B1831" i="1"/>
  <c r="A1831" i="1"/>
  <c r="J1830" i="1"/>
  <c r="H1830" i="1"/>
  <c r="G1830" i="1"/>
  <c r="B1830" i="1"/>
  <c r="A1830" i="1"/>
  <c r="J1829" i="1"/>
  <c r="H1829" i="1"/>
  <c r="G1829" i="1"/>
  <c r="B1829" i="1"/>
  <c r="A1829" i="1"/>
  <c r="J1828" i="1"/>
  <c r="H1828" i="1"/>
  <c r="G1828" i="1"/>
  <c r="B1828" i="1"/>
  <c r="A1828" i="1"/>
  <c r="J1827" i="1"/>
  <c r="H1827" i="1"/>
  <c r="G1827" i="1"/>
  <c r="B1827" i="1"/>
  <c r="A1827" i="1"/>
  <c r="J1826" i="1"/>
  <c r="H1826" i="1"/>
  <c r="G1826" i="1"/>
  <c r="B1826" i="1"/>
  <c r="A1826" i="1"/>
  <c r="J1825" i="1"/>
  <c r="H1825" i="1"/>
  <c r="G1825" i="1"/>
  <c r="B1825" i="1"/>
  <c r="A1825" i="1"/>
  <c r="J1824" i="1"/>
  <c r="H1824" i="1"/>
  <c r="G1824" i="1"/>
  <c r="B1824" i="1"/>
  <c r="A1824" i="1"/>
  <c r="J1823" i="1"/>
  <c r="H1823" i="1"/>
  <c r="G1823" i="1"/>
  <c r="B1823" i="1"/>
  <c r="A1823" i="1"/>
  <c r="J1822" i="1"/>
  <c r="H1822" i="1"/>
  <c r="G1822" i="1"/>
  <c r="B1822" i="1"/>
  <c r="A1822" i="1"/>
  <c r="J1821" i="1"/>
  <c r="H1821" i="1"/>
  <c r="G1821" i="1"/>
  <c r="B1821" i="1"/>
  <c r="A1821" i="1"/>
  <c r="J1820" i="1"/>
  <c r="H1820" i="1"/>
  <c r="G1820" i="1"/>
  <c r="B1820" i="1"/>
  <c r="A1820" i="1"/>
  <c r="J1819" i="1"/>
  <c r="H1819" i="1"/>
  <c r="G1819" i="1"/>
  <c r="B1819" i="1"/>
  <c r="A1819" i="1"/>
  <c r="J1818" i="1"/>
  <c r="H1818" i="1"/>
  <c r="G1818" i="1"/>
  <c r="B1818" i="1"/>
  <c r="A1818" i="1"/>
  <c r="J1817" i="1"/>
  <c r="H1817" i="1"/>
  <c r="G1817" i="1"/>
  <c r="B1817" i="1"/>
  <c r="A1817" i="1"/>
  <c r="J1816" i="1"/>
  <c r="H1816" i="1"/>
  <c r="G1816" i="1"/>
  <c r="B1816" i="1"/>
  <c r="A1816" i="1"/>
  <c r="J1815" i="1"/>
  <c r="H1815" i="1"/>
  <c r="G1815" i="1"/>
  <c r="B1815" i="1"/>
  <c r="A1815" i="1"/>
  <c r="J1814" i="1"/>
  <c r="H1814" i="1"/>
  <c r="G1814" i="1"/>
  <c r="B1814" i="1"/>
  <c r="A1814" i="1"/>
  <c r="J1813" i="1"/>
  <c r="H1813" i="1"/>
  <c r="G1813" i="1"/>
  <c r="B1813" i="1"/>
  <c r="A1813" i="1"/>
  <c r="J1812" i="1"/>
  <c r="H1812" i="1"/>
  <c r="G1812" i="1"/>
  <c r="B1812" i="1"/>
  <c r="A1812" i="1"/>
  <c r="J1811" i="1"/>
  <c r="H1811" i="1"/>
  <c r="G1811" i="1"/>
  <c r="B1811" i="1"/>
  <c r="A1811" i="1"/>
  <c r="J1810" i="1"/>
  <c r="H1810" i="1"/>
  <c r="G1810" i="1"/>
  <c r="B1810" i="1"/>
  <c r="A1810" i="1"/>
  <c r="J1809" i="1"/>
  <c r="H1809" i="1"/>
  <c r="G1809" i="1"/>
  <c r="B1809" i="1"/>
  <c r="A1809" i="1"/>
  <c r="J1808" i="1"/>
  <c r="H1808" i="1"/>
  <c r="G1808" i="1"/>
  <c r="B1808" i="1"/>
  <c r="A1808" i="1"/>
  <c r="J1807" i="1"/>
  <c r="H1807" i="1"/>
  <c r="G1807" i="1"/>
  <c r="B1807" i="1"/>
  <c r="A1807" i="1"/>
  <c r="J1806" i="1"/>
  <c r="H1806" i="1"/>
  <c r="G1806" i="1"/>
  <c r="B1806" i="1"/>
  <c r="A1806" i="1"/>
  <c r="J1805" i="1"/>
  <c r="H1805" i="1"/>
  <c r="G1805" i="1"/>
  <c r="B1805" i="1"/>
  <c r="A1805" i="1"/>
  <c r="J1804" i="1"/>
  <c r="H1804" i="1"/>
  <c r="G1804" i="1"/>
  <c r="B1804" i="1"/>
  <c r="A1804" i="1"/>
  <c r="J1803" i="1"/>
  <c r="H1803" i="1"/>
  <c r="G1803" i="1"/>
  <c r="B1803" i="1"/>
  <c r="A1803" i="1"/>
  <c r="J1802" i="1"/>
  <c r="H1802" i="1"/>
  <c r="G1802" i="1"/>
  <c r="B1802" i="1"/>
  <c r="A1802" i="1"/>
  <c r="J1801" i="1"/>
  <c r="H1801" i="1"/>
  <c r="G1801" i="1"/>
  <c r="B1801" i="1"/>
  <c r="A1801" i="1"/>
  <c r="J1800" i="1"/>
  <c r="H1800" i="1"/>
  <c r="G1800" i="1"/>
  <c r="B1800" i="1"/>
  <c r="A1800" i="1"/>
  <c r="J1799" i="1"/>
  <c r="H1799" i="1"/>
  <c r="G1799" i="1"/>
  <c r="B1799" i="1"/>
  <c r="A1799" i="1"/>
  <c r="J1798" i="1"/>
  <c r="H1798" i="1"/>
  <c r="G1798" i="1"/>
  <c r="B1798" i="1"/>
  <c r="A1798" i="1"/>
  <c r="J1797" i="1"/>
  <c r="H1797" i="1"/>
  <c r="G1797" i="1"/>
  <c r="B1797" i="1"/>
  <c r="A1797" i="1"/>
  <c r="J1796" i="1"/>
  <c r="H1796" i="1"/>
  <c r="G1796" i="1"/>
  <c r="B1796" i="1"/>
  <c r="A1796" i="1"/>
  <c r="J1795" i="1"/>
  <c r="H1795" i="1"/>
  <c r="G1795" i="1"/>
  <c r="B1795" i="1"/>
  <c r="A1795" i="1"/>
  <c r="J1794" i="1"/>
  <c r="H1794" i="1"/>
  <c r="G1794" i="1"/>
  <c r="B1794" i="1"/>
  <c r="A1794" i="1"/>
  <c r="J1793" i="1"/>
  <c r="H1793" i="1"/>
  <c r="G1793" i="1"/>
  <c r="B1793" i="1"/>
  <c r="A1793" i="1"/>
  <c r="J1792" i="1"/>
  <c r="H1792" i="1"/>
  <c r="G1792" i="1"/>
  <c r="B1792" i="1"/>
  <c r="A1792" i="1"/>
  <c r="J1791" i="1"/>
  <c r="H1791" i="1"/>
  <c r="G1791" i="1"/>
  <c r="B1791" i="1"/>
  <c r="A1791" i="1"/>
  <c r="J1790" i="1"/>
  <c r="H1790" i="1"/>
  <c r="G1790" i="1"/>
  <c r="B1790" i="1"/>
  <c r="A1790" i="1"/>
  <c r="J1789" i="1"/>
  <c r="H1789" i="1"/>
  <c r="G1789" i="1"/>
  <c r="B1789" i="1"/>
  <c r="A1789" i="1"/>
  <c r="J1788" i="1"/>
  <c r="H1788" i="1"/>
  <c r="G1788" i="1"/>
  <c r="B1788" i="1"/>
  <c r="A1788" i="1"/>
  <c r="J1787" i="1"/>
  <c r="H1787" i="1"/>
  <c r="G1787" i="1"/>
  <c r="B1787" i="1"/>
  <c r="A1787" i="1"/>
  <c r="J1786" i="1"/>
  <c r="H1786" i="1"/>
  <c r="G1786" i="1"/>
  <c r="B1786" i="1"/>
  <c r="A1786" i="1"/>
  <c r="J1785" i="1"/>
  <c r="H1785" i="1"/>
  <c r="G1785" i="1"/>
  <c r="B1785" i="1"/>
  <c r="A1785" i="1"/>
  <c r="J1784" i="1"/>
  <c r="H1784" i="1"/>
  <c r="G1784" i="1"/>
  <c r="B1784" i="1"/>
  <c r="A1784" i="1"/>
  <c r="J1783" i="1"/>
  <c r="H1783" i="1"/>
  <c r="G1783" i="1"/>
  <c r="B1783" i="1"/>
  <c r="A1783" i="1"/>
  <c r="J1782" i="1"/>
  <c r="H1782" i="1"/>
  <c r="G1782" i="1"/>
  <c r="B1782" i="1"/>
  <c r="A1782" i="1"/>
  <c r="J1781" i="1"/>
  <c r="H1781" i="1"/>
  <c r="G1781" i="1"/>
  <c r="B1781" i="1"/>
  <c r="A1781" i="1"/>
  <c r="J1780" i="1"/>
  <c r="H1780" i="1"/>
  <c r="G1780" i="1"/>
  <c r="B1780" i="1"/>
  <c r="A1780" i="1"/>
  <c r="J1779" i="1"/>
  <c r="H1779" i="1"/>
  <c r="G1779" i="1"/>
  <c r="B1779" i="1"/>
  <c r="A1779" i="1"/>
  <c r="J1778" i="1"/>
  <c r="H1778" i="1"/>
  <c r="G1778" i="1"/>
  <c r="B1778" i="1"/>
  <c r="A1778" i="1"/>
  <c r="J1777" i="1"/>
  <c r="H1777" i="1"/>
  <c r="G1777" i="1"/>
  <c r="B1777" i="1"/>
  <c r="A1777" i="1"/>
  <c r="J1776" i="1"/>
  <c r="H1776" i="1"/>
  <c r="G1776" i="1"/>
  <c r="B1776" i="1"/>
  <c r="A1776" i="1"/>
  <c r="J1775" i="1"/>
  <c r="H1775" i="1"/>
  <c r="G1775" i="1"/>
  <c r="B1775" i="1"/>
  <c r="A1775" i="1"/>
  <c r="J1774" i="1"/>
  <c r="H1774" i="1"/>
  <c r="G1774" i="1"/>
  <c r="B1774" i="1"/>
  <c r="A1774" i="1"/>
  <c r="J1773" i="1"/>
  <c r="H1773" i="1"/>
  <c r="G1773" i="1"/>
  <c r="B1773" i="1"/>
  <c r="A1773" i="1"/>
  <c r="J1772" i="1"/>
  <c r="H1772" i="1"/>
  <c r="G1772" i="1"/>
  <c r="B1772" i="1"/>
  <c r="A1772" i="1"/>
  <c r="J1771" i="1"/>
  <c r="H1771" i="1"/>
  <c r="G1771" i="1"/>
  <c r="B1771" i="1"/>
  <c r="A1771" i="1"/>
  <c r="J1770" i="1"/>
  <c r="H1770" i="1"/>
  <c r="G1770" i="1"/>
  <c r="B1770" i="1"/>
  <c r="A1770" i="1"/>
  <c r="J1769" i="1"/>
  <c r="H1769" i="1"/>
  <c r="G1769" i="1"/>
  <c r="B1769" i="1"/>
  <c r="A1769" i="1"/>
  <c r="J1768" i="1"/>
  <c r="H1768" i="1"/>
  <c r="G1768" i="1"/>
  <c r="B1768" i="1"/>
  <c r="A1768" i="1"/>
  <c r="J1767" i="1"/>
  <c r="H1767" i="1"/>
  <c r="G1767" i="1"/>
  <c r="B1767" i="1"/>
  <c r="A1767" i="1"/>
  <c r="J1766" i="1"/>
  <c r="H1766" i="1"/>
  <c r="G1766" i="1"/>
  <c r="B1766" i="1"/>
  <c r="A1766" i="1"/>
  <c r="J1765" i="1"/>
  <c r="H1765" i="1"/>
  <c r="G1765" i="1"/>
  <c r="B1765" i="1"/>
  <c r="A1765" i="1"/>
  <c r="J1764" i="1"/>
  <c r="H1764" i="1"/>
  <c r="G1764" i="1"/>
  <c r="B1764" i="1"/>
  <c r="A1764" i="1"/>
  <c r="J1763" i="1"/>
  <c r="H1763" i="1"/>
  <c r="G1763" i="1"/>
  <c r="B1763" i="1"/>
  <c r="A1763" i="1"/>
  <c r="J1762" i="1"/>
  <c r="H1762" i="1"/>
  <c r="G1762" i="1"/>
  <c r="B1762" i="1"/>
  <c r="A1762" i="1"/>
  <c r="J1761" i="1"/>
  <c r="H1761" i="1"/>
  <c r="G1761" i="1"/>
  <c r="B1761" i="1"/>
  <c r="A1761" i="1"/>
  <c r="J1760" i="1"/>
  <c r="H1760" i="1"/>
  <c r="G1760" i="1"/>
  <c r="B1760" i="1"/>
  <c r="A1760" i="1"/>
  <c r="J1759" i="1"/>
  <c r="H1759" i="1"/>
  <c r="G1759" i="1"/>
  <c r="B1759" i="1"/>
  <c r="A1759" i="1"/>
  <c r="J1758" i="1"/>
  <c r="H1758" i="1"/>
  <c r="G1758" i="1"/>
  <c r="B1758" i="1"/>
  <c r="A1758" i="1"/>
  <c r="J1757" i="1"/>
  <c r="H1757" i="1"/>
  <c r="G1757" i="1"/>
  <c r="B1757" i="1"/>
  <c r="A1757" i="1"/>
  <c r="J1756" i="1"/>
  <c r="H1756" i="1"/>
  <c r="G1756" i="1"/>
  <c r="B1756" i="1"/>
  <c r="A1756" i="1"/>
  <c r="J1755" i="1"/>
  <c r="H1755" i="1"/>
  <c r="G1755" i="1"/>
  <c r="B1755" i="1"/>
  <c r="A1755" i="1"/>
  <c r="J1754" i="1"/>
  <c r="H1754" i="1"/>
  <c r="G1754" i="1"/>
  <c r="B1754" i="1"/>
  <c r="A1754" i="1"/>
  <c r="J1753" i="1"/>
  <c r="H1753" i="1"/>
  <c r="G1753" i="1"/>
  <c r="B1753" i="1"/>
  <c r="A1753" i="1"/>
  <c r="J1752" i="1"/>
  <c r="H1752" i="1"/>
  <c r="G1752" i="1"/>
  <c r="B1752" i="1"/>
  <c r="A1752" i="1"/>
  <c r="J1751" i="1"/>
  <c r="H1751" i="1"/>
  <c r="G1751" i="1"/>
  <c r="B1751" i="1"/>
  <c r="A1751" i="1"/>
  <c r="J1750" i="1"/>
  <c r="H1750" i="1"/>
  <c r="G1750" i="1"/>
  <c r="B1750" i="1"/>
  <c r="A1750" i="1"/>
  <c r="J1749" i="1"/>
  <c r="H1749" i="1"/>
  <c r="G1749" i="1"/>
  <c r="B1749" i="1"/>
  <c r="A1749" i="1"/>
  <c r="J1748" i="1"/>
  <c r="H1748" i="1"/>
  <c r="G1748" i="1"/>
  <c r="B1748" i="1"/>
  <c r="A1748" i="1"/>
  <c r="J1747" i="1"/>
  <c r="H1747" i="1"/>
  <c r="G1747" i="1"/>
  <c r="B1747" i="1"/>
  <c r="A1747" i="1"/>
  <c r="J1746" i="1"/>
  <c r="H1746" i="1"/>
  <c r="G1746" i="1"/>
  <c r="B1746" i="1"/>
  <c r="A1746" i="1"/>
  <c r="J1745" i="1"/>
  <c r="H1745" i="1"/>
  <c r="G1745" i="1"/>
  <c r="B1745" i="1"/>
  <c r="A1745" i="1"/>
  <c r="J1744" i="1"/>
  <c r="H1744" i="1"/>
  <c r="G1744" i="1"/>
  <c r="B1744" i="1"/>
  <c r="A1744" i="1"/>
  <c r="J1743" i="1"/>
  <c r="H1743" i="1"/>
  <c r="G1743" i="1"/>
  <c r="B1743" i="1"/>
  <c r="A1743" i="1"/>
  <c r="J1742" i="1"/>
  <c r="H1742" i="1"/>
  <c r="G1742" i="1"/>
  <c r="B1742" i="1"/>
  <c r="A1742" i="1"/>
  <c r="J1741" i="1"/>
  <c r="H1741" i="1"/>
  <c r="G1741" i="1"/>
  <c r="B1741" i="1"/>
  <c r="A1741" i="1"/>
  <c r="J1740" i="1"/>
  <c r="H1740" i="1"/>
  <c r="G1740" i="1"/>
  <c r="B1740" i="1"/>
  <c r="A1740" i="1"/>
  <c r="J1739" i="1"/>
  <c r="H1739" i="1"/>
  <c r="G1739" i="1"/>
  <c r="B1739" i="1"/>
  <c r="A1739" i="1"/>
  <c r="J1738" i="1"/>
  <c r="H1738" i="1"/>
  <c r="G1738" i="1"/>
  <c r="B1738" i="1"/>
  <c r="A1738" i="1"/>
  <c r="J1737" i="1"/>
  <c r="H1737" i="1"/>
  <c r="G1737" i="1"/>
  <c r="B1737" i="1"/>
  <c r="A1737" i="1"/>
  <c r="J1736" i="1"/>
  <c r="H1736" i="1"/>
  <c r="G1736" i="1"/>
  <c r="B1736" i="1"/>
  <c r="A1736" i="1"/>
  <c r="J1735" i="1"/>
  <c r="H1735" i="1"/>
  <c r="G1735" i="1"/>
  <c r="B1735" i="1"/>
  <c r="A1735" i="1"/>
  <c r="J1734" i="1"/>
  <c r="H1734" i="1"/>
  <c r="G1734" i="1"/>
  <c r="B1734" i="1"/>
  <c r="A1734" i="1"/>
  <c r="J1733" i="1"/>
  <c r="H1733" i="1"/>
  <c r="G1733" i="1"/>
  <c r="B1733" i="1"/>
  <c r="A1733" i="1"/>
  <c r="J1732" i="1"/>
  <c r="H1732" i="1"/>
  <c r="G1732" i="1"/>
  <c r="B1732" i="1"/>
  <c r="A1732" i="1"/>
  <c r="J1731" i="1"/>
  <c r="H1731" i="1"/>
  <c r="G1731" i="1"/>
  <c r="B1731" i="1"/>
  <c r="A1731" i="1"/>
  <c r="J1730" i="1"/>
  <c r="H1730" i="1"/>
  <c r="G1730" i="1"/>
  <c r="B1730" i="1"/>
  <c r="A1730" i="1"/>
  <c r="J1729" i="1"/>
  <c r="H1729" i="1"/>
  <c r="G1729" i="1"/>
  <c r="B1729" i="1"/>
  <c r="A1729" i="1"/>
  <c r="J1728" i="1"/>
  <c r="H1728" i="1"/>
  <c r="G1728" i="1"/>
  <c r="B1728" i="1"/>
  <c r="A1728" i="1"/>
  <c r="J1727" i="1"/>
  <c r="H1727" i="1"/>
  <c r="G1727" i="1"/>
  <c r="B1727" i="1"/>
  <c r="A1727" i="1"/>
  <c r="J1726" i="1"/>
  <c r="H1726" i="1"/>
  <c r="G1726" i="1"/>
  <c r="B1726" i="1"/>
  <c r="A1726" i="1"/>
  <c r="J1725" i="1"/>
  <c r="H1725" i="1"/>
  <c r="G1725" i="1"/>
  <c r="B1725" i="1"/>
  <c r="A1725" i="1"/>
  <c r="J1724" i="1"/>
  <c r="H1724" i="1"/>
  <c r="G1724" i="1"/>
  <c r="B1724" i="1"/>
  <c r="A1724" i="1"/>
  <c r="J1723" i="1"/>
  <c r="H1723" i="1"/>
  <c r="G1723" i="1"/>
  <c r="B1723" i="1"/>
  <c r="A1723" i="1"/>
  <c r="J1722" i="1"/>
  <c r="H1722" i="1"/>
  <c r="G1722" i="1"/>
  <c r="B1722" i="1"/>
  <c r="A1722" i="1"/>
  <c r="J1721" i="1"/>
  <c r="H1721" i="1"/>
  <c r="G1721" i="1"/>
  <c r="B1721" i="1"/>
  <c r="A1721" i="1"/>
  <c r="J1720" i="1"/>
  <c r="H1720" i="1"/>
  <c r="G1720" i="1"/>
  <c r="B1720" i="1"/>
  <c r="A1720" i="1"/>
  <c r="J1719" i="1"/>
  <c r="H1719" i="1"/>
  <c r="G1719" i="1"/>
  <c r="B1719" i="1"/>
  <c r="A1719" i="1"/>
  <c r="J1718" i="1"/>
  <c r="H1718" i="1"/>
  <c r="G1718" i="1"/>
  <c r="B1718" i="1"/>
  <c r="A1718" i="1"/>
  <c r="J1717" i="1"/>
  <c r="H1717" i="1"/>
  <c r="G1717" i="1"/>
  <c r="B1717" i="1"/>
  <c r="A1717" i="1"/>
  <c r="J1716" i="1"/>
  <c r="H1716" i="1"/>
  <c r="G1716" i="1"/>
  <c r="B1716" i="1"/>
  <c r="A1716" i="1"/>
  <c r="J1715" i="1"/>
  <c r="H1715" i="1"/>
  <c r="G1715" i="1"/>
  <c r="B1715" i="1"/>
  <c r="A1715" i="1"/>
  <c r="J1714" i="1"/>
  <c r="H1714" i="1"/>
  <c r="G1714" i="1"/>
  <c r="B1714" i="1"/>
  <c r="A1714" i="1"/>
  <c r="J1713" i="1"/>
  <c r="H1713" i="1"/>
  <c r="G1713" i="1"/>
  <c r="B1713" i="1"/>
  <c r="A1713" i="1"/>
  <c r="J1712" i="1"/>
  <c r="H1712" i="1"/>
  <c r="G1712" i="1"/>
  <c r="B1712" i="1"/>
  <c r="A1712" i="1"/>
  <c r="J1711" i="1"/>
  <c r="H1711" i="1"/>
  <c r="G1711" i="1"/>
  <c r="B1711" i="1"/>
  <c r="A1711" i="1"/>
  <c r="J1710" i="1"/>
  <c r="H1710" i="1"/>
  <c r="G1710" i="1"/>
  <c r="B1710" i="1"/>
  <c r="A1710" i="1"/>
  <c r="J1709" i="1"/>
  <c r="H1709" i="1"/>
  <c r="G1709" i="1"/>
  <c r="B1709" i="1"/>
  <c r="A1709" i="1"/>
  <c r="J1708" i="1"/>
  <c r="H1708" i="1"/>
  <c r="G1708" i="1"/>
  <c r="B1708" i="1"/>
  <c r="A1708" i="1"/>
  <c r="J1707" i="1"/>
  <c r="H1707" i="1"/>
  <c r="G1707" i="1"/>
  <c r="B1707" i="1"/>
  <c r="A1707" i="1"/>
  <c r="J1706" i="1"/>
  <c r="H1706" i="1"/>
  <c r="G1706" i="1"/>
  <c r="B1706" i="1"/>
  <c r="A1706" i="1"/>
  <c r="J1705" i="1"/>
  <c r="H1705" i="1"/>
  <c r="G1705" i="1"/>
  <c r="B1705" i="1"/>
  <c r="A1705" i="1"/>
  <c r="J1704" i="1"/>
  <c r="H1704" i="1"/>
  <c r="G1704" i="1"/>
  <c r="B1704" i="1"/>
  <c r="A1704" i="1"/>
  <c r="J1703" i="1"/>
  <c r="H1703" i="1"/>
  <c r="G1703" i="1"/>
  <c r="B1703" i="1"/>
  <c r="A1703" i="1"/>
  <c r="J1702" i="1"/>
  <c r="H1702" i="1"/>
  <c r="G1702" i="1"/>
  <c r="B1702" i="1"/>
  <c r="A1702" i="1"/>
  <c r="J1701" i="1"/>
  <c r="H1701" i="1"/>
  <c r="G1701" i="1"/>
  <c r="B1701" i="1"/>
  <c r="A1701" i="1"/>
  <c r="J1700" i="1"/>
  <c r="H1700" i="1"/>
  <c r="G1700" i="1"/>
  <c r="B1700" i="1"/>
  <c r="A1700" i="1"/>
  <c r="J1699" i="1"/>
  <c r="H1699" i="1"/>
  <c r="G1699" i="1"/>
  <c r="B1699" i="1"/>
  <c r="A1699" i="1"/>
  <c r="J1698" i="1"/>
  <c r="H1698" i="1"/>
  <c r="G1698" i="1"/>
  <c r="B1698" i="1"/>
  <c r="A1698" i="1"/>
  <c r="J1697" i="1"/>
  <c r="H1697" i="1"/>
  <c r="G1697" i="1"/>
  <c r="B1697" i="1"/>
  <c r="A1697" i="1"/>
  <c r="J1696" i="1"/>
  <c r="H1696" i="1"/>
  <c r="G1696" i="1"/>
  <c r="B1696" i="1"/>
  <c r="A1696" i="1"/>
  <c r="J1695" i="1"/>
  <c r="H1695" i="1"/>
  <c r="G1695" i="1"/>
  <c r="B1695" i="1"/>
  <c r="A1695" i="1"/>
  <c r="J1694" i="1"/>
  <c r="H1694" i="1"/>
  <c r="G1694" i="1"/>
  <c r="B1694" i="1"/>
  <c r="A1694" i="1"/>
  <c r="J1693" i="1"/>
  <c r="H1693" i="1"/>
  <c r="G1693" i="1"/>
  <c r="B1693" i="1"/>
  <c r="A1693" i="1"/>
  <c r="J1692" i="1"/>
  <c r="H1692" i="1"/>
  <c r="G1692" i="1"/>
  <c r="B1692" i="1"/>
  <c r="A1692" i="1"/>
  <c r="J1691" i="1"/>
  <c r="H1691" i="1"/>
  <c r="G1691" i="1"/>
  <c r="B1691" i="1"/>
  <c r="A1691" i="1"/>
  <c r="J1690" i="1"/>
  <c r="H1690" i="1"/>
  <c r="G1690" i="1"/>
  <c r="B1690" i="1"/>
  <c r="A1690" i="1"/>
  <c r="J1689" i="1"/>
  <c r="H1689" i="1"/>
  <c r="G1689" i="1"/>
  <c r="B1689" i="1"/>
  <c r="A1689" i="1"/>
  <c r="J1688" i="1"/>
  <c r="H1688" i="1"/>
  <c r="G1688" i="1"/>
  <c r="B1688" i="1"/>
  <c r="A1688" i="1"/>
  <c r="J1687" i="1"/>
  <c r="H1687" i="1"/>
  <c r="G1687" i="1"/>
  <c r="B1687" i="1"/>
  <c r="A1687" i="1"/>
  <c r="J1686" i="1"/>
  <c r="H1686" i="1"/>
  <c r="G1686" i="1"/>
  <c r="B1686" i="1"/>
  <c r="A1686" i="1"/>
  <c r="J1685" i="1"/>
  <c r="H1685" i="1"/>
  <c r="G1685" i="1"/>
  <c r="B1685" i="1"/>
  <c r="A1685" i="1"/>
  <c r="J1684" i="1"/>
  <c r="H1684" i="1"/>
  <c r="G1684" i="1"/>
  <c r="B1684" i="1"/>
  <c r="A1684" i="1"/>
  <c r="J1683" i="1"/>
  <c r="H1683" i="1"/>
  <c r="G1683" i="1"/>
  <c r="B1683" i="1"/>
  <c r="A1683" i="1"/>
  <c r="J1682" i="1"/>
  <c r="H1682" i="1"/>
  <c r="G1682" i="1"/>
  <c r="B1682" i="1"/>
  <c r="A1682" i="1"/>
  <c r="J1681" i="1"/>
  <c r="H1681" i="1"/>
  <c r="G1681" i="1"/>
  <c r="B1681" i="1"/>
  <c r="A1681" i="1"/>
  <c r="J1680" i="1"/>
  <c r="H1680" i="1"/>
  <c r="G1680" i="1"/>
  <c r="B1680" i="1"/>
  <c r="A1680" i="1"/>
  <c r="J1679" i="1"/>
  <c r="H1679" i="1"/>
  <c r="G1679" i="1"/>
  <c r="B1679" i="1"/>
  <c r="A1679" i="1"/>
  <c r="J1678" i="1"/>
  <c r="H1678" i="1"/>
  <c r="G1678" i="1"/>
  <c r="B1678" i="1"/>
  <c r="A1678" i="1"/>
  <c r="J1677" i="1"/>
  <c r="H1677" i="1"/>
  <c r="G1677" i="1"/>
  <c r="B1677" i="1"/>
  <c r="A1677" i="1"/>
  <c r="J1676" i="1"/>
  <c r="H1676" i="1"/>
  <c r="G1676" i="1"/>
  <c r="B1676" i="1"/>
  <c r="A1676" i="1"/>
  <c r="J1675" i="1"/>
  <c r="H1675" i="1"/>
  <c r="G1675" i="1"/>
  <c r="B1675" i="1"/>
  <c r="A1675" i="1"/>
  <c r="J1674" i="1"/>
  <c r="H1674" i="1"/>
  <c r="G1674" i="1"/>
  <c r="B1674" i="1"/>
  <c r="A1674" i="1"/>
  <c r="J1673" i="1"/>
  <c r="H1673" i="1"/>
  <c r="G1673" i="1"/>
  <c r="B1673" i="1"/>
  <c r="A1673" i="1"/>
  <c r="J1672" i="1"/>
  <c r="H1672" i="1"/>
  <c r="G1672" i="1"/>
  <c r="B1672" i="1"/>
  <c r="A1672" i="1"/>
  <c r="J1671" i="1"/>
  <c r="H1671" i="1"/>
  <c r="G1671" i="1"/>
  <c r="B1671" i="1"/>
  <c r="A1671" i="1"/>
  <c r="J1670" i="1"/>
  <c r="H1670" i="1"/>
  <c r="G1670" i="1"/>
  <c r="B1670" i="1"/>
  <c r="A1670" i="1"/>
  <c r="J1669" i="1"/>
  <c r="H1669" i="1"/>
  <c r="G1669" i="1"/>
  <c r="B1669" i="1"/>
  <c r="A1669" i="1"/>
  <c r="J1668" i="1"/>
  <c r="H1668" i="1"/>
  <c r="G1668" i="1"/>
  <c r="B1668" i="1"/>
  <c r="A1668" i="1"/>
  <c r="J1667" i="1"/>
  <c r="H1667" i="1"/>
  <c r="G1667" i="1"/>
  <c r="B1667" i="1"/>
  <c r="A1667" i="1"/>
  <c r="J1666" i="1"/>
  <c r="H1666" i="1"/>
  <c r="G1666" i="1"/>
  <c r="B1666" i="1"/>
  <c r="A1666" i="1"/>
  <c r="J1665" i="1"/>
  <c r="H1665" i="1"/>
  <c r="G1665" i="1"/>
  <c r="B1665" i="1"/>
  <c r="A1665" i="1"/>
  <c r="J1664" i="1"/>
  <c r="H1664" i="1"/>
  <c r="G1664" i="1"/>
  <c r="B1664" i="1"/>
  <c r="A1664" i="1"/>
  <c r="J1663" i="1"/>
  <c r="H1663" i="1"/>
  <c r="G1663" i="1"/>
  <c r="B1663" i="1"/>
  <c r="A1663" i="1"/>
  <c r="J1662" i="1"/>
  <c r="H1662" i="1"/>
  <c r="G1662" i="1"/>
  <c r="B1662" i="1"/>
  <c r="A1662" i="1"/>
  <c r="J1661" i="1"/>
  <c r="H1661" i="1"/>
  <c r="G1661" i="1"/>
  <c r="B1661" i="1"/>
  <c r="A1661" i="1"/>
  <c r="J1660" i="1"/>
  <c r="H1660" i="1"/>
  <c r="G1660" i="1"/>
  <c r="B1660" i="1"/>
  <c r="A1660" i="1"/>
  <c r="J1659" i="1"/>
  <c r="H1659" i="1"/>
  <c r="G1659" i="1"/>
  <c r="B1659" i="1"/>
  <c r="A1659" i="1"/>
  <c r="J1658" i="1"/>
  <c r="H1658" i="1"/>
  <c r="G1658" i="1"/>
  <c r="B1658" i="1"/>
  <c r="A1658" i="1"/>
  <c r="J1657" i="1"/>
  <c r="H1657" i="1"/>
  <c r="G1657" i="1"/>
  <c r="B1657" i="1"/>
  <c r="A1657" i="1"/>
  <c r="J1656" i="1"/>
  <c r="H1656" i="1"/>
  <c r="G1656" i="1"/>
  <c r="B1656" i="1"/>
  <c r="A1656" i="1"/>
  <c r="J1655" i="1"/>
  <c r="H1655" i="1"/>
  <c r="G1655" i="1"/>
  <c r="B1655" i="1"/>
  <c r="A1655" i="1"/>
  <c r="J1654" i="1"/>
  <c r="H1654" i="1"/>
  <c r="G1654" i="1"/>
  <c r="B1654" i="1"/>
  <c r="A1654" i="1"/>
  <c r="J1653" i="1"/>
  <c r="H1653" i="1"/>
  <c r="G1653" i="1"/>
  <c r="B1653" i="1"/>
  <c r="A1653" i="1"/>
  <c r="J1652" i="1"/>
  <c r="H1652" i="1"/>
  <c r="G1652" i="1"/>
  <c r="B1652" i="1"/>
  <c r="A1652" i="1"/>
  <c r="J1651" i="1"/>
  <c r="H1651" i="1"/>
  <c r="G1651" i="1"/>
  <c r="B1651" i="1"/>
  <c r="A1651" i="1"/>
  <c r="J1650" i="1"/>
  <c r="H1650" i="1"/>
  <c r="G1650" i="1"/>
  <c r="B1650" i="1"/>
  <c r="A1650" i="1"/>
  <c r="J1649" i="1"/>
  <c r="H1649" i="1"/>
  <c r="G1649" i="1"/>
  <c r="B1649" i="1"/>
  <c r="A1649" i="1"/>
  <c r="J1648" i="1"/>
  <c r="H1648" i="1"/>
  <c r="G1648" i="1"/>
  <c r="B1648" i="1"/>
  <c r="A1648" i="1"/>
  <c r="J1647" i="1"/>
  <c r="H1647" i="1"/>
  <c r="G1647" i="1"/>
  <c r="B1647" i="1"/>
  <c r="A1647" i="1"/>
  <c r="J1646" i="1"/>
  <c r="H1646" i="1"/>
  <c r="G1646" i="1"/>
  <c r="B1646" i="1"/>
  <c r="A1646" i="1"/>
  <c r="J1645" i="1"/>
  <c r="H1645" i="1"/>
  <c r="G1645" i="1"/>
  <c r="B1645" i="1"/>
  <c r="A1645" i="1"/>
  <c r="J1644" i="1"/>
  <c r="H1644" i="1"/>
  <c r="G1644" i="1"/>
  <c r="B1644" i="1"/>
  <c r="A1644" i="1"/>
  <c r="J1643" i="1"/>
  <c r="H1643" i="1"/>
  <c r="G1643" i="1"/>
  <c r="B1643" i="1"/>
  <c r="A1643" i="1"/>
  <c r="J1642" i="1"/>
  <c r="H1642" i="1"/>
  <c r="G1642" i="1"/>
  <c r="B1642" i="1"/>
  <c r="A1642" i="1"/>
  <c r="J1641" i="1"/>
  <c r="H1641" i="1"/>
  <c r="G1641" i="1"/>
  <c r="B1641" i="1"/>
  <c r="A1641" i="1"/>
  <c r="J1640" i="1"/>
  <c r="H1640" i="1"/>
  <c r="G1640" i="1"/>
  <c r="B1640" i="1"/>
  <c r="A1640" i="1"/>
  <c r="J1639" i="1"/>
  <c r="H1639" i="1"/>
  <c r="G1639" i="1"/>
  <c r="B1639" i="1"/>
  <c r="A1639" i="1"/>
  <c r="J1638" i="1"/>
  <c r="H1638" i="1"/>
  <c r="G1638" i="1"/>
  <c r="B1638" i="1"/>
  <c r="A1638" i="1"/>
  <c r="J1637" i="1"/>
  <c r="H1637" i="1"/>
  <c r="G1637" i="1"/>
  <c r="B1637" i="1"/>
  <c r="A1637" i="1"/>
  <c r="J1636" i="1"/>
  <c r="H1636" i="1"/>
  <c r="G1636" i="1"/>
  <c r="B1636" i="1"/>
  <c r="A1636" i="1"/>
  <c r="J1635" i="1"/>
  <c r="H1635" i="1"/>
  <c r="G1635" i="1"/>
  <c r="B1635" i="1"/>
  <c r="A1635" i="1"/>
  <c r="J1634" i="1"/>
  <c r="H1634" i="1"/>
  <c r="G1634" i="1"/>
  <c r="B1634" i="1"/>
  <c r="A1634" i="1"/>
  <c r="J1633" i="1"/>
  <c r="H1633" i="1"/>
  <c r="G1633" i="1"/>
  <c r="B1633" i="1"/>
  <c r="A1633" i="1"/>
  <c r="J1632" i="1"/>
  <c r="H1632" i="1"/>
  <c r="G1632" i="1"/>
  <c r="B1632" i="1"/>
  <c r="A1632" i="1"/>
  <c r="J1631" i="1"/>
  <c r="H1631" i="1"/>
  <c r="G1631" i="1"/>
  <c r="B1631" i="1"/>
  <c r="A1631" i="1"/>
  <c r="J1630" i="1"/>
  <c r="H1630" i="1"/>
  <c r="G1630" i="1"/>
  <c r="B1630" i="1"/>
  <c r="A1630" i="1"/>
  <c r="J1629" i="1"/>
  <c r="H1629" i="1"/>
  <c r="G1629" i="1"/>
  <c r="B1629" i="1"/>
  <c r="A1629" i="1"/>
  <c r="J1628" i="1"/>
  <c r="H1628" i="1"/>
  <c r="G1628" i="1"/>
  <c r="B1628" i="1"/>
  <c r="A1628" i="1"/>
  <c r="J1627" i="1"/>
  <c r="H1627" i="1"/>
  <c r="G1627" i="1"/>
  <c r="B1627" i="1"/>
  <c r="A1627" i="1"/>
  <c r="J1626" i="1"/>
  <c r="H1626" i="1"/>
  <c r="G1626" i="1"/>
  <c r="B1626" i="1"/>
  <c r="A1626" i="1"/>
  <c r="J1625" i="1"/>
  <c r="H1625" i="1"/>
  <c r="G1625" i="1"/>
  <c r="B1625" i="1"/>
  <c r="A1625" i="1"/>
  <c r="J1624" i="1"/>
  <c r="H1624" i="1"/>
  <c r="G1624" i="1"/>
  <c r="B1624" i="1"/>
  <c r="A1624" i="1"/>
  <c r="J1623" i="1"/>
  <c r="H1623" i="1"/>
  <c r="G1623" i="1"/>
  <c r="B1623" i="1"/>
  <c r="A1623" i="1"/>
  <c r="J1622" i="1"/>
  <c r="H1622" i="1"/>
  <c r="G1622" i="1"/>
  <c r="B1622" i="1"/>
  <c r="A1622" i="1"/>
  <c r="J1621" i="1"/>
  <c r="H1621" i="1"/>
  <c r="G1621" i="1"/>
  <c r="B1621" i="1"/>
  <c r="A1621" i="1"/>
  <c r="J1620" i="1"/>
  <c r="H1620" i="1"/>
  <c r="G1620" i="1"/>
  <c r="B1620" i="1"/>
  <c r="A1620" i="1"/>
  <c r="J1619" i="1"/>
  <c r="H1619" i="1"/>
  <c r="G1619" i="1"/>
  <c r="B1619" i="1"/>
  <c r="A1619" i="1"/>
  <c r="J1618" i="1"/>
  <c r="H1618" i="1"/>
  <c r="G1618" i="1"/>
  <c r="B1618" i="1"/>
  <c r="A1618" i="1"/>
  <c r="J1617" i="1"/>
  <c r="H1617" i="1"/>
  <c r="G1617" i="1"/>
  <c r="B1617" i="1"/>
  <c r="A1617" i="1"/>
  <c r="J1616" i="1"/>
  <c r="H1616" i="1"/>
  <c r="G1616" i="1"/>
  <c r="B1616" i="1"/>
  <c r="A1616" i="1"/>
  <c r="J1615" i="1"/>
  <c r="H1615" i="1"/>
  <c r="G1615" i="1"/>
  <c r="B1615" i="1"/>
  <c r="A1615" i="1"/>
  <c r="J1614" i="1"/>
  <c r="H1614" i="1"/>
  <c r="G1614" i="1"/>
  <c r="B1614" i="1"/>
  <c r="A1614" i="1"/>
  <c r="J1613" i="1"/>
  <c r="H1613" i="1"/>
  <c r="G1613" i="1"/>
  <c r="B1613" i="1"/>
  <c r="A1613" i="1"/>
  <c r="J1612" i="1"/>
  <c r="H1612" i="1"/>
  <c r="G1612" i="1"/>
  <c r="B1612" i="1"/>
  <c r="A1612" i="1"/>
  <c r="J1611" i="1"/>
  <c r="H1611" i="1"/>
  <c r="G1611" i="1"/>
  <c r="B1611" i="1"/>
  <c r="A1611" i="1"/>
  <c r="J1610" i="1"/>
  <c r="H1610" i="1"/>
  <c r="G1610" i="1"/>
  <c r="B1610" i="1"/>
  <c r="A1610" i="1"/>
  <c r="J1609" i="1"/>
  <c r="H1609" i="1"/>
  <c r="G1609" i="1"/>
  <c r="B1609" i="1"/>
  <c r="A1609" i="1"/>
  <c r="J1608" i="1"/>
  <c r="H1608" i="1"/>
  <c r="G1608" i="1"/>
  <c r="B1608" i="1"/>
  <c r="A1608" i="1"/>
  <c r="J1607" i="1"/>
  <c r="H1607" i="1"/>
  <c r="G1607" i="1"/>
  <c r="B1607" i="1"/>
  <c r="A1607" i="1"/>
  <c r="J1606" i="1"/>
  <c r="H1606" i="1"/>
  <c r="G1606" i="1"/>
  <c r="B1606" i="1"/>
  <c r="A1606" i="1"/>
  <c r="J1605" i="1"/>
  <c r="H1605" i="1"/>
  <c r="G1605" i="1"/>
  <c r="B1605" i="1"/>
  <c r="A1605" i="1"/>
  <c r="J1604" i="1"/>
  <c r="H1604" i="1"/>
  <c r="G1604" i="1"/>
  <c r="B1604" i="1"/>
  <c r="A1604" i="1"/>
  <c r="J1603" i="1"/>
  <c r="H1603" i="1"/>
  <c r="G1603" i="1"/>
  <c r="B1603" i="1"/>
  <c r="A1603" i="1"/>
  <c r="J1602" i="1"/>
  <c r="H1602" i="1"/>
  <c r="G1602" i="1"/>
  <c r="B1602" i="1"/>
  <c r="A1602" i="1"/>
  <c r="J1601" i="1"/>
  <c r="H1601" i="1"/>
  <c r="G1601" i="1"/>
  <c r="B1601" i="1"/>
  <c r="A1601" i="1"/>
  <c r="J1600" i="1"/>
  <c r="H1600" i="1"/>
  <c r="G1600" i="1"/>
  <c r="B1600" i="1"/>
  <c r="A1600" i="1"/>
  <c r="J1599" i="1"/>
  <c r="H1599" i="1"/>
  <c r="G1599" i="1"/>
  <c r="B1599" i="1"/>
  <c r="A1599" i="1"/>
  <c r="J1598" i="1"/>
  <c r="H1598" i="1"/>
  <c r="G1598" i="1"/>
  <c r="B1598" i="1"/>
  <c r="A1598" i="1"/>
  <c r="J1597" i="1"/>
  <c r="H1597" i="1"/>
  <c r="G1597" i="1"/>
  <c r="B1597" i="1"/>
  <c r="A1597" i="1"/>
  <c r="J1596" i="1"/>
  <c r="H1596" i="1"/>
  <c r="G1596" i="1"/>
  <c r="B1596" i="1"/>
  <c r="A1596" i="1"/>
  <c r="J1595" i="1"/>
  <c r="H1595" i="1"/>
  <c r="G1595" i="1"/>
  <c r="B1595" i="1"/>
  <c r="A1595" i="1"/>
  <c r="J1594" i="1"/>
  <c r="H1594" i="1"/>
  <c r="G1594" i="1"/>
  <c r="B1594" i="1"/>
  <c r="A1594" i="1"/>
  <c r="J1593" i="1"/>
  <c r="H1593" i="1"/>
  <c r="G1593" i="1"/>
  <c r="B1593" i="1"/>
  <c r="A1593" i="1"/>
  <c r="J1592" i="1"/>
  <c r="H1592" i="1"/>
  <c r="G1592" i="1"/>
  <c r="B1592" i="1"/>
  <c r="A1592" i="1"/>
  <c r="J1591" i="1"/>
  <c r="H1591" i="1"/>
  <c r="G1591" i="1"/>
  <c r="B1591" i="1"/>
  <c r="A1591" i="1"/>
  <c r="J1590" i="1"/>
  <c r="H1590" i="1"/>
  <c r="G1590" i="1"/>
  <c r="B1590" i="1"/>
  <c r="A1590" i="1"/>
  <c r="J1589" i="1"/>
  <c r="H1589" i="1"/>
  <c r="G1589" i="1"/>
  <c r="B1589" i="1"/>
  <c r="A1589" i="1"/>
  <c r="J1588" i="1"/>
  <c r="H1588" i="1"/>
  <c r="G1588" i="1"/>
  <c r="B1588" i="1"/>
  <c r="A1588" i="1"/>
  <c r="J1587" i="1"/>
  <c r="H1587" i="1"/>
  <c r="G1587" i="1"/>
  <c r="B1587" i="1"/>
  <c r="A1587" i="1"/>
  <c r="J1586" i="1"/>
  <c r="H1586" i="1"/>
  <c r="G1586" i="1"/>
  <c r="B1586" i="1"/>
  <c r="A1586" i="1"/>
  <c r="J1585" i="1"/>
  <c r="H1585" i="1"/>
  <c r="G1585" i="1"/>
  <c r="B1585" i="1"/>
  <c r="A1585" i="1"/>
  <c r="J1584" i="1"/>
  <c r="H1584" i="1"/>
  <c r="G1584" i="1"/>
  <c r="B1584" i="1"/>
  <c r="A1584" i="1"/>
  <c r="J1583" i="1"/>
  <c r="H1583" i="1"/>
  <c r="G1583" i="1"/>
  <c r="B1583" i="1"/>
  <c r="A1583" i="1"/>
  <c r="J1582" i="1"/>
  <c r="H1582" i="1"/>
  <c r="G1582" i="1"/>
  <c r="B1582" i="1"/>
  <c r="A1582" i="1"/>
  <c r="J1581" i="1"/>
  <c r="H1581" i="1"/>
  <c r="G1581" i="1"/>
  <c r="B1581" i="1"/>
  <c r="A1581" i="1"/>
  <c r="J1580" i="1"/>
  <c r="H1580" i="1"/>
  <c r="G1580" i="1"/>
  <c r="B1580" i="1"/>
  <c r="A1580" i="1"/>
  <c r="J1579" i="1"/>
  <c r="H1579" i="1"/>
  <c r="G1579" i="1"/>
  <c r="B1579" i="1"/>
  <c r="A1579" i="1"/>
  <c r="J1578" i="1"/>
  <c r="H1578" i="1"/>
  <c r="G1578" i="1"/>
  <c r="B1578" i="1"/>
  <c r="A1578" i="1"/>
  <c r="J1577" i="1"/>
  <c r="H1577" i="1"/>
  <c r="G1577" i="1"/>
  <c r="B1577" i="1"/>
  <c r="A1577" i="1"/>
  <c r="J1576" i="1"/>
  <c r="H1576" i="1"/>
  <c r="G1576" i="1"/>
  <c r="B1576" i="1"/>
  <c r="A1576" i="1"/>
  <c r="J1575" i="1"/>
  <c r="H1575" i="1"/>
  <c r="G1575" i="1"/>
  <c r="B1575" i="1"/>
  <c r="A1575" i="1"/>
  <c r="J1574" i="1"/>
  <c r="H1574" i="1"/>
  <c r="G1574" i="1"/>
  <c r="B1574" i="1"/>
  <c r="A1574" i="1"/>
  <c r="J1573" i="1"/>
  <c r="H1573" i="1"/>
  <c r="G1573" i="1"/>
  <c r="B1573" i="1"/>
  <c r="A1573" i="1"/>
  <c r="J1572" i="1"/>
  <c r="H1572" i="1"/>
  <c r="G1572" i="1"/>
  <c r="B1572" i="1"/>
  <c r="A1572" i="1"/>
  <c r="J1571" i="1"/>
  <c r="H1571" i="1"/>
  <c r="G1571" i="1"/>
  <c r="B1571" i="1"/>
  <c r="A1571" i="1"/>
  <c r="J1570" i="1"/>
  <c r="H1570" i="1"/>
  <c r="G1570" i="1"/>
  <c r="B1570" i="1"/>
  <c r="A1570" i="1"/>
  <c r="J1569" i="1"/>
  <c r="H1569" i="1"/>
  <c r="G1569" i="1"/>
  <c r="B1569" i="1"/>
  <c r="A1569" i="1"/>
  <c r="J1568" i="1"/>
  <c r="H1568" i="1"/>
  <c r="G1568" i="1"/>
  <c r="B1568" i="1"/>
  <c r="A1568" i="1"/>
  <c r="J1567" i="1"/>
  <c r="H1567" i="1"/>
  <c r="G1567" i="1"/>
  <c r="B1567" i="1"/>
  <c r="A1567" i="1"/>
  <c r="J1566" i="1"/>
  <c r="H1566" i="1"/>
  <c r="G1566" i="1"/>
  <c r="B1566" i="1"/>
  <c r="A1566" i="1"/>
  <c r="J1565" i="1"/>
  <c r="H1565" i="1"/>
  <c r="G1565" i="1"/>
  <c r="B1565" i="1"/>
  <c r="A1565" i="1"/>
  <c r="J1564" i="1"/>
  <c r="H1564" i="1"/>
  <c r="G1564" i="1"/>
  <c r="B1564" i="1"/>
  <c r="A1564" i="1"/>
  <c r="J1563" i="1"/>
  <c r="H1563" i="1"/>
  <c r="G1563" i="1"/>
  <c r="B1563" i="1"/>
  <c r="A1563" i="1"/>
  <c r="J1562" i="1"/>
  <c r="H1562" i="1"/>
  <c r="G1562" i="1"/>
  <c r="B1562" i="1"/>
  <c r="A1562" i="1"/>
  <c r="J1561" i="1"/>
  <c r="H1561" i="1"/>
  <c r="G1561" i="1"/>
  <c r="B1561" i="1"/>
  <c r="A1561" i="1"/>
  <c r="J1560" i="1"/>
  <c r="H1560" i="1"/>
  <c r="G1560" i="1"/>
  <c r="B1560" i="1"/>
  <c r="A1560" i="1"/>
  <c r="J1559" i="1"/>
  <c r="H1559" i="1"/>
  <c r="G1559" i="1"/>
  <c r="B1559" i="1"/>
  <c r="A1559" i="1"/>
  <c r="J1558" i="1"/>
  <c r="H1558" i="1"/>
  <c r="G1558" i="1"/>
  <c r="B1558" i="1"/>
  <c r="A1558" i="1"/>
  <c r="J1557" i="1"/>
  <c r="H1557" i="1"/>
  <c r="G1557" i="1"/>
  <c r="B1557" i="1"/>
  <c r="A1557" i="1"/>
  <c r="J1556" i="1"/>
  <c r="H1556" i="1"/>
  <c r="G1556" i="1"/>
  <c r="B1556" i="1"/>
  <c r="A1556" i="1"/>
  <c r="J1555" i="1"/>
  <c r="H1555" i="1"/>
  <c r="G1555" i="1"/>
  <c r="B1555" i="1"/>
  <c r="A1555" i="1"/>
  <c r="J1554" i="1"/>
  <c r="H1554" i="1"/>
  <c r="G1554" i="1"/>
  <c r="B1554" i="1"/>
  <c r="A1554" i="1"/>
  <c r="J1553" i="1"/>
  <c r="H1553" i="1"/>
  <c r="G1553" i="1"/>
  <c r="B1553" i="1"/>
  <c r="A1553" i="1"/>
  <c r="J1552" i="1"/>
  <c r="H1552" i="1"/>
  <c r="G1552" i="1"/>
  <c r="B1552" i="1"/>
  <c r="A1552" i="1"/>
  <c r="J1551" i="1"/>
  <c r="H1551" i="1"/>
  <c r="G1551" i="1"/>
  <c r="B1551" i="1"/>
  <c r="A1551" i="1"/>
  <c r="J1550" i="1"/>
  <c r="H1550" i="1"/>
  <c r="G1550" i="1"/>
  <c r="B1550" i="1"/>
  <c r="A1550" i="1"/>
  <c r="J1549" i="1"/>
  <c r="H1549" i="1"/>
  <c r="G1549" i="1"/>
  <c r="B1549" i="1"/>
  <c r="A1549" i="1"/>
  <c r="J1548" i="1"/>
  <c r="H1548" i="1"/>
  <c r="G1548" i="1"/>
  <c r="B1548" i="1"/>
  <c r="A1548" i="1"/>
  <c r="J1547" i="1"/>
  <c r="H1547" i="1"/>
  <c r="G1547" i="1"/>
  <c r="B1547" i="1"/>
  <c r="A1547" i="1"/>
  <c r="J1546" i="1"/>
  <c r="H1546" i="1"/>
  <c r="G1546" i="1"/>
  <c r="B1546" i="1"/>
  <c r="A1546" i="1"/>
  <c r="J1545" i="1"/>
  <c r="H1545" i="1"/>
  <c r="G1545" i="1"/>
  <c r="B1545" i="1"/>
  <c r="A1545" i="1"/>
  <c r="J1544" i="1"/>
  <c r="H1544" i="1"/>
  <c r="G1544" i="1"/>
  <c r="B1544" i="1"/>
  <c r="A1544" i="1"/>
  <c r="J1543" i="1"/>
  <c r="H1543" i="1"/>
  <c r="G1543" i="1"/>
  <c r="B1543" i="1"/>
  <c r="A1543" i="1"/>
  <c r="J1542" i="1"/>
  <c r="H1542" i="1"/>
  <c r="G1542" i="1"/>
  <c r="B1542" i="1"/>
  <c r="A1542" i="1"/>
  <c r="J1541" i="1"/>
  <c r="H1541" i="1"/>
  <c r="G1541" i="1"/>
  <c r="B1541" i="1"/>
  <c r="A1541" i="1"/>
  <c r="J1540" i="1"/>
  <c r="H1540" i="1"/>
  <c r="G1540" i="1"/>
  <c r="B1540" i="1"/>
  <c r="A1540" i="1"/>
  <c r="J1539" i="1"/>
  <c r="H1539" i="1"/>
  <c r="G1539" i="1"/>
  <c r="B1539" i="1"/>
  <c r="A1539" i="1"/>
  <c r="J1538" i="1"/>
  <c r="H1538" i="1"/>
  <c r="G1538" i="1"/>
  <c r="B1538" i="1"/>
  <c r="A1538" i="1"/>
  <c r="J1537" i="1"/>
  <c r="H1537" i="1"/>
  <c r="G1537" i="1"/>
  <c r="B1537" i="1"/>
  <c r="A1537" i="1"/>
  <c r="J1536" i="1"/>
  <c r="H1536" i="1"/>
  <c r="G1536" i="1"/>
  <c r="B1536" i="1"/>
  <c r="A1536" i="1"/>
  <c r="J1535" i="1"/>
  <c r="H1535" i="1"/>
  <c r="G1535" i="1"/>
  <c r="B1535" i="1"/>
  <c r="A1535" i="1"/>
  <c r="J1534" i="1"/>
  <c r="H1534" i="1"/>
  <c r="G1534" i="1"/>
  <c r="B1534" i="1"/>
  <c r="A1534" i="1"/>
  <c r="J1533" i="1"/>
  <c r="H1533" i="1"/>
  <c r="G1533" i="1"/>
  <c r="B1533" i="1"/>
  <c r="A1533" i="1"/>
  <c r="J1532" i="1"/>
  <c r="H1532" i="1"/>
  <c r="G1532" i="1"/>
  <c r="B1532" i="1"/>
  <c r="A1532" i="1"/>
  <c r="J1531" i="1"/>
  <c r="H1531" i="1"/>
  <c r="G1531" i="1"/>
  <c r="B1531" i="1"/>
  <c r="A1531" i="1"/>
  <c r="J1530" i="1"/>
  <c r="H1530" i="1"/>
  <c r="G1530" i="1"/>
  <c r="B1530" i="1"/>
  <c r="A1530" i="1"/>
  <c r="J1529" i="1"/>
  <c r="H1529" i="1"/>
  <c r="G1529" i="1"/>
  <c r="B1529" i="1"/>
  <c r="A1529" i="1"/>
  <c r="J1528" i="1"/>
  <c r="H1528" i="1"/>
  <c r="G1528" i="1"/>
  <c r="B1528" i="1"/>
  <c r="A1528" i="1"/>
  <c r="J1527" i="1"/>
  <c r="H1527" i="1"/>
  <c r="G1527" i="1"/>
  <c r="B1527" i="1"/>
  <c r="A1527" i="1"/>
  <c r="J1526" i="1"/>
  <c r="H1526" i="1"/>
  <c r="G1526" i="1"/>
  <c r="B1526" i="1"/>
  <c r="A1526" i="1"/>
  <c r="J1525" i="1"/>
  <c r="H1525" i="1"/>
  <c r="G1525" i="1"/>
  <c r="B1525" i="1"/>
  <c r="A1525" i="1"/>
  <c r="J1524" i="1"/>
  <c r="H1524" i="1"/>
  <c r="G1524" i="1"/>
  <c r="B1524" i="1"/>
  <c r="A1524" i="1"/>
  <c r="J1523" i="1"/>
  <c r="H1523" i="1"/>
  <c r="G1523" i="1"/>
  <c r="B1523" i="1"/>
  <c r="A1523" i="1"/>
  <c r="J1522" i="1"/>
  <c r="H1522" i="1"/>
  <c r="G1522" i="1"/>
  <c r="B1522" i="1"/>
  <c r="A1522" i="1"/>
  <c r="J1521" i="1"/>
  <c r="H1521" i="1"/>
  <c r="G1521" i="1"/>
  <c r="B1521" i="1"/>
  <c r="A1521" i="1"/>
  <c r="J1520" i="1"/>
  <c r="H1520" i="1"/>
  <c r="G1520" i="1"/>
  <c r="B1520" i="1"/>
  <c r="A1520" i="1"/>
  <c r="J1519" i="1"/>
  <c r="H1519" i="1"/>
  <c r="G1519" i="1"/>
  <c r="B1519" i="1"/>
  <c r="A1519" i="1"/>
  <c r="J1518" i="1"/>
  <c r="H1518" i="1"/>
  <c r="G1518" i="1"/>
  <c r="B1518" i="1"/>
  <c r="A1518" i="1"/>
  <c r="J1517" i="1"/>
  <c r="H1517" i="1"/>
  <c r="G1517" i="1"/>
  <c r="B1517" i="1"/>
  <c r="A1517" i="1"/>
  <c r="J1516" i="1"/>
  <c r="H1516" i="1"/>
  <c r="G1516" i="1"/>
  <c r="B1516" i="1"/>
  <c r="A1516" i="1"/>
  <c r="J1515" i="1"/>
  <c r="H1515" i="1"/>
  <c r="G1515" i="1"/>
  <c r="B1515" i="1"/>
  <c r="A1515" i="1"/>
  <c r="J1514" i="1"/>
  <c r="H1514" i="1"/>
  <c r="G1514" i="1"/>
  <c r="B1514" i="1"/>
  <c r="A1514" i="1"/>
  <c r="J1513" i="1"/>
  <c r="H1513" i="1"/>
  <c r="G1513" i="1"/>
  <c r="B1513" i="1"/>
  <c r="A1513" i="1"/>
  <c r="J1512" i="1"/>
  <c r="H1512" i="1"/>
  <c r="G1512" i="1"/>
  <c r="B1512" i="1"/>
  <c r="A1512" i="1"/>
  <c r="J1511" i="1"/>
  <c r="H1511" i="1"/>
  <c r="G1511" i="1"/>
  <c r="B1511" i="1"/>
  <c r="A1511" i="1"/>
  <c r="J1510" i="1"/>
  <c r="H1510" i="1"/>
  <c r="G1510" i="1"/>
  <c r="B1510" i="1"/>
  <c r="A1510" i="1"/>
  <c r="J1509" i="1"/>
  <c r="H1509" i="1"/>
  <c r="G1509" i="1"/>
  <c r="B1509" i="1"/>
  <c r="A1509" i="1"/>
  <c r="J1508" i="1"/>
  <c r="H1508" i="1"/>
  <c r="G1508" i="1"/>
  <c r="B1508" i="1"/>
  <c r="A1508" i="1"/>
  <c r="J1507" i="1"/>
  <c r="H1507" i="1"/>
  <c r="G1507" i="1"/>
  <c r="B1507" i="1"/>
  <c r="A1507" i="1"/>
  <c r="J1506" i="1"/>
  <c r="H1506" i="1"/>
  <c r="G1506" i="1"/>
  <c r="B1506" i="1"/>
  <c r="A1506" i="1"/>
  <c r="J1505" i="1"/>
  <c r="H1505" i="1"/>
  <c r="G1505" i="1"/>
  <c r="B1505" i="1"/>
  <c r="A1505" i="1"/>
  <c r="J1504" i="1"/>
  <c r="H1504" i="1"/>
  <c r="G1504" i="1"/>
  <c r="B1504" i="1"/>
  <c r="A1504" i="1"/>
  <c r="J1503" i="1"/>
  <c r="H1503" i="1"/>
  <c r="G1503" i="1"/>
  <c r="B1503" i="1"/>
  <c r="A1503" i="1"/>
  <c r="J1502" i="1"/>
  <c r="H1502" i="1"/>
  <c r="G1502" i="1"/>
  <c r="B1502" i="1"/>
  <c r="A1502" i="1"/>
  <c r="J1501" i="1"/>
  <c r="H1501" i="1"/>
  <c r="G1501" i="1"/>
  <c r="B1501" i="1"/>
  <c r="A1501" i="1"/>
  <c r="J1500" i="1"/>
  <c r="H1500" i="1"/>
  <c r="G1500" i="1"/>
  <c r="B1500" i="1"/>
  <c r="A1500" i="1"/>
  <c r="J1499" i="1"/>
  <c r="H1499" i="1"/>
  <c r="G1499" i="1"/>
  <c r="B1499" i="1"/>
  <c r="A1499" i="1"/>
  <c r="J1498" i="1"/>
  <c r="H1498" i="1"/>
  <c r="G1498" i="1"/>
  <c r="B1498" i="1"/>
  <c r="A1498" i="1"/>
  <c r="J1497" i="1"/>
  <c r="H1497" i="1"/>
  <c r="G1497" i="1"/>
  <c r="B1497" i="1"/>
  <c r="A1497" i="1"/>
  <c r="J1496" i="1"/>
  <c r="H1496" i="1"/>
  <c r="G1496" i="1"/>
  <c r="B1496" i="1"/>
  <c r="A1496" i="1"/>
  <c r="J1495" i="1"/>
  <c r="H1495" i="1"/>
  <c r="G1495" i="1"/>
  <c r="B1495" i="1"/>
  <c r="A1495" i="1"/>
  <c r="J1494" i="1"/>
  <c r="H1494" i="1"/>
  <c r="G1494" i="1"/>
  <c r="B1494" i="1"/>
  <c r="A1494" i="1"/>
  <c r="J1493" i="1"/>
  <c r="H1493" i="1"/>
  <c r="G1493" i="1"/>
  <c r="B1493" i="1"/>
  <c r="A1493" i="1"/>
  <c r="J1492" i="1"/>
  <c r="H1492" i="1"/>
  <c r="G1492" i="1"/>
  <c r="B1492" i="1"/>
  <c r="A1492" i="1"/>
  <c r="J1491" i="1"/>
  <c r="H1491" i="1"/>
  <c r="G1491" i="1"/>
  <c r="B1491" i="1"/>
  <c r="A1491" i="1"/>
  <c r="J1490" i="1"/>
  <c r="H1490" i="1"/>
  <c r="G1490" i="1"/>
  <c r="B1490" i="1"/>
  <c r="A1490" i="1"/>
  <c r="J1489" i="1"/>
  <c r="H1489" i="1"/>
  <c r="G1489" i="1"/>
  <c r="B1489" i="1"/>
  <c r="A1489" i="1"/>
  <c r="J1488" i="1"/>
  <c r="H1488" i="1"/>
  <c r="G1488" i="1"/>
  <c r="B1488" i="1"/>
  <c r="A1488" i="1"/>
  <c r="J1487" i="1"/>
  <c r="H1487" i="1"/>
  <c r="G1487" i="1"/>
  <c r="B1487" i="1"/>
  <c r="A1487" i="1"/>
  <c r="J1486" i="1"/>
  <c r="H1486" i="1"/>
  <c r="G1486" i="1"/>
  <c r="B1486" i="1"/>
  <c r="A1486" i="1"/>
  <c r="J1485" i="1"/>
  <c r="H1485" i="1"/>
  <c r="G1485" i="1"/>
  <c r="B1485" i="1"/>
  <c r="A1485" i="1"/>
  <c r="H1484" i="1"/>
  <c r="G1484" i="1"/>
  <c r="B1484" i="1"/>
  <c r="A1484" i="1"/>
  <c r="H1483" i="1"/>
  <c r="G1483" i="1"/>
  <c r="B1483" i="1"/>
  <c r="A1483" i="1"/>
  <c r="J1482" i="1"/>
  <c r="H1482" i="1"/>
  <c r="G1482" i="1"/>
  <c r="B1482" i="1"/>
  <c r="A1482" i="1"/>
  <c r="J1481" i="1"/>
  <c r="H1481" i="1"/>
  <c r="G1481" i="1"/>
  <c r="B1481" i="1"/>
  <c r="A1481" i="1"/>
  <c r="J1480" i="1"/>
  <c r="H1480" i="1"/>
  <c r="G1480" i="1"/>
  <c r="B1480" i="1"/>
  <c r="A1480" i="1"/>
  <c r="J1479" i="1"/>
  <c r="H1479" i="1"/>
  <c r="G1479" i="1"/>
  <c r="B1479" i="1"/>
  <c r="A1479" i="1"/>
  <c r="J1478" i="1"/>
  <c r="H1478" i="1"/>
  <c r="G1478" i="1"/>
  <c r="B1478" i="1"/>
  <c r="A1478" i="1"/>
  <c r="J1477" i="1"/>
  <c r="H1477" i="1"/>
  <c r="G1477" i="1"/>
  <c r="B1477" i="1"/>
  <c r="A1477" i="1"/>
  <c r="J1476" i="1"/>
  <c r="H1476" i="1"/>
  <c r="G1476" i="1"/>
  <c r="B1476" i="1"/>
  <c r="A1476" i="1"/>
  <c r="J1475" i="1"/>
  <c r="H1475" i="1"/>
  <c r="G1475" i="1"/>
  <c r="B1475" i="1"/>
  <c r="A1475" i="1"/>
  <c r="J1474" i="1"/>
  <c r="H1474" i="1"/>
  <c r="G1474" i="1"/>
  <c r="B1474" i="1"/>
  <c r="A1474" i="1"/>
  <c r="J1473" i="1"/>
  <c r="H1473" i="1"/>
  <c r="G1473" i="1"/>
  <c r="B1473" i="1"/>
  <c r="A1473" i="1"/>
  <c r="J1472" i="1"/>
  <c r="H1472" i="1"/>
  <c r="G1472" i="1"/>
  <c r="B1472" i="1"/>
  <c r="A1472" i="1"/>
  <c r="J1471" i="1"/>
  <c r="H1471" i="1"/>
  <c r="G1471" i="1"/>
  <c r="B1471" i="1"/>
  <c r="A1471" i="1"/>
  <c r="J1470" i="1"/>
  <c r="H1470" i="1"/>
  <c r="G1470" i="1"/>
  <c r="B1470" i="1"/>
  <c r="A1470" i="1"/>
  <c r="J1469" i="1"/>
  <c r="H1469" i="1"/>
  <c r="G1469" i="1"/>
  <c r="B1469" i="1"/>
  <c r="A1469" i="1"/>
  <c r="J1468" i="1"/>
  <c r="H1468" i="1"/>
  <c r="G1468" i="1"/>
  <c r="B1468" i="1"/>
  <c r="A1468" i="1"/>
  <c r="J1467" i="1"/>
  <c r="H1467" i="1"/>
  <c r="G1467" i="1"/>
  <c r="B1467" i="1"/>
  <c r="A1467" i="1"/>
  <c r="J1466" i="1"/>
  <c r="H1466" i="1"/>
  <c r="G1466" i="1"/>
  <c r="B1466" i="1"/>
  <c r="A1466" i="1"/>
  <c r="J1465" i="1"/>
  <c r="H1465" i="1"/>
  <c r="G1465" i="1"/>
  <c r="B1465" i="1"/>
  <c r="A1465" i="1"/>
  <c r="J1464" i="1"/>
  <c r="H1464" i="1"/>
  <c r="G1464" i="1"/>
  <c r="B1464" i="1"/>
  <c r="A1464" i="1"/>
  <c r="J1463" i="1"/>
  <c r="H1463" i="1"/>
  <c r="G1463" i="1"/>
  <c r="B1463" i="1"/>
  <c r="A1463" i="1"/>
  <c r="J1462" i="1"/>
  <c r="H1462" i="1"/>
  <c r="G1462" i="1"/>
  <c r="B1462" i="1"/>
  <c r="A1462" i="1"/>
  <c r="J1461" i="1"/>
  <c r="H1461" i="1"/>
  <c r="G1461" i="1"/>
  <c r="B1461" i="1"/>
  <c r="A1461" i="1"/>
  <c r="J1460" i="1"/>
  <c r="H1460" i="1"/>
  <c r="G1460" i="1"/>
  <c r="B1460" i="1"/>
  <c r="A1460" i="1"/>
  <c r="J1459" i="1"/>
  <c r="H1459" i="1"/>
  <c r="G1459" i="1"/>
  <c r="B1459" i="1"/>
  <c r="A1459" i="1"/>
  <c r="J1458" i="1"/>
  <c r="H1458" i="1"/>
  <c r="G1458" i="1"/>
  <c r="B1458" i="1"/>
  <c r="A1458" i="1"/>
  <c r="J1457" i="1"/>
  <c r="H1457" i="1"/>
  <c r="G1457" i="1"/>
  <c r="B1457" i="1"/>
  <c r="A1457" i="1"/>
  <c r="J1456" i="1"/>
  <c r="H1456" i="1"/>
  <c r="G1456" i="1"/>
  <c r="B1456" i="1"/>
  <c r="A1456" i="1"/>
  <c r="J1455" i="1"/>
  <c r="H1455" i="1"/>
  <c r="G1455" i="1"/>
  <c r="B1455" i="1"/>
  <c r="A1455" i="1"/>
  <c r="J1454" i="1"/>
  <c r="H1454" i="1"/>
  <c r="G1454" i="1"/>
  <c r="B1454" i="1"/>
  <c r="A1454" i="1"/>
  <c r="J1453" i="1"/>
  <c r="H1453" i="1"/>
  <c r="G1453" i="1"/>
  <c r="B1453" i="1"/>
  <c r="A1453" i="1"/>
  <c r="J1452" i="1"/>
  <c r="H1452" i="1"/>
  <c r="G1452" i="1"/>
  <c r="B1452" i="1"/>
  <c r="A1452" i="1"/>
  <c r="J1451" i="1"/>
  <c r="H1451" i="1"/>
  <c r="G1451" i="1"/>
  <c r="B1451" i="1"/>
  <c r="A1451" i="1"/>
  <c r="J1450" i="1"/>
  <c r="H1450" i="1"/>
  <c r="G1450" i="1"/>
  <c r="B1450" i="1"/>
  <c r="A1450" i="1"/>
  <c r="J1449" i="1"/>
  <c r="H1449" i="1"/>
  <c r="G1449" i="1"/>
  <c r="B1449" i="1"/>
  <c r="A1449" i="1"/>
  <c r="J1448" i="1"/>
  <c r="H1448" i="1"/>
  <c r="G1448" i="1"/>
  <c r="B1448" i="1"/>
  <c r="A1448" i="1"/>
  <c r="J1447" i="1"/>
  <c r="H1447" i="1"/>
  <c r="G1447" i="1"/>
  <c r="B1447" i="1"/>
  <c r="A1447" i="1"/>
  <c r="J1446" i="1"/>
  <c r="H1446" i="1"/>
  <c r="G1446" i="1"/>
  <c r="B1446" i="1"/>
  <c r="A1446" i="1"/>
  <c r="J1445" i="1"/>
  <c r="H1445" i="1"/>
  <c r="G1445" i="1"/>
  <c r="B1445" i="1"/>
  <c r="A1445" i="1"/>
  <c r="J1444" i="1"/>
  <c r="H1444" i="1"/>
  <c r="G1444" i="1"/>
  <c r="B1444" i="1"/>
  <c r="A1444" i="1"/>
  <c r="J1443" i="1"/>
  <c r="H1443" i="1"/>
  <c r="G1443" i="1"/>
  <c r="B1443" i="1"/>
  <c r="A1443" i="1"/>
  <c r="J1442" i="1"/>
  <c r="H1442" i="1"/>
  <c r="G1442" i="1"/>
  <c r="B1442" i="1"/>
  <c r="A1442" i="1"/>
  <c r="J1441" i="1"/>
  <c r="H1441" i="1"/>
  <c r="G1441" i="1"/>
  <c r="B1441" i="1"/>
  <c r="A1441" i="1"/>
  <c r="J1440" i="1"/>
  <c r="H1440" i="1"/>
  <c r="G1440" i="1"/>
  <c r="B1440" i="1"/>
  <c r="A1440" i="1"/>
  <c r="J1439" i="1"/>
  <c r="H1439" i="1"/>
  <c r="G1439" i="1"/>
  <c r="B1439" i="1"/>
  <c r="A1439" i="1"/>
  <c r="J1438" i="1"/>
  <c r="H1438" i="1"/>
  <c r="G1438" i="1"/>
  <c r="B1438" i="1"/>
  <c r="A1438" i="1"/>
  <c r="J1437" i="1"/>
  <c r="H1437" i="1"/>
  <c r="G1437" i="1"/>
  <c r="B1437" i="1"/>
  <c r="A1437" i="1"/>
  <c r="J1436" i="1"/>
  <c r="H1436" i="1"/>
  <c r="G1436" i="1"/>
  <c r="B1436" i="1"/>
  <c r="A1436" i="1"/>
  <c r="J1435" i="1"/>
  <c r="H1435" i="1"/>
  <c r="G1435" i="1"/>
  <c r="B1435" i="1"/>
  <c r="A1435" i="1"/>
  <c r="J1434" i="1"/>
  <c r="H1434" i="1"/>
  <c r="G1434" i="1"/>
  <c r="B1434" i="1"/>
  <c r="A1434" i="1"/>
  <c r="J1433" i="1"/>
  <c r="H1433" i="1"/>
  <c r="G1433" i="1"/>
  <c r="B1433" i="1"/>
  <c r="A1433" i="1"/>
  <c r="J1432" i="1"/>
  <c r="H1432" i="1"/>
  <c r="G1432" i="1"/>
  <c r="B1432" i="1"/>
  <c r="A1432" i="1"/>
  <c r="J1431" i="1"/>
  <c r="H1431" i="1"/>
  <c r="G1431" i="1"/>
  <c r="B1431" i="1"/>
  <c r="A1431" i="1"/>
  <c r="J1430" i="1"/>
  <c r="H1430" i="1"/>
  <c r="G1430" i="1"/>
  <c r="B1430" i="1"/>
  <c r="A1430" i="1"/>
  <c r="J1429" i="1"/>
  <c r="H1429" i="1"/>
  <c r="G1429" i="1"/>
  <c r="B1429" i="1"/>
  <c r="A1429" i="1"/>
  <c r="J1428" i="1"/>
  <c r="H1428" i="1"/>
  <c r="G1428" i="1"/>
  <c r="B1428" i="1"/>
  <c r="A1428" i="1"/>
  <c r="J1427" i="1"/>
  <c r="H1427" i="1"/>
  <c r="G1427" i="1"/>
  <c r="B1427" i="1"/>
  <c r="A1427" i="1"/>
  <c r="J1426" i="1"/>
  <c r="H1426" i="1"/>
  <c r="G1426" i="1"/>
  <c r="B1426" i="1"/>
  <c r="A1426" i="1"/>
  <c r="J1425" i="1"/>
  <c r="H1425" i="1"/>
  <c r="G1425" i="1"/>
  <c r="B1425" i="1"/>
  <c r="A1425" i="1"/>
  <c r="J1424" i="1"/>
  <c r="H1424" i="1"/>
  <c r="G1424" i="1"/>
  <c r="B1424" i="1"/>
  <c r="A1424" i="1"/>
  <c r="J1423" i="1"/>
  <c r="H1423" i="1"/>
  <c r="G1423" i="1"/>
  <c r="B1423" i="1"/>
  <c r="A1423" i="1"/>
  <c r="J1422" i="1"/>
  <c r="H1422" i="1"/>
  <c r="G1422" i="1"/>
  <c r="B1422" i="1"/>
  <c r="A1422" i="1"/>
  <c r="J1421" i="1"/>
  <c r="H1421" i="1"/>
  <c r="G1421" i="1"/>
  <c r="B1421" i="1"/>
  <c r="A1421" i="1"/>
  <c r="J1420" i="1"/>
  <c r="H1420" i="1"/>
  <c r="G1420" i="1"/>
  <c r="B1420" i="1"/>
  <c r="A1420" i="1"/>
  <c r="J1419" i="1"/>
  <c r="H1419" i="1"/>
  <c r="G1419" i="1"/>
  <c r="B1419" i="1"/>
  <c r="A1419" i="1"/>
  <c r="J1418" i="1"/>
  <c r="H1418" i="1"/>
  <c r="G1418" i="1"/>
  <c r="B1418" i="1"/>
  <c r="A1418" i="1"/>
  <c r="J1417" i="1"/>
  <c r="H1417" i="1"/>
  <c r="G1417" i="1"/>
  <c r="B1417" i="1"/>
  <c r="A1417" i="1"/>
  <c r="J1416" i="1"/>
  <c r="H1416" i="1"/>
  <c r="G1416" i="1"/>
  <c r="B1416" i="1"/>
  <c r="A1416" i="1"/>
  <c r="J1415" i="1"/>
  <c r="H1415" i="1"/>
  <c r="G1415" i="1"/>
  <c r="B1415" i="1"/>
  <c r="A1415" i="1"/>
  <c r="J1414" i="1"/>
  <c r="H1414" i="1"/>
  <c r="G1414" i="1"/>
  <c r="B1414" i="1"/>
  <c r="A1414" i="1"/>
  <c r="J1413" i="1"/>
  <c r="H1413" i="1"/>
  <c r="G1413" i="1"/>
  <c r="B1413" i="1"/>
  <c r="A1413" i="1"/>
  <c r="J1412" i="1"/>
  <c r="H1412" i="1"/>
  <c r="G1412" i="1"/>
  <c r="B1412" i="1"/>
  <c r="A1412" i="1"/>
  <c r="J1411" i="1"/>
  <c r="H1411" i="1"/>
  <c r="G1411" i="1"/>
  <c r="B1411" i="1"/>
  <c r="A1411" i="1"/>
  <c r="J1410" i="1"/>
  <c r="H1410" i="1"/>
  <c r="G1410" i="1"/>
  <c r="B1410" i="1"/>
  <c r="A1410" i="1"/>
  <c r="J1409" i="1"/>
  <c r="H1409" i="1"/>
  <c r="G1409" i="1"/>
  <c r="B1409" i="1"/>
  <c r="A1409" i="1"/>
  <c r="J1408" i="1"/>
  <c r="H1408" i="1"/>
  <c r="G1408" i="1"/>
  <c r="B1408" i="1"/>
  <c r="A1408" i="1"/>
  <c r="J1407" i="1"/>
  <c r="H1407" i="1"/>
  <c r="G1407" i="1"/>
  <c r="B1407" i="1"/>
  <c r="A1407" i="1"/>
  <c r="J1406" i="1"/>
  <c r="H1406" i="1"/>
  <c r="G1406" i="1"/>
  <c r="B1406" i="1"/>
  <c r="A1406" i="1"/>
  <c r="J1405" i="1"/>
  <c r="H1405" i="1"/>
  <c r="G1405" i="1"/>
  <c r="B1405" i="1"/>
  <c r="A1405" i="1"/>
  <c r="J1404" i="1"/>
  <c r="H1404" i="1"/>
  <c r="G1404" i="1"/>
  <c r="B1404" i="1"/>
  <c r="A1404" i="1"/>
  <c r="J1403" i="1"/>
  <c r="H1403" i="1"/>
  <c r="G1403" i="1"/>
  <c r="B1403" i="1"/>
  <c r="A1403" i="1"/>
  <c r="J1402" i="1"/>
  <c r="H1402" i="1"/>
  <c r="G1402" i="1"/>
  <c r="B1402" i="1"/>
  <c r="A1402" i="1"/>
  <c r="J1401" i="1"/>
  <c r="H1401" i="1"/>
  <c r="G1401" i="1"/>
  <c r="B1401" i="1"/>
  <c r="A1401" i="1"/>
  <c r="J1400" i="1"/>
  <c r="H1400" i="1"/>
  <c r="G1400" i="1"/>
  <c r="B1400" i="1"/>
  <c r="A1400" i="1"/>
  <c r="J1399" i="1"/>
  <c r="H1399" i="1"/>
  <c r="G1399" i="1"/>
  <c r="B1399" i="1"/>
  <c r="A1399" i="1"/>
  <c r="J1398" i="1"/>
  <c r="H1398" i="1"/>
  <c r="G1398" i="1"/>
  <c r="B1398" i="1"/>
  <c r="A1398" i="1"/>
  <c r="J1397" i="1"/>
  <c r="H1397" i="1"/>
  <c r="G1397" i="1"/>
  <c r="B1397" i="1"/>
  <c r="A1397" i="1"/>
  <c r="J1396" i="1"/>
  <c r="H1396" i="1"/>
  <c r="G1396" i="1"/>
  <c r="B1396" i="1"/>
  <c r="A1396" i="1"/>
  <c r="J1395" i="1"/>
  <c r="H1395" i="1"/>
  <c r="G1395" i="1"/>
  <c r="B1395" i="1"/>
  <c r="A1395" i="1"/>
  <c r="J1394" i="1"/>
  <c r="H1394" i="1"/>
  <c r="G1394" i="1"/>
  <c r="B1394" i="1"/>
  <c r="A1394" i="1"/>
  <c r="J1393" i="1"/>
  <c r="H1393" i="1"/>
  <c r="G1393" i="1"/>
  <c r="B1393" i="1"/>
  <c r="A1393" i="1"/>
  <c r="J1392" i="1"/>
  <c r="H1392" i="1"/>
  <c r="G1392" i="1"/>
  <c r="B1392" i="1"/>
  <c r="A1392" i="1"/>
  <c r="J1391" i="1"/>
  <c r="H1391" i="1"/>
  <c r="G1391" i="1"/>
  <c r="B1391" i="1"/>
  <c r="A1391" i="1"/>
  <c r="J1390" i="1"/>
  <c r="H1390" i="1"/>
  <c r="G1390" i="1"/>
  <c r="B1390" i="1"/>
  <c r="A1390" i="1"/>
  <c r="J1389" i="1"/>
  <c r="H1389" i="1"/>
  <c r="G1389" i="1"/>
  <c r="B1389" i="1"/>
  <c r="A1389" i="1"/>
  <c r="J1388" i="1"/>
  <c r="H1388" i="1"/>
  <c r="G1388" i="1"/>
  <c r="B1388" i="1"/>
  <c r="A1388" i="1"/>
  <c r="J1387" i="1"/>
  <c r="H1387" i="1"/>
  <c r="G1387" i="1"/>
  <c r="B1387" i="1"/>
  <c r="A1387" i="1"/>
  <c r="J1386" i="1"/>
  <c r="H1386" i="1"/>
  <c r="G1386" i="1"/>
  <c r="B1386" i="1"/>
  <c r="A1386" i="1"/>
  <c r="J1385" i="1"/>
  <c r="H1385" i="1"/>
  <c r="G1385" i="1"/>
  <c r="B1385" i="1"/>
  <c r="A1385" i="1"/>
  <c r="J1384" i="1"/>
  <c r="H1384" i="1"/>
  <c r="G1384" i="1"/>
  <c r="B1384" i="1"/>
  <c r="A1384" i="1"/>
  <c r="J1383" i="1"/>
  <c r="H1383" i="1"/>
  <c r="G1383" i="1"/>
  <c r="B1383" i="1"/>
  <c r="A1383" i="1"/>
  <c r="J1382" i="1"/>
  <c r="H1382" i="1"/>
  <c r="G1382" i="1"/>
  <c r="B1382" i="1"/>
  <c r="A1382" i="1"/>
  <c r="J1381" i="1"/>
  <c r="H1381" i="1"/>
  <c r="G1381" i="1"/>
  <c r="B1381" i="1"/>
  <c r="A1381" i="1"/>
  <c r="J1380" i="1"/>
  <c r="H1380" i="1"/>
  <c r="G1380" i="1"/>
  <c r="B1380" i="1"/>
  <c r="A1380" i="1"/>
  <c r="J1379" i="1"/>
  <c r="H1379" i="1"/>
  <c r="G1379" i="1"/>
  <c r="B1379" i="1"/>
  <c r="A1379" i="1"/>
  <c r="J1378" i="1"/>
  <c r="H1378" i="1"/>
  <c r="G1378" i="1"/>
  <c r="B1378" i="1"/>
  <c r="A1378" i="1"/>
  <c r="J1377" i="1"/>
  <c r="H1377" i="1"/>
  <c r="G1377" i="1"/>
  <c r="B1377" i="1"/>
  <c r="A1377" i="1"/>
  <c r="J1376" i="1"/>
  <c r="H1376" i="1"/>
  <c r="G1376" i="1"/>
  <c r="B1376" i="1"/>
  <c r="A1376" i="1"/>
  <c r="J1375" i="1"/>
  <c r="H1375" i="1"/>
  <c r="G1375" i="1"/>
  <c r="B1375" i="1"/>
  <c r="A1375" i="1"/>
  <c r="J1374" i="1"/>
  <c r="H1374" i="1"/>
  <c r="G1374" i="1"/>
  <c r="B1374" i="1"/>
  <c r="A1374" i="1"/>
  <c r="J1373" i="1"/>
  <c r="H1373" i="1"/>
  <c r="G1373" i="1"/>
  <c r="B1373" i="1"/>
  <c r="A1373" i="1"/>
  <c r="J1372" i="1"/>
  <c r="H1372" i="1"/>
  <c r="G1372" i="1"/>
  <c r="B1372" i="1"/>
  <c r="A1372" i="1"/>
  <c r="J1371" i="1"/>
  <c r="H1371" i="1"/>
  <c r="G1371" i="1"/>
  <c r="B1371" i="1"/>
  <c r="A1371" i="1"/>
  <c r="J1370" i="1"/>
  <c r="H1370" i="1"/>
  <c r="G1370" i="1"/>
  <c r="B1370" i="1"/>
  <c r="A1370" i="1"/>
  <c r="J1369" i="1"/>
  <c r="H1369" i="1"/>
  <c r="G1369" i="1"/>
  <c r="B1369" i="1"/>
  <c r="A1369" i="1"/>
  <c r="J1368" i="1"/>
  <c r="H1368" i="1"/>
  <c r="G1368" i="1"/>
  <c r="B1368" i="1"/>
  <c r="A1368" i="1"/>
  <c r="J1367" i="1"/>
  <c r="H1367" i="1"/>
  <c r="G1367" i="1"/>
  <c r="B1367" i="1"/>
  <c r="A1367" i="1"/>
  <c r="J1366" i="1"/>
  <c r="H1366" i="1"/>
  <c r="G1366" i="1"/>
  <c r="B1366" i="1"/>
  <c r="A1366" i="1"/>
  <c r="J1365" i="1"/>
  <c r="H1365" i="1"/>
  <c r="G1365" i="1"/>
  <c r="B1365" i="1"/>
  <c r="A1365" i="1"/>
  <c r="J1364" i="1"/>
  <c r="H1364" i="1"/>
  <c r="G1364" i="1"/>
  <c r="B1364" i="1"/>
  <c r="A1364" i="1"/>
  <c r="J1363" i="1"/>
  <c r="H1363" i="1"/>
  <c r="G1363" i="1"/>
  <c r="B1363" i="1"/>
  <c r="A1363" i="1"/>
  <c r="J1362" i="1"/>
  <c r="H1362" i="1"/>
  <c r="G1362" i="1"/>
  <c r="B1362" i="1"/>
  <c r="A1362" i="1"/>
  <c r="J1361" i="1"/>
  <c r="H1361" i="1"/>
  <c r="G1361" i="1"/>
  <c r="B1361" i="1"/>
  <c r="A1361" i="1"/>
  <c r="J1360" i="1"/>
  <c r="H1360" i="1"/>
  <c r="G1360" i="1"/>
  <c r="B1360" i="1"/>
  <c r="A1360" i="1"/>
  <c r="J1359" i="1"/>
  <c r="H1359" i="1"/>
  <c r="G1359" i="1"/>
  <c r="B1359" i="1"/>
  <c r="A1359" i="1"/>
  <c r="J1358" i="1"/>
  <c r="H1358" i="1"/>
  <c r="G1358" i="1"/>
  <c r="B1358" i="1"/>
  <c r="A1358" i="1"/>
  <c r="J1357" i="1"/>
  <c r="H1357" i="1"/>
  <c r="G1357" i="1"/>
  <c r="B1357" i="1"/>
  <c r="A1357" i="1"/>
  <c r="J1356" i="1"/>
  <c r="H1356" i="1"/>
  <c r="G1356" i="1"/>
  <c r="B1356" i="1"/>
  <c r="A1356" i="1"/>
  <c r="J1355" i="1"/>
  <c r="H1355" i="1"/>
  <c r="G1355" i="1"/>
  <c r="B1355" i="1"/>
  <c r="A1355" i="1"/>
  <c r="J1354" i="1"/>
  <c r="H1354" i="1"/>
  <c r="G1354" i="1"/>
  <c r="B1354" i="1"/>
  <c r="A1354" i="1"/>
  <c r="J1353" i="1"/>
  <c r="H1353" i="1"/>
  <c r="G1353" i="1"/>
  <c r="B1353" i="1"/>
  <c r="A1353" i="1"/>
  <c r="J1352" i="1"/>
  <c r="H1352" i="1"/>
  <c r="G1352" i="1"/>
  <c r="B1352" i="1"/>
  <c r="A1352" i="1"/>
  <c r="J1351" i="1"/>
  <c r="H1351" i="1"/>
  <c r="G1351" i="1"/>
  <c r="B1351" i="1"/>
  <c r="A1351" i="1"/>
  <c r="J1350" i="1"/>
  <c r="H1350" i="1"/>
  <c r="G1350" i="1"/>
  <c r="B1350" i="1"/>
  <c r="A1350" i="1"/>
  <c r="J1349" i="1"/>
  <c r="H1349" i="1"/>
  <c r="G1349" i="1"/>
  <c r="B1349" i="1"/>
  <c r="A1349" i="1"/>
  <c r="J1348" i="1"/>
  <c r="H1348" i="1"/>
  <c r="G1348" i="1"/>
  <c r="B1348" i="1"/>
  <c r="A1348" i="1"/>
  <c r="J1347" i="1"/>
  <c r="H1347" i="1"/>
  <c r="G1347" i="1"/>
  <c r="B1347" i="1"/>
  <c r="A1347" i="1"/>
  <c r="J1346" i="1"/>
  <c r="H1346" i="1"/>
  <c r="G1346" i="1"/>
  <c r="B1346" i="1"/>
  <c r="A1346" i="1"/>
  <c r="J1345" i="1"/>
  <c r="H1345" i="1"/>
  <c r="G1345" i="1"/>
  <c r="B1345" i="1"/>
  <c r="A1345" i="1"/>
  <c r="J1344" i="1"/>
  <c r="H1344" i="1"/>
  <c r="G1344" i="1"/>
  <c r="B1344" i="1"/>
  <c r="A1344" i="1"/>
  <c r="J1343" i="1"/>
  <c r="H1343" i="1"/>
  <c r="G1343" i="1"/>
  <c r="B1343" i="1"/>
  <c r="A1343" i="1"/>
  <c r="J1342" i="1"/>
  <c r="H1342" i="1"/>
  <c r="G1342" i="1"/>
  <c r="B1342" i="1"/>
  <c r="A1342" i="1"/>
  <c r="J1341" i="1"/>
  <c r="H1341" i="1"/>
  <c r="G1341" i="1"/>
  <c r="B1341" i="1"/>
  <c r="A1341" i="1"/>
  <c r="J1340" i="1"/>
  <c r="H1340" i="1"/>
  <c r="G1340" i="1"/>
  <c r="B1340" i="1"/>
  <c r="A1340" i="1"/>
  <c r="J1339" i="1"/>
  <c r="H1339" i="1"/>
  <c r="G1339" i="1"/>
  <c r="B1339" i="1"/>
  <c r="A1339" i="1"/>
  <c r="J1338" i="1"/>
  <c r="H1338" i="1"/>
  <c r="G1338" i="1"/>
  <c r="B1338" i="1"/>
  <c r="A1338" i="1"/>
  <c r="J1337" i="1"/>
  <c r="H1337" i="1"/>
  <c r="G1337" i="1"/>
  <c r="B1337" i="1"/>
  <c r="A1337" i="1"/>
  <c r="J1336" i="1"/>
  <c r="H1336" i="1"/>
  <c r="G1336" i="1"/>
  <c r="B1336" i="1"/>
  <c r="A1336" i="1"/>
  <c r="J1335" i="1"/>
  <c r="H1335" i="1"/>
  <c r="G1335" i="1"/>
  <c r="B1335" i="1"/>
  <c r="A1335" i="1"/>
  <c r="J1334" i="1"/>
  <c r="H1334" i="1"/>
  <c r="G1334" i="1"/>
  <c r="B1334" i="1"/>
  <c r="A1334" i="1"/>
  <c r="J1333" i="1"/>
  <c r="H1333" i="1"/>
  <c r="G1333" i="1"/>
  <c r="B1333" i="1"/>
  <c r="A1333" i="1"/>
  <c r="J1332" i="1"/>
  <c r="H1332" i="1"/>
  <c r="G1332" i="1"/>
  <c r="B1332" i="1"/>
  <c r="A1332" i="1"/>
  <c r="J1331" i="1"/>
  <c r="H1331" i="1"/>
  <c r="G1331" i="1"/>
  <c r="B1331" i="1"/>
  <c r="A1331" i="1"/>
  <c r="J1330" i="1"/>
  <c r="H1330" i="1"/>
  <c r="G1330" i="1"/>
  <c r="B1330" i="1"/>
  <c r="A1330" i="1"/>
  <c r="J1329" i="1"/>
  <c r="H1329" i="1"/>
  <c r="G1329" i="1"/>
  <c r="B1329" i="1"/>
  <c r="A1329" i="1"/>
  <c r="J1328" i="1"/>
  <c r="H1328" i="1"/>
  <c r="G1328" i="1"/>
  <c r="B1328" i="1"/>
  <c r="A1328" i="1"/>
  <c r="J1327" i="1"/>
  <c r="H1327" i="1"/>
  <c r="G1327" i="1"/>
  <c r="B1327" i="1"/>
  <c r="A1327" i="1"/>
  <c r="J1326" i="1"/>
  <c r="H1326" i="1"/>
  <c r="G1326" i="1"/>
  <c r="B1326" i="1"/>
  <c r="A1326" i="1"/>
  <c r="J1325" i="1"/>
  <c r="H1325" i="1"/>
  <c r="G1325" i="1"/>
  <c r="B1325" i="1"/>
  <c r="A1325" i="1"/>
  <c r="J1324" i="1"/>
  <c r="H1324" i="1"/>
  <c r="G1324" i="1"/>
  <c r="B1324" i="1"/>
  <c r="A1324" i="1"/>
  <c r="J1323" i="1"/>
  <c r="H1323" i="1"/>
  <c r="G1323" i="1"/>
  <c r="B1323" i="1"/>
  <c r="A1323" i="1"/>
  <c r="J1322" i="1"/>
  <c r="H1322" i="1"/>
  <c r="G1322" i="1"/>
  <c r="B1322" i="1"/>
  <c r="A1322" i="1"/>
  <c r="J1321" i="1"/>
  <c r="H1321" i="1"/>
  <c r="G1321" i="1"/>
  <c r="B1321" i="1"/>
  <c r="A1321" i="1"/>
  <c r="J1320" i="1"/>
  <c r="H1320" i="1"/>
  <c r="G1320" i="1"/>
  <c r="B1320" i="1"/>
  <c r="A1320" i="1"/>
  <c r="J1319" i="1"/>
  <c r="H1319" i="1"/>
  <c r="G1319" i="1"/>
  <c r="B1319" i="1"/>
  <c r="A1319" i="1"/>
  <c r="J1318" i="1"/>
  <c r="H1318" i="1"/>
  <c r="G1318" i="1"/>
  <c r="B1318" i="1"/>
  <c r="A1318" i="1"/>
  <c r="J1317" i="1"/>
  <c r="H1317" i="1"/>
  <c r="G1317" i="1"/>
  <c r="B1317" i="1"/>
  <c r="A1317" i="1"/>
  <c r="J1316" i="1"/>
  <c r="H1316" i="1"/>
  <c r="G1316" i="1"/>
  <c r="B1316" i="1"/>
  <c r="A1316" i="1"/>
  <c r="J1315" i="1"/>
  <c r="H1315" i="1"/>
  <c r="G1315" i="1"/>
  <c r="B1315" i="1"/>
  <c r="A1315" i="1"/>
  <c r="J1314" i="1"/>
  <c r="H1314" i="1"/>
  <c r="G1314" i="1"/>
  <c r="B1314" i="1"/>
  <c r="A1314" i="1"/>
  <c r="J1313" i="1"/>
  <c r="H1313" i="1"/>
  <c r="G1313" i="1"/>
  <c r="B1313" i="1"/>
  <c r="A1313" i="1"/>
  <c r="J1312" i="1"/>
  <c r="H1312" i="1"/>
  <c r="G1312" i="1"/>
  <c r="B1312" i="1"/>
  <c r="A1312" i="1"/>
  <c r="J1311" i="1"/>
  <c r="H1311" i="1"/>
  <c r="G1311" i="1"/>
  <c r="B1311" i="1"/>
  <c r="A1311" i="1"/>
  <c r="J1310" i="1"/>
  <c r="H1310" i="1"/>
  <c r="G1310" i="1"/>
  <c r="B1310" i="1"/>
  <c r="A1310" i="1"/>
  <c r="J1309" i="1"/>
  <c r="H1309" i="1"/>
  <c r="G1309" i="1"/>
  <c r="B1309" i="1"/>
  <c r="A1309" i="1"/>
  <c r="J1308" i="1"/>
  <c r="H1308" i="1"/>
  <c r="G1308" i="1"/>
  <c r="B1308" i="1"/>
  <c r="A1308" i="1"/>
  <c r="J1307" i="1"/>
  <c r="H1307" i="1"/>
  <c r="G1307" i="1"/>
  <c r="B1307" i="1"/>
  <c r="A1307" i="1"/>
  <c r="J1306" i="1"/>
  <c r="H1306" i="1"/>
  <c r="G1306" i="1"/>
  <c r="B1306" i="1"/>
  <c r="A1306" i="1"/>
  <c r="J1305" i="1"/>
  <c r="H1305" i="1"/>
  <c r="G1305" i="1"/>
  <c r="B1305" i="1"/>
  <c r="A1305" i="1"/>
  <c r="J1304" i="1"/>
  <c r="H1304" i="1"/>
  <c r="G1304" i="1"/>
  <c r="B1304" i="1"/>
  <c r="A1304" i="1"/>
  <c r="J1303" i="1"/>
  <c r="H1303" i="1"/>
  <c r="G1303" i="1"/>
  <c r="B1303" i="1"/>
  <c r="A1303" i="1"/>
  <c r="J1302" i="1"/>
  <c r="H1302" i="1"/>
  <c r="G1302" i="1"/>
  <c r="B1302" i="1"/>
  <c r="A1302" i="1"/>
  <c r="J1301" i="1"/>
  <c r="H1301" i="1"/>
  <c r="G1301" i="1"/>
  <c r="B1301" i="1"/>
  <c r="A1301" i="1"/>
  <c r="J1300" i="1"/>
  <c r="H1300" i="1"/>
  <c r="G1300" i="1"/>
  <c r="B1300" i="1"/>
  <c r="A1300" i="1"/>
  <c r="J1299" i="1"/>
  <c r="H1299" i="1"/>
  <c r="G1299" i="1"/>
  <c r="B1299" i="1"/>
  <c r="A1299" i="1"/>
  <c r="J1298" i="1"/>
  <c r="H1298" i="1"/>
  <c r="G1298" i="1"/>
  <c r="B1298" i="1"/>
  <c r="A1298" i="1"/>
  <c r="J1297" i="1"/>
  <c r="H1297" i="1"/>
  <c r="G1297" i="1"/>
  <c r="B1297" i="1"/>
  <c r="A1297" i="1"/>
  <c r="J1296" i="1"/>
  <c r="H1296" i="1"/>
  <c r="G1296" i="1"/>
  <c r="B1296" i="1"/>
  <c r="A1296" i="1"/>
  <c r="J1295" i="1"/>
  <c r="H1295" i="1"/>
  <c r="G1295" i="1"/>
  <c r="B1295" i="1"/>
  <c r="A1295" i="1"/>
  <c r="J1294" i="1"/>
  <c r="H1294" i="1"/>
  <c r="G1294" i="1"/>
  <c r="B1294" i="1"/>
  <c r="A1294" i="1"/>
  <c r="J1293" i="1"/>
  <c r="H1293" i="1"/>
  <c r="G1293" i="1"/>
  <c r="B1293" i="1"/>
  <c r="A1293" i="1"/>
  <c r="J1292" i="1"/>
  <c r="H1292" i="1"/>
  <c r="G1292" i="1"/>
  <c r="B1292" i="1"/>
  <c r="A1292" i="1"/>
  <c r="J1291" i="1"/>
  <c r="H1291" i="1"/>
  <c r="G1291" i="1"/>
  <c r="B1291" i="1"/>
  <c r="A1291" i="1"/>
  <c r="J1290" i="1"/>
  <c r="H1290" i="1"/>
  <c r="G1290" i="1"/>
  <c r="B1290" i="1"/>
  <c r="A1290" i="1"/>
  <c r="J1289" i="1"/>
  <c r="H1289" i="1"/>
  <c r="G1289" i="1"/>
  <c r="B1289" i="1"/>
  <c r="A1289" i="1"/>
  <c r="J1288" i="1"/>
  <c r="H1288" i="1"/>
  <c r="G1288" i="1"/>
  <c r="B1288" i="1"/>
  <c r="A1288" i="1"/>
  <c r="J1287" i="1"/>
  <c r="H1287" i="1"/>
  <c r="G1287" i="1"/>
  <c r="B1287" i="1"/>
  <c r="A1287" i="1"/>
  <c r="J1286" i="1"/>
  <c r="H1286" i="1"/>
  <c r="G1286" i="1"/>
  <c r="B1286" i="1"/>
  <c r="A1286" i="1"/>
  <c r="J1285" i="1"/>
  <c r="H1285" i="1"/>
  <c r="G1285" i="1"/>
  <c r="B1285" i="1"/>
  <c r="A1285" i="1"/>
  <c r="J1284" i="1"/>
  <c r="H1284" i="1"/>
  <c r="G1284" i="1"/>
  <c r="B1284" i="1"/>
  <c r="A1284" i="1"/>
  <c r="J1283" i="1"/>
  <c r="H1283" i="1"/>
  <c r="G1283" i="1"/>
  <c r="B1283" i="1"/>
  <c r="A1283" i="1"/>
  <c r="J1282" i="1"/>
  <c r="H1282" i="1"/>
  <c r="G1282" i="1"/>
  <c r="B1282" i="1"/>
  <c r="A1282" i="1"/>
  <c r="J1281" i="1"/>
  <c r="H1281" i="1"/>
  <c r="G1281" i="1"/>
  <c r="B1281" i="1"/>
  <c r="A1281" i="1"/>
  <c r="J1280" i="1"/>
  <c r="H1280" i="1"/>
  <c r="G1280" i="1"/>
  <c r="B1280" i="1"/>
  <c r="A1280" i="1"/>
  <c r="J1279" i="1"/>
  <c r="H1279" i="1"/>
  <c r="G1279" i="1"/>
  <c r="B1279" i="1"/>
  <c r="A1279" i="1"/>
  <c r="J1278" i="1"/>
  <c r="H1278" i="1"/>
  <c r="G1278" i="1"/>
  <c r="B1278" i="1"/>
  <c r="A1278" i="1"/>
  <c r="J1277" i="1"/>
  <c r="H1277" i="1"/>
  <c r="G1277" i="1"/>
  <c r="B1277" i="1"/>
  <c r="A1277" i="1"/>
  <c r="J1276" i="1"/>
  <c r="H1276" i="1"/>
  <c r="G1276" i="1"/>
  <c r="B1276" i="1"/>
  <c r="A1276" i="1"/>
  <c r="J1275" i="1"/>
  <c r="H1275" i="1"/>
  <c r="G1275" i="1"/>
  <c r="B1275" i="1"/>
  <c r="A1275" i="1"/>
  <c r="J1274" i="1"/>
  <c r="H1274" i="1"/>
  <c r="G1274" i="1"/>
  <c r="B1274" i="1"/>
  <c r="A1274" i="1"/>
  <c r="J1273" i="1"/>
  <c r="H1273" i="1"/>
  <c r="G1273" i="1"/>
  <c r="B1273" i="1"/>
  <c r="A1273" i="1"/>
  <c r="J1272" i="1"/>
  <c r="H1272" i="1"/>
  <c r="G1272" i="1"/>
  <c r="B1272" i="1"/>
  <c r="A1272" i="1"/>
  <c r="J1271" i="1"/>
  <c r="H1271" i="1"/>
  <c r="G1271" i="1"/>
  <c r="B1271" i="1"/>
  <c r="A1271" i="1"/>
  <c r="J1270" i="1"/>
  <c r="H1270" i="1"/>
  <c r="G1270" i="1"/>
  <c r="B1270" i="1"/>
  <c r="A1270" i="1"/>
  <c r="J1269" i="1"/>
  <c r="H1269" i="1"/>
  <c r="G1269" i="1"/>
  <c r="B1269" i="1"/>
  <c r="A1269" i="1"/>
  <c r="J1268" i="1"/>
  <c r="H1268" i="1"/>
  <c r="G1268" i="1"/>
  <c r="B1268" i="1"/>
  <c r="A1268" i="1"/>
  <c r="J1267" i="1"/>
  <c r="H1267" i="1"/>
  <c r="G1267" i="1"/>
  <c r="B1267" i="1"/>
  <c r="A1267" i="1"/>
  <c r="J1266" i="1"/>
  <c r="H1266" i="1"/>
  <c r="G1266" i="1"/>
  <c r="B1266" i="1"/>
  <c r="A1266" i="1"/>
  <c r="J1265" i="1"/>
  <c r="H1265" i="1"/>
  <c r="G1265" i="1"/>
  <c r="B1265" i="1"/>
  <c r="A1265" i="1"/>
  <c r="J1264" i="1"/>
  <c r="H1264" i="1"/>
  <c r="G1264" i="1"/>
  <c r="B1264" i="1"/>
  <c r="A1264" i="1"/>
  <c r="J1263" i="1"/>
  <c r="H1263" i="1"/>
  <c r="G1263" i="1"/>
  <c r="B1263" i="1"/>
  <c r="A1263" i="1"/>
  <c r="J1262" i="1"/>
  <c r="H1262" i="1"/>
  <c r="G1262" i="1"/>
  <c r="B1262" i="1"/>
  <c r="A1262" i="1"/>
  <c r="J1261" i="1"/>
  <c r="H1261" i="1"/>
  <c r="G1261" i="1"/>
  <c r="B1261" i="1"/>
  <c r="A1261" i="1"/>
  <c r="J1260" i="1"/>
  <c r="H1260" i="1"/>
  <c r="G1260" i="1"/>
  <c r="B1260" i="1"/>
  <c r="A1260" i="1"/>
  <c r="J1259" i="1"/>
  <c r="H1259" i="1"/>
  <c r="G1259" i="1"/>
  <c r="B1259" i="1"/>
  <c r="A1259" i="1"/>
  <c r="J1258" i="1"/>
  <c r="H1258" i="1"/>
  <c r="G1258" i="1"/>
  <c r="B1258" i="1"/>
  <c r="A1258" i="1"/>
  <c r="J1257" i="1"/>
  <c r="H1257" i="1"/>
  <c r="G1257" i="1"/>
  <c r="B1257" i="1"/>
  <c r="A1257" i="1"/>
  <c r="J1256" i="1"/>
  <c r="H1256" i="1"/>
  <c r="G1256" i="1"/>
  <c r="B1256" i="1"/>
  <c r="A1256" i="1"/>
  <c r="J1255" i="1"/>
  <c r="H1255" i="1"/>
  <c r="G1255" i="1"/>
  <c r="B1255" i="1"/>
  <c r="A1255" i="1"/>
  <c r="J1254" i="1"/>
  <c r="H1254" i="1"/>
  <c r="G1254" i="1"/>
  <c r="B1254" i="1"/>
  <c r="A1254" i="1"/>
  <c r="J1253" i="1"/>
  <c r="H1253" i="1"/>
  <c r="G1253" i="1"/>
  <c r="B1253" i="1"/>
  <c r="A1253" i="1"/>
  <c r="J1252" i="1"/>
  <c r="H1252" i="1"/>
  <c r="G1252" i="1"/>
  <c r="B1252" i="1"/>
  <c r="A1252" i="1"/>
  <c r="J1251" i="1"/>
  <c r="H1251" i="1"/>
  <c r="G1251" i="1"/>
  <c r="B1251" i="1"/>
  <c r="A1251" i="1"/>
  <c r="J1250" i="1"/>
  <c r="H1250" i="1"/>
  <c r="G1250" i="1"/>
  <c r="B1250" i="1"/>
  <c r="A1250" i="1"/>
  <c r="J1249" i="1"/>
  <c r="H1249" i="1"/>
  <c r="G1249" i="1"/>
  <c r="B1249" i="1"/>
  <c r="A1249" i="1"/>
  <c r="J1248" i="1"/>
  <c r="H1248" i="1"/>
  <c r="G1248" i="1"/>
  <c r="B1248" i="1"/>
  <c r="A1248" i="1"/>
  <c r="J1247" i="1"/>
  <c r="H1247" i="1"/>
  <c r="G1247" i="1"/>
  <c r="B1247" i="1"/>
  <c r="A1247" i="1"/>
  <c r="J1246" i="1"/>
  <c r="H1246" i="1"/>
  <c r="G1246" i="1"/>
  <c r="B1246" i="1"/>
  <c r="A1246" i="1"/>
  <c r="J1245" i="1"/>
  <c r="H1245" i="1"/>
  <c r="G1245" i="1"/>
  <c r="B1245" i="1"/>
  <c r="A1245" i="1"/>
  <c r="J1244" i="1"/>
  <c r="H1244" i="1"/>
  <c r="G1244" i="1"/>
  <c r="B1244" i="1"/>
  <c r="A1244" i="1"/>
  <c r="J1243" i="1"/>
  <c r="H1243" i="1"/>
  <c r="G1243" i="1"/>
  <c r="B1243" i="1"/>
  <c r="A1243" i="1"/>
  <c r="J1242" i="1"/>
  <c r="H1242" i="1"/>
  <c r="G1242" i="1"/>
  <c r="B1242" i="1"/>
  <c r="A1242" i="1"/>
  <c r="J1241" i="1"/>
  <c r="H1241" i="1"/>
  <c r="G1241" i="1"/>
  <c r="B1241" i="1"/>
  <c r="A1241" i="1"/>
  <c r="J1240" i="1"/>
  <c r="H1240" i="1"/>
  <c r="G1240" i="1"/>
  <c r="B1240" i="1"/>
  <c r="A1240" i="1"/>
  <c r="J1239" i="1"/>
  <c r="H1239" i="1"/>
  <c r="G1239" i="1"/>
  <c r="B1239" i="1"/>
  <c r="A1239" i="1"/>
  <c r="J1238" i="1"/>
  <c r="H1238" i="1"/>
  <c r="G1238" i="1"/>
  <c r="B1238" i="1"/>
  <c r="A1238" i="1"/>
  <c r="J1237" i="1"/>
  <c r="H1237" i="1"/>
  <c r="G1237" i="1"/>
  <c r="B1237" i="1"/>
  <c r="A1237" i="1"/>
  <c r="J1236" i="1"/>
  <c r="H1236" i="1"/>
  <c r="G1236" i="1"/>
  <c r="B1236" i="1"/>
  <c r="A1236" i="1"/>
  <c r="J1235" i="1"/>
  <c r="H1235" i="1"/>
  <c r="G1235" i="1"/>
  <c r="B1235" i="1"/>
  <c r="A1235" i="1"/>
  <c r="J1234" i="1"/>
  <c r="H1234" i="1"/>
  <c r="G1234" i="1"/>
  <c r="B1234" i="1"/>
  <c r="A1234" i="1"/>
  <c r="J1233" i="1"/>
  <c r="H1233" i="1"/>
  <c r="G1233" i="1"/>
  <c r="B1233" i="1"/>
  <c r="A1233" i="1"/>
  <c r="J1232" i="1"/>
  <c r="H1232" i="1"/>
  <c r="G1232" i="1"/>
  <c r="B1232" i="1"/>
  <c r="A1232" i="1"/>
  <c r="J1231" i="1"/>
  <c r="H1231" i="1"/>
  <c r="G1231" i="1"/>
  <c r="B1231" i="1"/>
  <c r="A1231" i="1"/>
  <c r="J1230" i="1"/>
  <c r="H1230" i="1"/>
  <c r="G1230" i="1"/>
  <c r="B1230" i="1"/>
  <c r="A1230" i="1"/>
  <c r="J1229" i="1"/>
  <c r="H1229" i="1"/>
  <c r="G1229" i="1"/>
  <c r="B1229" i="1"/>
  <c r="A1229" i="1"/>
  <c r="J1228" i="1"/>
  <c r="H1228" i="1"/>
  <c r="G1228" i="1"/>
  <c r="B1228" i="1"/>
  <c r="A1228" i="1"/>
  <c r="J1227" i="1"/>
  <c r="H1227" i="1"/>
  <c r="G1227" i="1"/>
  <c r="B1227" i="1"/>
  <c r="A1227" i="1"/>
  <c r="J1226" i="1"/>
  <c r="H1226" i="1"/>
  <c r="G1226" i="1"/>
  <c r="B1226" i="1"/>
  <c r="A1226" i="1"/>
  <c r="J1225" i="1"/>
  <c r="H1225" i="1"/>
  <c r="G1225" i="1"/>
  <c r="B1225" i="1"/>
  <c r="A1225" i="1"/>
  <c r="J1224" i="1"/>
  <c r="H1224" i="1"/>
  <c r="G1224" i="1"/>
  <c r="B1224" i="1"/>
  <c r="A1224" i="1"/>
  <c r="J1223" i="1"/>
  <c r="H1223" i="1"/>
  <c r="G1223" i="1"/>
  <c r="B1223" i="1"/>
  <c r="A1223" i="1"/>
  <c r="J1222" i="1"/>
  <c r="H1222" i="1"/>
  <c r="G1222" i="1"/>
  <c r="B1222" i="1"/>
  <c r="A1222" i="1"/>
  <c r="J1221" i="1"/>
  <c r="H1221" i="1"/>
  <c r="G1221" i="1"/>
  <c r="B1221" i="1"/>
  <c r="A1221" i="1"/>
  <c r="J1220" i="1"/>
  <c r="H1220" i="1"/>
  <c r="G1220" i="1"/>
  <c r="B1220" i="1"/>
  <c r="A1220" i="1"/>
  <c r="J1219" i="1"/>
  <c r="H1219" i="1"/>
  <c r="G1219" i="1"/>
  <c r="B1219" i="1"/>
  <c r="A1219" i="1"/>
  <c r="J1218" i="1"/>
  <c r="H1218" i="1"/>
  <c r="G1218" i="1"/>
  <c r="B1218" i="1"/>
  <c r="A1218" i="1"/>
  <c r="J1217" i="1"/>
  <c r="H1217" i="1"/>
  <c r="G1217" i="1"/>
  <c r="B1217" i="1"/>
  <c r="A1217" i="1"/>
  <c r="J1216" i="1"/>
  <c r="H1216" i="1"/>
  <c r="G1216" i="1"/>
  <c r="B1216" i="1"/>
  <c r="A1216" i="1"/>
  <c r="J1215" i="1"/>
  <c r="H1215" i="1"/>
  <c r="G1215" i="1"/>
  <c r="B1215" i="1"/>
  <c r="A1215" i="1"/>
  <c r="J1214" i="1"/>
  <c r="H1214" i="1"/>
  <c r="G1214" i="1"/>
  <c r="B1214" i="1"/>
  <c r="A1214" i="1"/>
  <c r="J1213" i="1"/>
  <c r="H1213" i="1"/>
  <c r="G1213" i="1"/>
  <c r="B1213" i="1"/>
  <c r="A1213" i="1"/>
  <c r="J1212" i="1"/>
  <c r="H1212" i="1"/>
  <c r="G1212" i="1"/>
  <c r="B1212" i="1"/>
  <c r="A1212" i="1"/>
  <c r="J1211" i="1"/>
  <c r="H1211" i="1"/>
  <c r="G1211" i="1"/>
  <c r="B1211" i="1"/>
  <c r="A1211" i="1"/>
  <c r="J1210" i="1"/>
  <c r="H1210" i="1"/>
  <c r="G1210" i="1"/>
  <c r="B1210" i="1"/>
  <c r="A1210" i="1"/>
  <c r="J1209" i="1"/>
  <c r="H1209" i="1"/>
  <c r="G1209" i="1"/>
  <c r="B1209" i="1"/>
  <c r="A1209" i="1"/>
  <c r="J1208" i="1"/>
  <c r="H1208" i="1"/>
  <c r="G1208" i="1"/>
  <c r="B1208" i="1"/>
  <c r="A1208" i="1"/>
  <c r="J1207" i="1"/>
  <c r="H1207" i="1"/>
  <c r="G1207" i="1"/>
  <c r="B1207" i="1"/>
  <c r="A1207" i="1"/>
  <c r="J1206" i="1"/>
  <c r="H1206" i="1"/>
  <c r="G1206" i="1"/>
  <c r="B1206" i="1"/>
  <c r="A1206" i="1"/>
  <c r="J1205" i="1"/>
  <c r="H1205" i="1"/>
  <c r="G1205" i="1"/>
  <c r="B1205" i="1"/>
  <c r="A1205" i="1"/>
  <c r="J1204" i="1"/>
  <c r="H1204" i="1"/>
  <c r="G1204" i="1"/>
  <c r="B1204" i="1"/>
  <c r="A1204" i="1"/>
  <c r="J1203" i="1"/>
  <c r="H1203" i="1"/>
  <c r="G1203" i="1"/>
  <c r="B1203" i="1"/>
  <c r="A1203" i="1"/>
  <c r="J1202" i="1"/>
  <c r="H1202" i="1"/>
  <c r="G1202" i="1"/>
  <c r="B1202" i="1"/>
  <c r="A1202" i="1"/>
  <c r="J1201" i="1"/>
  <c r="H1201" i="1"/>
  <c r="G1201" i="1"/>
  <c r="B1201" i="1"/>
  <c r="A1201" i="1"/>
  <c r="J1200" i="1"/>
  <c r="H1200" i="1"/>
  <c r="G1200" i="1"/>
  <c r="B1200" i="1"/>
  <c r="A1200" i="1"/>
  <c r="J1199" i="1"/>
  <c r="H1199" i="1"/>
  <c r="G1199" i="1"/>
  <c r="B1199" i="1"/>
  <c r="A1199" i="1"/>
  <c r="J1198" i="1"/>
  <c r="H1198" i="1"/>
  <c r="G1198" i="1"/>
  <c r="B1198" i="1"/>
  <c r="A1198" i="1"/>
  <c r="J1197" i="1"/>
  <c r="H1197" i="1"/>
  <c r="G1197" i="1"/>
  <c r="B1197" i="1"/>
  <c r="A1197" i="1"/>
  <c r="J1196" i="1"/>
  <c r="H1196" i="1"/>
  <c r="G1196" i="1"/>
  <c r="B1196" i="1"/>
  <c r="A1196" i="1"/>
  <c r="J1195" i="1"/>
  <c r="H1195" i="1"/>
  <c r="G1195" i="1"/>
  <c r="B1195" i="1"/>
  <c r="A1195" i="1"/>
  <c r="J1194" i="1"/>
  <c r="H1194" i="1"/>
  <c r="G1194" i="1"/>
  <c r="B1194" i="1"/>
  <c r="A1194" i="1"/>
  <c r="J1193" i="1"/>
  <c r="H1193" i="1"/>
  <c r="G1193" i="1"/>
  <c r="B1193" i="1"/>
  <c r="A1193" i="1"/>
  <c r="J1192" i="1"/>
  <c r="H1192" i="1"/>
  <c r="G1192" i="1"/>
  <c r="B1192" i="1"/>
  <c r="A1192" i="1"/>
  <c r="J1191" i="1"/>
  <c r="H1191" i="1"/>
  <c r="G1191" i="1"/>
  <c r="B1191" i="1"/>
  <c r="A1191" i="1"/>
  <c r="J1190" i="1"/>
  <c r="H1190" i="1"/>
  <c r="G1190" i="1"/>
  <c r="B1190" i="1"/>
  <c r="A1190" i="1"/>
  <c r="J1189" i="1"/>
  <c r="H1189" i="1"/>
  <c r="G1189" i="1"/>
  <c r="B1189" i="1"/>
  <c r="A1189" i="1"/>
  <c r="J1188" i="1"/>
  <c r="H1188" i="1"/>
  <c r="G1188" i="1"/>
  <c r="B1188" i="1"/>
  <c r="A1188" i="1"/>
  <c r="J1187" i="1"/>
  <c r="H1187" i="1"/>
  <c r="G1187" i="1"/>
  <c r="B1187" i="1"/>
  <c r="A1187" i="1"/>
  <c r="J1186" i="1"/>
  <c r="H1186" i="1"/>
  <c r="G1186" i="1"/>
  <c r="B1186" i="1"/>
  <c r="A1186" i="1"/>
  <c r="J1185" i="1"/>
  <c r="H1185" i="1"/>
  <c r="G1185" i="1"/>
  <c r="B1185" i="1"/>
  <c r="A1185" i="1"/>
  <c r="J1184" i="1"/>
  <c r="H1184" i="1"/>
  <c r="G1184" i="1"/>
  <c r="B1184" i="1"/>
  <c r="A1184" i="1"/>
  <c r="J1183" i="1"/>
  <c r="H1183" i="1"/>
  <c r="G1183" i="1"/>
  <c r="B1183" i="1"/>
  <c r="A1183" i="1"/>
  <c r="J1182" i="1"/>
  <c r="H1182" i="1"/>
  <c r="G1182" i="1"/>
  <c r="B1182" i="1"/>
  <c r="A1182" i="1"/>
  <c r="J1181" i="1"/>
  <c r="H1181" i="1"/>
  <c r="G1181" i="1"/>
  <c r="B1181" i="1"/>
  <c r="A1181" i="1"/>
  <c r="J1180" i="1"/>
  <c r="H1180" i="1"/>
  <c r="G1180" i="1"/>
  <c r="B1180" i="1"/>
  <c r="A1180" i="1"/>
  <c r="J1179" i="1"/>
  <c r="H1179" i="1"/>
  <c r="G1179" i="1"/>
  <c r="B1179" i="1"/>
  <c r="A1179" i="1"/>
  <c r="J1178" i="1"/>
  <c r="H1178" i="1"/>
  <c r="G1178" i="1"/>
  <c r="B1178" i="1"/>
  <c r="A1178" i="1"/>
  <c r="J1177" i="1"/>
  <c r="H1177" i="1"/>
  <c r="G1177" i="1"/>
  <c r="B1177" i="1"/>
  <c r="A1177" i="1"/>
  <c r="J1176" i="1"/>
  <c r="H1176" i="1"/>
  <c r="G1176" i="1"/>
  <c r="B1176" i="1"/>
  <c r="A1176" i="1"/>
  <c r="J1175" i="1"/>
  <c r="H1175" i="1"/>
  <c r="G1175" i="1"/>
  <c r="B1175" i="1"/>
  <c r="A1175" i="1"/>
  <c r="J1174" i="1"/>
  <c r="H1174" i="1"/>
  <c r="G1174" i="1"/>
  <c r="B1174" i="1"/>
  <c r="A1174" i="1"/>
  <c r="J1173" i="1"/>
  <c r="H1173" i="1"/>
  <c r="G1173" i="1"/>
  <c r="B1173" i="1"/>
  <c r="A1173" i="1"/>
  <c r="J1172" i="1"/>
  <c r="H1172" i="1"/>
  <c r="G1172" i="1"/>
  <c r="B1172" i="1"/>
  <c r="A1172" i="1"/>
  <c r="J1171" i="1"/>
  <c r="H1171" i="1"/>
  <c r="G1171" i="1"/>
  <c r="B1171" i="1"/>
  <c r="A1171" i="1"/>
  <c r="J1170" i="1"/>
  <c r="H1170" i="1"/>
  <c r="G1170" i="1"/>
  <c r="B1170" i="1"/>
  <c r="A1170" i="1"/>
  <c r="J1169" i="1"/>
  <c r="H1169" i="1"/>
  <c r="G1169" i="1"/>
  <c r="B1169" i="1"/>
  <c r="A1169" i="1"/>
  <c r="J1168" i="1"/>
  <c r="H1168" i="1"/>
  <c r="G1168" i="1"/>
  <c r="B1168" i="1"/>
  <c r="A1168" i="1"/>
  <c r="J1167" i="1"/>
  <c r="H1167" i="1"/>
  <c r="G1167" i="1"/>
  <c r="B1167" i="1"/>
  <c r="A1167" i="1"/>
  <c r="J1166" i="1"/>
  <c r="H1166" i="1"/>
  <c r="G1166" i="1"/>
  <c r="B1166" i="1"/>
  <c r="A1166" i="1"/>
  <c r="J1165" i="1"/>
  <c r="H1165" i="1"/>
  <c r="G1165" i="1"/>
  <c r="B1165" i="1"/>
  <c r="A1165" i="1"/>
  <c r="J1164" i="1"/>
  <c r="H1164" i="1"/>
  <c r="G1164" i="1"/>
  <c r="B1164" i="1"/>
  <c r="A1164" i="1"/>
  <c r="J1163" i="1"/>
  <c r="H1163" i="1"/>
  <c r="G1163" i="1"/>
  <c r="B1163" i="1"/>
  <c r="A1163" i="1"/>
  <c r="J1162" i="1"/>
  <c r="H1162" i="1"/>
  <c r="G1162" i="1"/>
  <c r="B1162" i="1"/>
  <c r="A1162" i="1"/>
  <c r="J1161" i="1"/>
  <c r="H1161" i="1"/>
  <c r="G1161" i="1"/>
  <c r="B1161" i="1"/>
  <c r="A1161" i="1"/>
  <c r="J1160" i="1"/>
  <c r="H1160" i="1"/>
  <c r="G1160" i="1"/>
  <c r="B1160" i="1"/>
  <c r="A1160" i="1"/>
  <c r="J1159" i="1"/>
  <c r="H1159" i="1"/>
  <c r="G1159" i="1"/>
  <c r="B1159" i="1"/>
  <c r="A1159" i="1"/>
  <c r="J1158" i="1"/>
  <c r="H1158" i="1"/>
  <c r="G1158" i="1"/>
  <c r="B1158" i="1"/>
  <c r="A1158" i="1"/>
  <c r="J1157" i="1"/>
  <c r="H1157" i="1"/>
  <c r="G1157" i="1"/>
  <c r="B1157" i="1"/>
  <c r="A1157" i="1"/>
  <c r="J1156" i="1"/>
  <c r="H1156" i="1"/>
  <c r="G1156" i="1"/>
  <c r="B1156" i="1"/>
  <c r="A1156" i="1"/>
  <c r="J1155" i="1"/>
  <c r="H1155" i="1"/>
  <c r="G1155" i="1"/>
  <c r="B1155" i="1"/>
  <c r="A1155" i="1"/>
  <c r="J1154" i="1"/>
  <c r="H1154" i="1"/>
  <c r="G1154" i="1"/>
  <c r="B1154" i="1"/>
  <c r="A1154" i="1"/>
  <c r="J1153" i="1"/>
  <c r="H1153" i="1"/>
  <c r="G1153" i="1"/>
  <c r="B1153" i="1"/>
  <c r="A1153" i="1"/>
  <c r="J1152" i="1"/>
  <c r="H1152" i="1"/>
  <c r="G1152" i="1"/>
  <c r="B1152" i="1"/>
  <c r="A1152" i="1"/>
  <c r="J1151" i="1"/>
  <c r="H1151" i="1"/>
  <c r="G1151" i="1"/>
  <c r="B1151" i="1"/>
  <c r="A1151" i="1"/>
  <c r="J1150" i="1"/>
  <c r="H1150" i="1"/>
  <c r="G1150" i="1"/>
  <c r="B1150" i="1"/>
  <c r="A1150" i="1"/>
  <c r="J1149" i="1"/>
  <c r="H1149" i="1"/>
  <c r="G1149" i="1"/>
  <c r="B1149" i="1"/>
  <c r="A1149" i="1"/>
  <c r="J1148" i="1"/>
  <c r="H1148" i="1"/>
  <c r="G1148" i="1"/>
  <c r="B1148" i="1"/>
  <c r="A1148" i="1"/>
  <c r="J1147" i="1"/>
  <c r="H1147" i="1"/>
  <c r="G1147" i="1"/>
  <c r="B1147" i="1"/>
  <c r="A1147" i="1"/>
  <c r="J1146" i="1"/>
  <c r="H1146" i="1"/>
  <c r="G1146" i="1"/>
  <c r="B1146" i="1"/>
  <c r="A1146" i="1"/>
  <c r="J1145" i="1"/>
  <c r="H1145" i="1"/>
  <c r="G1145" i="1"/>
  <c r="B1145" i="1"/>
  <c r="A1145" i="1"/>
  <c r="J1144" i="1"/>
  <c r="H1144" i="1"/>
  <c r="G1144" i="1"/>
  <c r="B1144" i="1"/>
  <c r="A1144" i="1"/>
  <c r="J1143" i="1"/>
  <c r="H1143" i="1"/>
  <c r="G1143" i="1"/>
  <c r="B1143" i="1"/>
  <c r="A1143" i="1"/>
  <c r="J1142" i="1"/>
  <c r="H1142" i="1"/>
  <c r="G1142" i="1"/>
  <c r="B1142" i="1"/>
  <c r="A1142" i="1"/>
  <c r="J1141" i="1"/>
  <c r="H1141" i="1"/>
  <c r="G1141" i="1"/>
  <c r="B1141" i="1"/>
  <c r="A1141" i="1"/>
  <c r="J1140" i="1"/>
  <c r="H1140" i="1"/>
  <c r="G1140" i="1"/>
  <c r="B1140" i="1"/>
  <c r="A1140" i="1"/>
  <c r="J1139" i="1"/>
  <c r="H1139" i="1"/>
  <c r="G1139" i="1"/>
  <c r="B1139" i="1"/>
  <c r="A1139" i="1"/>
  <c r="J1138" i="1"/>
  <c r="H1138" i="1"/>
  <c r="G1138" i="1"/>
  <c r="B1138" i="1"/>
  <c r="A1138" i="1"/>
  <c r="J1137" i="1"/>
  <c r="H1137" i="1"/>
  <c r="G1137" i="1"/>
  <c r="B1137" i="1"/>
  <c r="A1137" i="1"/>
  <c r="J1136" i="1"/>
  <c r="H1136" i="1"/>
  <c r="G1136" i="1"/>
  <c r="B1136" i="1"/>
  <c r="A1136" i="1"/>
  <c r="J1135" i="1"/>
  <c r="H1135" i="1"/>
  <c r="G1135" i="1"/>
  <c r="B1135" i="1"/>
  <c r="A1135" i="1"/>
  <c r="J1134" i="1"/>
  <c r="H1134" i="1"/>
  <c r="G1134" i="1"/>
  <c r="B1134" i="1"/>
  <c r="A1134" i="1"/>
  <c r="J1133" i="1"/>
  <c r="H1133" i="1"/>
  <c r="G1133" i="1"/>
  <c r="B1133" i="1"/>
  <c r="A1133" i="1"/>
  <c r="J1132" i="1"/>
  <c r="H1132" i="1"/>
  <c r="G1132" i="1"/>
  <c r="B1132" i="1"/>
  <c r="A1132" i="1"/>
  <c r="J1131" i="1"/>
  <c r="H1131" i="1"/>
  <c r="G1131" i="1"/>
  <c r="B1131" i="1"/>
  <c r="A1131" i="1"/>
  <c r="J1130" i="1"/>
  <c r="H1130" i="1"/>
  <c r="G1130" i="1"/>
  <c r="B1130" i="1"/>
  <c r="A1130" i="1"/>
  <c r="J1129" i="1"/>
  <c r="H1129" i="1"/>
  <c r="G1129" i="1"/>
  <c r="B1129" i="1"/>
  <c r="A1129" i="1"/>
  <c r="J1128" i="1"/>
  <c r="H1128" i="1"/>
  <c r="G1128" i="1"/>
  <c r="B1128" i="1"/>
  <c r="A1128" i="1"/>
  <c r="J1127" i="1"/>
  <c r="H1127" i="1"/>
  <c r="G1127" i="1"/>
  <c r="B1127" i="1"/>
  <c r="A1127" i="1"/>
  <c r="J1126" i="1"/>
  <c r="H1126" i="1"/>
  <c r="G1126" i="1"/>
  <c r="B1126" i="1"/>
  <c r="A1126" i="1"/>
  <c r="J1125" i="1"/>
  <c r="H1125" i="1"/>
  <c r="G1125" i="1"/>
  <c r="B1125" i="1"/>
  <c r="A1125" i="1"/>
  <c r="J1124" i="1"/>
  <c r="H1124" i="1"/>
  <c r="G1124" i="1"/>
  <c r="B1124" i="1"/>
  <c r="A1124" i="1"/>
  <c r="J1123" i="1"/>
  <c r="H1123" i="1"/>
  <c r="G1123" i="1"/>
  <c r="B1123" i="1"/>
  <c r="A1123" i="1"/>
  <c r="J1122" i="1"/>
  <c r="H1122" i="1"/>
  <c r="G1122" i="1"/>
  <c r="B1122" i="1"/>
  <c r="A1122" i="1"/>
  <c r="J1121" i="1"/>
  <c r="H1121" i="1"/>
  <c r="G1121" i="1"/>
  <c r="B1121" i="1"/>
  <c r="A1121" i="1"/>
  <c r="J1120" i="1"/>
  <c r="H1120" i="1"/>
  <c r="G1120" i="1"/>
  <c r="B1120" i="1"/>
  <c r="A1120" i="1"/>
  <c r="J1119" i="1"/>
  <c r="H1119" i="1"/>
  <c r="G1119" i="1"/>
  <c r="B1119" i="1"/>
  <c r="A1119" i="1"/>
  <c r="J1118" i="1"/>
  <c r="H1118" i="1"/>
  <c r="G1118" i="1"/>
  <c r="B1118" i="1"/>
  <c r="A1118" i="1"/>
  <c r="J1117" i="1"/>
  <c r="H1117" i="1"/>
  <c r="G1117" i="1"/>
  <c r="B1117" i="1"/>
  <c r="A1117" i="1"/>
  <c r="J1116" i="1"/>
  <c r="H1116" i="1"/>
  <c r="G1116" i="1"/>
  <c r="B1116" i="1"/>
  <c r="A1116" i="1"/>
  <c r="J1115" i="1"/>
  <c r="H1115" i="1"/>
  <c r="G1115" i="1"/>
  <c r="B1115" i="1"/>
  <c r="A1115" i="1"/>
  <c r="J1114" i="1"/>
  <c r="H1114" i="1"/>
  <c r="G1114" i="1"/>
  <c r="B1114" i="1"/>
  <c r="A1114" i="1"/>
  <c r="J1113" i="1"/>
  <c r="H1113" i="1"/>
  <c r="G1113" i="1"/>
  <c r="B1113" i="1"/>
  <c r="A1113" i="1"/>
  <c r="J1112" i="1"/>
  <c r="H1112" i="1"/>
  <c r="G1112" i="1"/>
  <c r="B1112" i="1"/>
  <c r="A1112" i="1"/>
  <c r="J1111" i="1"/>
  <c r="H1111" i="1"/>
  <c r="G1111" i="1"/>
  <c r="B1111" i="1"/>
  <c r="A1111" i="1"/>
  <c r="J1110" i="1"/>
  <c r="H1110" i="1"/>
  <c r="G1110" i="1"/>
  <c r="B1110" i="1"/>
  <c r="A1110" i="1"/>
  <c r="J1109" i="1"/>
  <c r="H1109" i="1"/>
  <c r="G1109" i="1"/>
  <c r="B1109" i="1"/>
  <c r="A1109" i="1"/>
  <c r="J1108" i="1"/>
  <c r="H1108" i="1"/>
  <c r="G1108" i="1"/>
  <c r="B1108" i="1"/>
  <c r="A1108" i="1"/>
  <c r="J1107" i="1"/>
  <c r="H1107" i="1"/>
  <c r="G1107" i="1"/>
  <c r="B1107" i="1"/>
  <c r="A1107" i="1"/>
  <c r="J1106" i="1"/>
  <c r="H1106" i="1"/>
  <c r="G1106" i="1"/>
  <c r="B1106" i="1"/>
  <c r="A1106" i="1"/>
  <c r="J1105" i="1"/>
  <c r="H1105" i="1"/>
  <c r="G1105" i="1"/>
  <c r="B1105" i="1"/>
  <c r="A1105" i="1"/>
  <c r="J1104" i="1"/>
  <c r="H1104" i="1"/>
  <c r="G1104" i="1"/>
  <c r="B1104" i="1"/>
  <c r="A1104" i="1"/>
  <c r="J1103" i="1"/>
  <c r="H1103" i="1"/>
  <c r="G1103" i="1"/>
  <c r="B1103" i="1"/>
  <c r="A1103" i="1"/>
  <c r="J1102" i="1"/>
  <c r="H1102" i="1"/>
  <c r="G1102" i="1"/>
  <c r="B1102" i="1"/>
  <c r="A1102" i="1"/>
  <c r="J1101" i="1"/>
  <c r="H1101" i="1"/>
  <c r="G1101" i="1"/>
  <c r="B1101" i="1"/>
  <c r="A1101" i="1"/>
  <c r="J1100" i="1"/>
  <c r="H1100" i="1"/>
  <c r="G1100" i="1"/>
  <c r="B1100" i="1"/>
  <c r="A1100" i="1"/>
  <c r="J1099" i="1"/>
  <c r="H1099" i="1"/>
  <c r="G1099" i="1"/>
  <c r="B1099" i="1"/>
  <c r="A1099" i="1"/>
  <c r="J1098" i="1"/>
  <c r="H1098" i="1"/>
  <c r="G1098" i="1"/>
  <c r="B1098" i="1"/>
  <c r="A1098" i="1"/>
  <c r="J1097" i="1"/>
  <c r="H1097" i="1"/>
  <c r="G1097" i="1"/>
  <c r="B1097" i="1"/>
  <c r="A1097" i="1"/>
  <c r="J1096" i="1"/>
  <c r="H1096" i="1"/>
  <c r="G1096" i="1"/>
  <c r="B1096" i="1"/>
  <c r="A1096" i="1"/>
  <c r="J1095" i="1"/>
  <c r="H1095" i="1"/>
  <c r="G1095" i="1"/>
  <c r="B1095" i="1"/>
  <c r="A1095" i="1"/>
  <c r="J1094" i="1"/>
  <c r="H1094" i="1"/>
  <c r="G1094" i="1"/>
  <c r="B1094" i="1"/>
  <c r="A1094" i="1"/>
  <c r="J1093" i="1"/>
  <c r="H1093" i="1"/>
  <c r="G1093" i="1"/>
  <c r="B1093" i="1"/>
  <c r="A1093" i="1"/>
  <c r="J1092" i="1"/>
  <c r="H1092" i="1"/>
  <c r="G1092" i="1"/>
  <c r="B1092" i="1"/>
  <c r="A1092" i="1"/>
  <c r="J1091" i="1"/>
  <c r="H1091" i="1"/>
  <c r="G1091" i="1"/>
  <c r="B1091" i="1"/>
  <c r="A1091" i="1"/>
  <c r="J1090" i="1"/>
  <c r="H1090" i="1"/>
  <c r="G1090" i="1"/>
  <c r="B1090" i="1"/>
  <c r="A1090" i="1"/>
  <c r="J1089" i="1"/>
  <c r="H1089" i="1"/>
  <c r="G1089" i="1"/>
  <c r="B1089" i="1"/>
  <c r="A1089" i="1"/>
  <c r="J1088" i="1"/>
  <c r="H1088" i="1"/>
  <c r="G1088" i="1"/>
  <c r="B1088" i="1"/>
  <c r="A1088" i="1"/>
  <c r="J1087" i="1"/>
  <c r="H1087" i="1"/>
  <c r="G1087" i="1"/>
  <c r="B1087" i="1"/>
  <c r="A1087" i="1"/>
  <c r="J1086" i="1"/>
  <c r="H1086" i="1"/>
  <c r="G1086" i="1"/>
  <c r="B1086" i="1"/>
  <c r="A1086" i="1"/>
  <c r="J1085" i="1"/>
  <c r="H1085" i="1"/>
  <c r="G1085" i="1"/>
  <c r="B1085" i="1"/>
  <c r="A1085" i="1"/>
  <c r="J1084" i="1"/>
  <c r="H1084" i="1"/>
  <c r="G1084" i="1"/>
  <c r="B1084" i="1"/>
  <c r="A1084" i="1"/>
  <c r="J1083" i="1"/>
  <c r="H1083" i="1"/>
  <c r="G1083" i="1"/>
  <c r="B1083" i="1"/>
  <c r="A1083" i="1"/>
  <c r="J1082" i="1"/>
  <c r="H1082" i="1"/>
  <c r="G1082" i="1"/>
  <c r="B1082" i="1"/>
  <c r="A1082" i="1"/>
  <c r="J1081" i="1"/>
  <c r="H1081" i="1"/>
  <c r="G1081" i="1"/>
  <c r="B1081" i="1"/>
  <c r="A1081" i="1"/>
  <c r="J1080" i="1"/>
  <c r="H1080" i="1"/>
  <c r="G1080" i="1"/>
  <c r="B1080" i="1"/>
  <c r="A1080" i="1"/>
  <c r="J1079" i="1"/>
  <c r="H1079" i="1"/>
  <c r="G1079" i="1"/>
  <c r="B1079" i="1"/>
  <c r="A1079" i="1"/>
  <c r="J1078" i="1"/>
  <c r="H1078" i="1"/>
  <c r="G1078" i="1"/>
  <c r="B1078" i="1"/>
  <c r="A1078" i="1"/>
  <c r="J1077" i="1"/>
  <c r="H1077" i="1"/>
  <c r="G1077" i="1"/>
  <c r="B1077" i="1"/>
  <c r="A1077" i="1"/>
  <c r="J1076" i="1"/>
  <c r="H1076" i="1"/>
  <c r="G1076" i="1"/>
  <c r="B1076" i="1"/>
  <c r="A1076" i="1"/>
  <c r="J1075" i="1"/>
  <c r="H1075" i="1"/>
  <c r="G1075" i="1"/>
  <c r="B1075" i="1"/>
  <c r="A1075" i="1"/>
  <c r="J1074" i="1"/>
  <c r="H1074" i="1"/>
  <c r="G1074" i="1"/>
  <c r="B1074" i="1"/>
  <c r="A1074" i="1"/>
  <c r="J1073" i="1"/>
  <c r="H1073" i="1"/>
  <c r="G1073" i="1"/>
  <c r="B1073" i="1"/>
  <c r="A1073" i="1"/>
  <c r="J1072" i="1"/>
  <c r="H1072" i="1"/>
  <c r="G1072" i="1"/>
  <c r="B1072" i="1"/>
  <c r="A1072" i="1"/>
  <c r="J1071" i="1"/>
  <c r="H1071" i="1"/>
  <c r="G1071" i="1"/>
  <c r="B1071" i="1"/>
  <c r="A1071" i="1"/>
  <c r="J1070" i="1"/>
  <c r="H1070" i="1"/>
  <c r="G1070" i="1"/>
  <c r="B1070" i="1"/>
  <c r="A1070" i="1"/>
  <c r="J1069" i="1"/>
  <c r="H1069" i="1"/>
  <c r="G1069" i="1"/>
  <c r="B1069" i="1"/>
  <c r="A1069" i="1"/>
  <c r="J1068" i="1"/>
  <c r="H1068" i="1"/>
  <c r="G1068" i="1"/>
  <c r="B1068" i="1"/>
  <c r="A1068" i="1"/>
  <c r="J1067" i="1"/>
  <c r="H1067" i="1"/>
  <c r="G1067" i="1"/>
  <c r="B1067" i="1"/>
  <c r="A1067" i="1"/>
  <c r="J1066" i="1"/>
  <c r="H1066" i="1"/>
  <c r="G1066" i="1"/>
  <c r="B1066" i="1"/>
  <c r="A1066" i="1"/>
  <c r="J1065" i="1"/>
  <c r="H1065" i="1"/>
  <c r="G1065" i="1"/>
  <c r="B1065" i="1"/>
  <c r="A1065" i="1"/>
  <c r="J1064" i="1"/>
  <c r="H1064" i="1"/>
  <c r="G1064" i="1"/>
  <c r="B1064" i="1"/>
  <c r="A1064" i="1"/>
  <c r="J1063" i="1"/>
  <c r="H1063" i="1"/>
  <c r="G1063" i="1"/>
  <c r="B1063" i="1"/>
  <c r="A1063" i="1"/>
  <c r="J1062" i="1"/>
  <c r="H1062" i="1"/>
  <c r="G1062" i="1"/>
  <c r="B1062" i="1"/>
  <c r="A1062" i="1"/>
  <c r="J1061" i="1"/>
  <c r="H1061" i="1"/>
  <c r="G1061" i="1"/>
  <c r="B1061" i="1"/>
  <c r="A1061" i="1"/>
  <c r="J1060" i="1"/>
  <c r="H1060" i="1"/>
  <c r="G1060" i="1"/>
  <c r="B1060" i="1"/>
  <c r="A1060" i="1"/>
  <c r="J1059" i="1"/>
  <c r="H1059" i="1"/>
  <c r="G1059" i="1"/>
  <c r="B1059" i="1"/>
  <c r="A1059" i="1"/>
  <c r="J1058" i="1"/>
  <c r="H1058" i="1"/>
  <c r="G1058" i="1"/>
  <c r="B1058" i="1"/>
  <c r="A1058" i="1"/>
  <c r="J1057" i="1"/>
  <c r="H1057" i="1"/>
  <c r="G1057" i="1"/>
  <c r="B1057" i="1"/>
  <c r="A1057" i="1"/>
  <c r="J1056" i="1"/>
  <c r="H1056" i="1"/>
  <c r="G1056" i="1"/>
  <c r="B1056" i="1"/>
  <c r="A1056" i="1"/>
  <c r="J1055" i="1"/>
  <c r="H1055" i="1"/>
  <c r="G1055" i="1"/>
  <c r="B1055" i="1"/>
  <c r="A1055" i="1"/>
  <c r="J1054" i="1"/>
  <c r="H1054" i="1"/>
  <c r="G1054" i="1"/>
  <c r="B1054" i="1"/>
  <c r="A1054" i="1"/>
  <c r="J1053" i="1"/>
  <c r="H1053" i="1"/>
  <c r="G1053" i="1"/>
  <c r="B1053" i="1"/>
  <c r="A1053" i="1"/>
  <c r="J1052" i="1"/>
  <c r="H1052" i="1"/>
  <c r="G1052" i="1"/>
  <c r="B1052" i="1"/>
  <c r="A1052" i="1"/>
  <c r="J1051" i="1"/>
  <c r="H1051" i="1"/>
  <c r="G1051" i="1"/>
  <c r="B1051" i="1"/>
  <c r="A1051" i="1"/>
  <c r="J1050" i="1"/>
  <c r="H1050" i="1"/>
  <c r="G1050" i="1"/>
  <c r="B1050" i="1"/>
  <c r="A1050" i="1"/>
  <c r="J1049" i="1"/>
  <c r="H1049" i="1"/>
  <c r="G1049" i="1"/>
  <c r="B1049" i="1"/>
  <c r="A1049" i="1"/>
  <c r="J1048" i="1"/>
  <c r="H1048" i="1"/>
  <c r="G1048" i="1"/>
  <c r="B1048" i="1"/>
  <c r="A1048" i="1"/>
  <c r="J1047" i="1"/>
  <c r="H1047" i="1"/>
  <c r="G1047" i="1"/>
  <c r="B1047" i="1"/>
  <c r="A1047" i="1"/>
  <c r="J1046" i="1"/>
  <c r="H1046" i="1"/>
  <c r="G1046" i="1"/>
  <c r="B1046" i="1"/>
  <c r="A1046" i="1"/>
  <c r="J1045" i="1"/>
  <c r="H1045" i="1"/>
  <c r="G1045" i="1"/>
  <c r="B1045" i="1"/>
  <c r="A1045" i="1"/>
  <c r="J1044" i="1"/>
  <c r="H1044" i="1"/>
  <c r="G1044" i="1"/>
  <c r="B1044" i="1"/>
  <c r="A1044" i="1"/>
  <c r="J1043" i="1"/>
  <c r="H1043" i="1"/>
  <c r="G1043" i="1"/>
  <c r="B1043" i="1"/>
  <c r="A1043" i="1"/>
  <c r="J1042" i="1"/>
  <c r="H1042" i="1"/>
  <c r="G1042" i="1"/>
  <c r="B1042" i="1"/>
  <c r="A1042" i="1"/>
  <c r="J1041" i="1"/>
  <c r="H1041" i="1"/>
  <c r="G1041" i="1"/>
  <c r="B1041" i="1"/>
  <c r="A1041" i="1"/>
  <c r="J1040" i="1"/>
  <c r="H1040" i="1"/>
  <c r="G1040" i="1"/>
  <c r="B1040" i="1"/>
  <c r="A1040" i="1"/>
  <c r="J1039" i="1"/>
  <c r="H1039" i="1"/>
  <c r="G1039" i="1"/>
  <c r="B1039" i="1"/>
  <c r="A1039" i="1"/>
  <c r="J1038" i="1"/>
  <c r="H1038" i="1"/>
  <c r="G1038" i="1"/>
  <c r="B1038" i="1"/>
  <c r="A1038" i="1"/>
  <c r="J1037" i="1"/>
  <c r="H1037" i="1"/>
  <c r="G1037" i="1"/>
  <c r="B1037" i="1"/>
  <c r="A1037" i="1"/>
  <c r="J1036" i="1"/>
  <c r="H1036" i="1"/>
  <c r="G1036" i="1"/>
  <c r="B1036" i="1"/>
  <c r="A1036" i="1"/>
  <c r="J1035" i="1"/>
  <c r="H1035" i="1"/>
  <c r="G1035" i="1"/>
  <c r="B1035" i="1"/>
  <c r="A1035" i="1"/>
  <c r="J1034" i="1"/>
  <c r="H1034" i="1"/>
  <c r="G1034" i="1"/>
  <c r="B1034" i="1"/>
  <c r="A1034" i="1"/>
  <c r="J1033" i="1"/>
  <c r="H1033" i="1"/>
  <c r="G1033" i="1"/>
  <c r="B1033" i="1"/>
  <c r="A1033" i="1"/>
  <c r="J1032" i="1"/>
  <c r="H1032" i="1"/>
  <c r="G1032" i="1"/>
  <c r="B1032" i="1"/>
  <c r="A1032" i="1"/>
  <c r="J1031" i="1"/>
  <c r="H1031" i="1"/>
  <c r="G1031" i="1"/>
  <c r="B1031" i="1"/>
  <c r="A1031" i="1"/>
  <c r="J1030" i="1"/>
  <c r="H1030" i="1"/>
  <c r="G1030" i="1"/>
  <c r="B1030" i="1"/>
  <c r="A1030" i="1"/>
  <c r="J1029" i="1"/>
  <c r="H1029" i="1"/>
  <c r="G1029" i="1"/>
  <c r="B1029" i="1"/>
  <c r="A1029" i="1"/>
  <c r="J1028" i="1"/>
  <c r="H1028" i="1"/>
  <c r="G1028" i="1"/>
  <c r="B1028" i="1"/>
  <c r="A1028" i="1"/>
  <c r="J1027" i="1"/>
  <c r="H1027" i="1"/>
  <c r="G1027" i="1"/>
  <c r="B1027" i="1"/>
  <c r="A1027" i="1"/>
  <c r="J1026" i="1"/>
  <c r="H1026" i="1"/>
  <c r="G1026" i="1"/>
  <c r="B1026" i="1"/>
  <c r="A1026" i="1"/>
  <c r="J1025" i="1"/>
  <c r="H1025" i="1"/>
  <c r="G1025" i="1"/>
  <c r="B1025" i="1"/>
  <c r="A1025" i="1"/>
  <c r="J1024" i="1"/>
  <c r="H1024" i="1"/>
  <c r="G1024" i="1"/>
  <c r="B1024" i="1"/>
  <c r="A1024" i="1"/>
  <c r="J1023" i="1"/>
  <c r="H1023" i="1"/>
  <c r="G1023" i="1"/>
  <c r="B1023" i="1"/>
  <c r="A1023" i="1"/>
  <c r="J1022" i="1"/>
  <c r="H1022" i="1"/>
  <c r="G1022" i="1"/>
  <c r="B1022" i="1"/>
  <c r="A1022" i="1"/>
  <c r="J1021" i="1"/>
  <c r="H1021" i="1"/>
  <c r="G1021" i="1"/>
  <c r="B1021" i="1"/>
  <c r="A1021" i="1"/>
  <c r="J1020" i="1"/>
  <c r="H1020" i="1"/>
  <c r="G1020" i="1"/>
  <c r="B1020" i="1"/>
  <c r="A1020" i="1"/>
  <c r="J1019" i="1"/>
  <c r="H1019" i="1"/>
  <c r="G1019" i="1"/>
  <c r="B1019" i="1"/>
  <c r="A1019" i="1"/>
  <c r="J1018" i="1"/>
  <c r="H1018" i="1"/>
  <c r="G1018" i="1"/>
  <c r="B1018" i="1"/>
  <c r="A1018" i="1"/>
  <c r="J1017" i="1"/>
  <c r="H1017" i="1"/>
  <c r="G1017" i="1"/>
  <c r="B1017" i="1"/>
  <c r="A1017" i="1"/>
  <c r="J1016" i="1"/>
  <c r="H1016" i="1"/>
  <c r="G1016" i="1"/>
  <c r="B1016" i="1"/>
  <c r="A1016" i="1"/>
  <c r="J1015" i="1"/>
  <c r="H1015" i="1"/>
  <c r="G1015" i="1"/>
  <c r="B1015" i="1"/>
  <c r="A1015" i="1"/>
  <c r="J1014" i="1"/>
  <c r="H1014" i="1"/>
  <c r="G1014" i="1"/>
  <c r="B1014" i="1"/>
  <c r="A1014" i="1"/>
  <c r="J1013" i="1"/>
  <c r="H1013" i="1"/>
  <c r="G1013" i="1"/>
  <c r="B1013" i="1"/>
  <c r="A1013" i="1"/>
  <c r="J1012" i="1"/>
  <c r="H1012" i="1"/>
  <c r="G1012" i="1"/>
  <c r="B1012" i="1"/>
  <c r="A1012" i="1"/>
  <c r="J1011" i="1"/>
  <c r="H1011" i="1"/>
  <c r="G1011" i="1"/>
  <c r="B1011" i="1"/>
  <c r="A1011" i="1"/>
  <c r="J1010" i="1"/>
  <c r="H1010" i="1"/>
  <c r="G1010" i="1"/>
  <c r="B1010" i="1"/>
  <c r="A1010" i="1"/>
  <c r="J1009" i="1"/>
  <c r="H1009" i="1"/>
  <c r="G1009" i="1"/>
  <c r="B1009" i="1"/>
  <c r="A1009" i="1"/>
  <c r="J1008" i="1"/>
  <c r="H1008" i="1"/>
  <c r="G1008" i="1"/>
  <c r="B1008" i="1"/>
  <c r="A1008" i="1"/>
  <c r="J1007" i="1"/>
  <c r="H1007" i="1"/>
  <c r="G1007" i="1"/>
  <c r="B1007" i="1"/>
  <c r="A1007" i="1"/>
  <c r="J1006" i="1"/>
  <c r="H1006" i="1"/>
  <c r="G1006" i="1"/>
  <c r="B1006" i="1"/>
  <c r="A1006" i="1"/>
  <c r="J1005" i="1"/>
  <c r="H1005" i="1"/>
  <c r="G1005" i="1"/>
  <c r="B1005" i="1"/>
  <c r="A1005" i="1"/>
  <c r="J1004" i="1"/>
  <c r="H1004" i="1"/>
  <c r="G1004" i="1"/>
  <c r="B1004" i="1"/>
  <c r="A1004" i="1"/>
  <c r="J1003" i="1"/>
  <c r="H1003" i="1"/>
  <c r="G1003" i="1"/>
  <c r="B1003" i="1"/>
  <c r="A1003" i="1"/>
  <c r="J1002" i="1"/>
  <c r="H1002" i="1"/>
  <c r="G1002" i="1"/>
  <c r="B1002" i="1"/>
  <c r="A1002" i="1"/>
  <c r="J1001" i="1"/>
  <c r="H1001" i="1"/>
  <c r="G1001" i="1"/>
  <c r="B1001" i="1"/>
  <c r="A1001" i="1"/>
  <c r="J1000" i="1"/>
  <c r="H1000" i="1"/>
  <c r="G1000" i="1"/>
  <c r="B1000" i="1"/>
  <c r="A1000" i="1"/>
  <c r="J999" i="1"/>
  <c r="H999" i="1"/>
  <c r="G999" i="1"/>
  <c r="B999" i="1"/>
  <c r="A999" i="1"/>
  <c r="J998" i="1"/>
  <c r="H998" i="1"/>
  <c r="G998" i="1"/>
  <c r="B998" i="1"/>
  <c r="A998" i="1"/>
  <c r="J997" i="1"/>
  <c r="H997" i="1"/>
  <c r="G997" i="1"/>
  <c r="B997" i="1"/>
  <c r="A997" i="1"/>
  <c r="J996" i="1"/>
  <c r="H996" i="1"/>
  <c r="G996" i="1"/>
  <c r="B996" i="1"/>
  <c r="A996" i="1"/>
  <c r="J995" i="1"/>
  <c r="H995" i="1"/>
  <c r="G995" i="1"/>
  <c r="B995" i="1"/>
  <c r="A995" i="1"/>
  <c r="J994" i="1"/>
  <c r="H994" i="1"/>
  <c r="G994" i="1"/>
  <c r="B994" i="1"/>
  <c r="A994" i="1"/>
  <c r="J993" i="1"/>
  <c r="H993" i="1"/>
  <c r="G993" i="1"/>
  <c r="B993" i="1"/>
  <c r="A993" i="1"/>
  <c r="J992" i="1"/>
  <c r="H992" i="1"/>
  <c r="G992" i="1"/>
  <c r="B992" i="1"/>
  <c r="A992" i="1"/>
  <c r="J991" i="1"/>
  <c r="H991" i="1"/>
  <c r="G991" i="1"/>
  <c r="B991" i="1"/>
  <c r="A991" i="1"/>
  <c r="J990" i="1"/>
  <c r="H990" i="1"/>
  <c r="G990" i="1"/>
  <c r="B990" i="1"/>
  <c r="A990" i="1"/>
  <c r="J989" i="1"/>
  <c r="H989" i="1"/>
  <c r="G989" i="1"/>
  <c r="B989" i="1"/>
  <c r="A989" i="1"/>
  <c r="J988" i="1"/>
  <c r="H988" i="1"/>
  <c r="G988" i="1"/>
  <c r="B988" i="1"/>
  <c r="A988" i="1"/>
  <c r="J987" i="1"/>
  <c r="H987" i="1"/>
  <c r="G987" i="1"/>
  <c r="B987" i="1"/>
  <c r="A987" i="1"/>
  <c r="J986" i="1"/>
  <c r="H986" i="1"/>
  <c r="G986" i="1"/>
  <c r="B986" i="1"/>
  <c r="A986" i="1"/>
  <c r="J985" i="1"/>
  <c r="H985" i="1"/>
  <c r="G985" i="1"/>
  <c r="B985" i="1"/>
  <c r="A985" i="1"/>
  <c r="J984" i="1"/>
  <c r="H984" i="1"/>
  <c r="G984" i="1"/>
  <c r="B984" i="1"/>
  <c r="A984" i="1"/>
  <c r="J983" i="1"/>
  <c r="H983" i="1"/>
  <c r="G983" i="1"/>
  <c r="B983" i="1"/>
  <c r="A983" i="1"/>
  <c r="J982" i="1"/>
  <c r="H982" i="1"/>
  <c r="G982" i="1"/>
  <c r="B982" i="1"/>
  <c r="A982" i="1"/>
  <c r="J981" i="1"/>
  <c r="H981" i="1"/>
  <c r="G981" i="1"/>
  <c r="B981" i="1"/>
  <c r="A981" i="1"/>
  <c r="J980" i="1"/>
  <c r="H980" i="1"/>
  <c r="G980" i="1"/>
  <c r="B980" i="1"/>
  <c r="A980" i="1"/>
  <c r="J979" i="1"/>
  <c r="H979" i="1"/>
  <c r="G979" i="1"/>
  <c r="B979" i="1"/>
  <c r="A979" i="1"/>
  <c r="J978" i="1"/>
  <c r="H978" i="1"/>
  <c r="G978" i="1"/>
  <c r="B978" i="1"/>
  <c r="A978" i="1"/>
  <c r="J977" i="1"/>
  <c r="H977" i="1"/>
  <c r="G977" i="1"/>
  <c r="B977" i="1"/>
  <c r="A977" i="1"/>
  <c r="J976" i="1"/>
  <c r="H976" i="1"/>
  <c r="G976" i="1"/>
  <c r="B976" i="1"/>
  <c r="A976" i="1"/>
  <c r="J975" i="1"/>
  <c r="H975" i="1"/>
  <c r="G975" i="1"/>
  <c r="B975" i="1"/>
  <c r="A975" i="1"/>
  <c r="J974" i="1"/>
  <c r="H974" i="1"/>
  <c r="G974" i="1"/>
  <c r="B974" i="1"/>
  <c r="A974" i="1"/>
  <c r="J973" i="1"/>
  <c r="H973" i="1"/>
  <c r="G973" i="1"/>
  <c r="B973" i="1"/>
  <c r="A973" i="1"/>
  <c r="J972" i="1"/>
  <c r="H972" i="1"/>
  <c r="G972" i="1"/>
  <c r="B972" i="1"/>
  <c r="A972" i="1"/>
  <c r="J971" i="1"/>
  <c r="H971" i="1"/>
  <c r="G971" i="1"/>
  <c r="B971" i="1"/>
  <c r="A971" i="1"/>
  <c r="J970" i="1"/>
  <c r="H970" i="1"/>
  <c r="G970" i="1"/>
  <c r="B970" i="1"/>
  <c r="A970" i="1"/>
  <c r="J969" i="1"/>
  <c r="H969" i="1"/>
  <c r="G969" i="1"/>
  <c r="B969" i="1"/>
  <c r="A969" i="1"/>
  <c r="J968" i="1"/>
  <c r="H968" i="1"/>
  <c r="G968" i="1"/>
  <c r="B968" i="1"/>
  <c r="A968" i="1"/>
  <c r="J967" i="1"/>
  <c r="H967" i="1"/>
  <c r="G967" i="1"/>
  <c r="B967" i="1"/>
  <c r="A967" i="1"/>
  <c r="J966" i="1"/>
  <c r="H966" i="1"/>
  <c r="G966" i="1"/>
  <c r="B966" i="1"/>
  <c r="A966" i="1"/>
  <c r="J965" i="1"/>
  <c r="H965" i="1"/>
  <c r="G965" i="1"/>
  <c r="B965" i="1"/>
  <c r="A965" i="1"/>
  <c r="J964" i="1"/>
  <c r="H964" i="1"/>
  <c r="G964" i="1"/>
  <c r="B964" i="1"/>
  <c r="A964" i="1"/>
  <c r="J963" i="1"/>
  <c r="H963" i="1"/>
  <c r="G963" i="1"/>
  <c r="B963" i="1"/>
  <c r="A963" i="1"/>
  <c r="J962" i="1"/>
  <c r="H962" i="1"/>
  <c r="G962" i="1"/>
  <c r="B962" i="1"/>
  <c r="A962" i="1"/>
  <c r="J961" i="1"/>
  <c r="H961" i="1"/>
  <c r="G961" i="1"/>
  <c r="B961" i="1"/>
  <c r="A961" i="1"/>
  <c r="J960" i="1"/>
  <c r="H960" i="1"/>
  <c r="G960" i="1"/>
  <c r="B960" i="1"/>
  <c r="A960" i="1"/>
  <c r="J959" i="1"/>
  <c r="H959" i="1"/>
  <c r="G959" i="1"/>
  <c r="B959" i="1"/>
  <c r="A959" i="1"/>
  <c r="J958" i="1"/>
  <c r="H958" i="1"/>
  <c r="G958" i="1"/>
  <c r="B958" i="1"/>
  <c r="A958" i="1"/>
  <c r="J957" i="1"/>
  <c r="H957" i="1"/>
  <c r="G957" i="1"/>
  <c r="B957" i="1"/>
  <c r="A957" i="1"/>
  <c r="J956" i="1"/>
  <c r="H956" i="1"/>
  <c r="G956" i="1"/>
  <c r="B956" i="1"/>
  <c r="A956" i="1"/>
  <c r="J955" i="1"/>
  <c r="H955" i="1"/>
  <c r="G955" i="1"/>
  <c r="B955" i="1"/>
  <c r="A955" i="1"/>
  <c r="J954" i="1"/>
  <c r="H954" i="1"/>
  <c r="G954" i="1"/>
  <c r="B954" i="1"/>
  <c r="A954" i="1"/>
  <c r="J953" i="1"/>
  <c r="H953" i="1"/>
  <c r="G953" i="1"/>
  <c r="B953" i="1"/>
  <c r="A953" i="1"/>
  <c r="J952" i="1"/>
  <c r="H952" i="1"/>
  <c r="G952" i="1"/>
  <c r="B952" i="1"/>
  <c r="A952" i="1"/>
  <c r="J951" i="1"/>
  <c r="H951" i="1"/>
  <c r="G951" i="1"/>
  <c r="B951" i="1"/>
  <c r="A951" i="1"/>
  <c r="J950" i="1"/>
  <c r="H950" i="1"/>
  <c r="G950" i="1"/>
  <c r="B950" i="1"/>
  <c r="A950" i="1"/>
  <c r="J949" i="1"/>
  <c r="H949" i="1"/>
  <c r="G949" i="1"/>
  <c r="B949" i="1"/>
  <c r="A949" i="1"/>
  <c r="J948" i="1"/>
  <c r="H948" i="1"/>
  <c r="G948" i="1"/>
  <c r="B948" i="1"/>
  <c r="A948" i="1"/>
  <c r="J947" i="1"/>
  <c r="H947" i="1"/>
  <c r="G947" i="1"/>
  <c r="B947" i="1"/>
  <c r="A947" i="1"/>
  <c r="J946" i="1"/>
  <c r="H946" i="1"/>
  <c r="G946" i="1"/>
  <c r="B946" i="1"/>
  <c r="A946" i="1"/>
  <c r="J945" i="1"/>
  <c r="H945" i="1"/>
  <c r="G945" i="1"/>
  <c r="B945" i="1"/>
  <c r="A945" i="1"/>
  <c r="J944" i="1"/>
  <c r="H944" i="1"/>
  <c r="G944" i="1"/>
  <c r="B944" i="1"/>
  <c r="A944" i="1"/>
  <c r="J943" i="1"/>
  <c r="H943" i="1"/>
  <c r="G943" i="1"/>
  <c r="B943" i="1"/>
  <c r="A943" i="1"/>
  <c r="J942" i="1"/>
  <c r="H942" i="1"/>
  <c r="G942" i="1"/>
  <c r="B942" i="1"/>
  <c r="A942" i="1"/>
  <c r="J941" i="1"/>
  <c r="H941" i="1"/>
  <c r="G941" i="1"/>
  <c r="B941" i="1"/>
  <c r="A941" i="1"/>
  <c r="J940" i="1"/>
  <c r="H940" i="1"/>
  <c r="G940" i="1"/>
  <c r="B940" i="1"/>
  <c r="A940" i="1"/>
  <c r="J939" i="1"/>
  <c r="H939" i="1"/>
  <c r="G939" i="1"/>
  <c r="B939" i="1"/>
  <c r="A939" i="1"/>
  <c r="J938" i="1"/>
  <c r="H938" i="1"/>
  <c r="G938" i="1"/>
  <c r="B938" i="1"/>
  <c r="A938" i="1"/>
  <c r="J937" i="1"/>
  <c r="H937" i="1"/>
  <c r="G937" i="1"/>
  <c r="B937" i="1"/>
  <c r="A937" i="1"/>
  <c r="J936" i="1"/>
  <c r="H936" i="1"/>
  <c r="G936" i="1"/>
  <c r="B936" i="1"/>
  <c r="A936" i="1"/>
  <c r="J935" i="1"/>
  <c r="H935" i="1"/>
  <c r="G935" i="1"/>
  <c r="B935" i="1"/>
  <c r="A935" i="1"/>
  <c r="J934" i="1"/>
  <c r="H934" i="1"/>
  <c r="G934" i="1"/>
  <c r="B934" i="1"/>
  <c r="A934" i="1"/>
  <c r="J933" i="1"/>
  <c r="H933" i="1"/>
  <c r="G933" i="1"/>
  <c r="B933" i="1"/>
  <c r="A933" i="1"/>
  <c r="J932" i="1"/>
  <c r="H932" i="1"/>
  <c r="G932" i="1"/>
  <c r="B932" i="1"/>
  <c r="A932" i="1"/>
  <c r="J931" i="1"/>
  <c r="H931" i="1"/>
  <c r="G931" i="1"/>
  <c r="B931" i="1"/>
  <c r="A931" i="1"/>
  <c r="J930" i="1"/>
  <c r="H930" i="1"/>
  <c r="G930" i="1"/>
  <c r="B930" i="1"/>
  <c r="A930" i="1"/>
  <c r="J929" i="1"/>
  <c r="H929" i="1"/>
  <c r="G929" i="1"/>
  <c r="B929" i="1"/>
  <c r="A929" i="1"/>
  <c r="J928" i="1"/>
  <c r="H928" i="1"/>
  <c r="G928" i="1"/>
  <c r="B928" i="1"/>
  <c r="A928" i="1"/>
  <c r="J927" i="1"/>
  <c r="H927" i="1"/>
  <c r="G927" i="1"/>
  <c r="B927" i="1"/>
  <c r="A927" i="1"/>
  <c r="J926" i="1"/>
  <c r="H926" i="1"/>
  <c r="G926" i="1"/>
  <c r="B926" i="1"/>
  <c r="A926" i="1"/>
  <c r="J925" i="1"/>
  <c r="H925" i="1"/>
  <c r="G925" i="1"/>
  <c r="B925" i="1"/>
  <c r="A925" i="1"/>
  <c r="J924" i="1"/>
  <c r="H924" i="1"/>
  <c r="G924" i="1"/>
  <c r="B924" i="1"/>
  <c r="A924" i="1"/>
  <c r="J923" i="1"/>
  <c r="H923" i="1"/>
  <c r="G923" i="1"/>
  <c r="B923" i="1"/>
  <c r="A923" i="1"/>
  <c r="J922" i="1"/>
  <c r="H922" i="1"/>
  <c r="G922" i="1"/>
  <c r="B922" i="1"/>
  <c r="A922" i="1"/>
  <c r="J921" i="1"/>
  <c r="H921" i="1"/>
  <c r="G921" i="1"/>
  <c r="B921" i="1"/>
  <c r="A921" i="1"/>
  <c r="J920" i="1"/>
  <c r="H920" i="1"/>
  <c r="G920" i="1"/>
  <c r="B920" i="1"/>
  <c r="A920" i="1"/>
  <c r="J919" i="1"/>
  <c r="H919" i="1"/>
  <c r="G919" i="1"/>
  <c r="B919" i="1"/>
  <c r="A919" i="1"/>
  <c r="J918" i="1"/>
  <c r="H918" i="1"/>
  <c r="G918" i="1"/>
  <c r="B918" i="1"/>
  <c r="A918" i="1"/>
  <c r="J917" i="1"/>
  <c r="H917" i="1"/>
  <c r="G917" i="1"/>
  <c r="B917" i="1"/>
  <c r="A917" i="1"/>
  <c r="J916" i="1"/>
  <c r="H916" i="1"/>
  <c r="G916" i="1"/>
  <c r="B916" i="1"/>
  <c r="A916" i="1"/>
  <c r="J915" i="1"/>
  <c r="H915" i="1"/>
  <c r="G915" i="1"/>
  <c r="B915" i="1"/>
  <c r="A915" i="1"/>
  <c r="J914" i="1"/>
  <c r="H914" i="1"/>
  <c r="G914" i="1"/>
  <c r="B914" i="1"/>
  <c r="A914" i="1"/>
  <c r="J913" i="1"/>
  <c r="H913" i="1"/>
  <c r="G913" i="1"/>
  <c r="B913" i="1"/>
  <c r="A913" i="1"/>
  <c r="J912" i="1"/>
  <c r="H912" i="1"/>
  <c r="G912" i="1"/>
  <c r="B912" i="1"/>
  <c r="A912" i="1"/>
  <c r="J911" i="1"/>
  <c r="H911" i="1"/>
  <c r="G911" i="1"/>
  <c r="B911" i="1"/>
  <c r="A911" i="1"/>
  <c r="J910" i="1"/>
  <c r="H910" i="1"/>
  <c r="G910" i="1"/>
  <c r="B910" i="1"/>
  <c r="A910" i="1"/>
  <c r="J909" i="1"/>
  <c r="H909" i="1"/>
  <c r="G909" i="1"/>
  <c r="B909" i="1"/>
  <c r="A909" i="1"/>
  <c r="J908" i="1"/>
  <c r="H908" i="1"/>
  <c r="G908" i="1"/>
  <c r="B908" i="1"/>
  <c r="A908" i="1"/>
  <c r="J907" i="1"/>
  <c r="H907" i="1"/>
  <c r="G907" i="1"/>
  <c r="B907" i="1"/>
  <c r="A907" i="1"/>
  <c r="J906" i="1"/>
  <c r="H906" i="1"/>
  <c r="G906" i="1"/>
  <c r="B906" i="1"/>
  <c r="A906" i="1"/>
  <c r="J905" i="1"/>
  <c r="H905" i="1"/>
  <c r="G905" i="1"/>
  <c r="B905" i="1"/>
  <c r="A905" i="1"/>
  <c r="J904" i="1"/>
  <c r="H904" i="1"/>
  <c r="G904" i="1"/>
  <c r="B904" i="1"/>
  <c r="A904" i="1"/>
  <c r="J903" i="1"/>
  <c r="H903" i="1"/>
  <c r="G903" i="1"/>
  <c r="B903" i="1"/>
  <c r="A903" i="1"/>
  <c r="J902" i="1"/>
  <c r="H902" i="1"/>
  <c r="G902" i="1"/>
  <c r="B902" i="1"/>
  <c r="A902" i="1"/>
  <c r="J901" i="1"/>
  <c r="H901" i="1"/>
  <c r="G901" i="1"/>
  <c r="B901" i="1"/>
  <c r="A901" i="1"/>
  <c r="J900" i="1"/>
  <c r="H900" i="1"/>
  <c r="G900" i="1"/>
  <c r="B900" i="1"/>
  <c r="A900" i="1"/>
  <c r="J899" i="1"/>
  <c r="H899" i="1"/>
  <c r="G899" i="1"/>
  <c r="B899" i="1"/>
  <c r="A899" i="1"/>
  <c r="J898" i="1"/>
  <c r="H898" i="1"/>
  <c r="G898" i="1"/>
  <c r="B898" i="1"/>
  <c r="A898" i="1"/>
  <c r="J897" i="1"/>
  <c r="H897" i="1"/>
  <c r="G897" i="1"/>
  <c r="B897" i="1"/>
  <c r="A897" i="1"/>
  <c r="J896" i="1"/>
  <c r="H896" i="1"/>
  <c r="G896" i="1"/>
  <c r="B896" i="1"/>
  <c r="A896" i="1"/>
  <c r="J895" i="1"/>
  <c r="H895" i="1"/>
  <c r="G895" i="1"/>
  <c r="B895" i="1"/>
  <c r="A895" i="1"/>
  <c r="J894" i="1"/>
  <c r="H894" i="1"/>
  <c r="G894" i="1"/>
  <c r="B894" i="1"/>
  <c r="A894" i="1"/>
  <c r="J893" i="1"/>
  <c r="H893" i="1"/>
  <c r="G893" i="1"/>
  <c r="B893" i="1"/>
  <c r="A893" i="1"/>
  <c r="J892" i="1"/>
  <c r="H892" i="1"/>
  <c r="G892" i="1"/>
  <c r="B892" i="1"/>
  <c r="A892" i="1"/>
  <c r="J891" i="1"/>
  <c r="H891" i="1"/>
  <c r="G891" i="1"/>
  <c r="B891" i="1"/>
  <c r="A891" i="1"/>
  <c r="J890" i="1"/>
  <c r="H890" i="1"/>
  <c r="G890" i="1"/>
  <c r="B890" i="1"/>
  <c r="A890" i="1"/>
  <c r="J889" i="1"/>
  <c r="H889" i="1"/>
  <c r="G889" i="1"/>
  <c r="B889" i="1"/>
  <c r="A889" i="1"/>
  <c r="J888" i="1"/>
  <c r="H888" i="1"/>
  <c r="G888" i="1"/>
  <c r="B888" i="1"/>
  <c r="A888" i="1"/>
  <c r="J887" i="1"/>
  <c r="H887" i="1"/>
  <c r="G887" i="1"/>
  <c r="B887" i="1"/>
  <c r="A887" i="1"/>
  <c r="J886" i="1"/>
  <c r="H886" i="1"/>
  <c r="G886" i="1"/>
  <c r="B886" i="1"/>
  <c r="A886" i="1"/>
  <c r="J885" i="1"/>
  <c r="H885" i="1"/>
  <c r="G885" i="1"/>
  <c r="B885" i="1"/>
  <c r="A885" i="1"/>
  <c r="J884" i="1"/>
  <c r="H884" i="1"/>
  <c r="G884" i="1"/>
  <c r="B884" i="1"/>
  <c r="A884" i="1"/>
  <c r="J883" i="1"/>
  <c r="H883" i="1"/>
  <c r="G883" i="1"/>
  <c r="B883" i="1"/>
  <c r="A883" i="1"/>
  <c r="J882" i="1"/>
  <c r="H882" i="1"/>
  <c r="G882" i="1"/>
  <c r="B882" i="1"/>
  <c r="A882" i="1"/>
  <c r="J881" i="1"/>
  <c r="H881" i="1"/>
  <c r="G881" i="1"/>
  <c r="B881" i="1"/>
  <c r="A881" i="1"/>
  <c r="J880" i="1"/>
  <c r="H880" i="1"/>
  <c r="G880" i="1"/>
  <c r="B880" i="1"/>
  <c r="A880" i="1"/>
  <c r="J879" i="1"/>
  <c r="H879" i="1"/>
  <c r="G879" i="1"/>
  <c r="B879" i="1"/>
  <c r="A879" i="1"/>
  <c r="J878" i="1"/>
  <c r="H878" i="1"/>
  <c r="G878" i="1"/>
  <c r="B878" i="1"/>
  <c r="A878" i="1"/>
  <c r="J877" i="1"/>
  <c r="H877" i="1"/>
  <c r="G877" i="1"/>
  <c r="B877" i="1"/>
  <c r="A877" i="1"/>
  <c r="J876" i="1"/>
  <c r="H876" i="1"/>
  <c r="G876" i="1"/>
  <c r="B876" i="1"/>
  <c r="A876" i="1"/>
  <c r="J875" i="1"/>
  <c r="H875" i="1"/>
  <c r="G875" i="1"/>
  <c r="B875" i="1"/>
  <c r="A875" i="1"/>
  <c r="J874" i="1"/>
  <c r="H874" i="1"/>
  <c r="G874" i="1"/>
  <c r="B874" i="1"/>
  <c r="A874" i="1"/>
  <c r="J873" i="1"/>
  <c r="H873" i="1"/>
  <c r="G873" i="1"/>
  <c r="B873" i="1"/>
  <c r="A873" i="1"/>
  <c r="J872" i="1"/>
  <c r="H872" i="1"/>
  <c r="G872" i="1"/>
  <c r="B872" i="1"/>
  <c r="A872" i="1"/>
  <c r="J871" i="1"/>
  <c r="H871" i="1"/>
  <c r="G871" i="1"/>
  <c r="B871" i="1"/>
  <c r="A871" i="1"/>
  <c r="J870" i="1"/>
  <c r="H870" i="1"/>
  <c r="G870" i="1"/>
  <c r="B870" i="1"/>
  <c r="A870" i="1"/>
  <c r="J869" i="1"/>
  <c r="H869" i="1"/>
  <c r="G869" i="1"/>
  <c r="B869" i="1"/>
  <c r="A869" i="1"/>
  <c r="J868" i="1"/>
  <c r="H868" i="1"/>
  <c r="G868" i="1"/>
  <c r="B868" i="1"/>
  <c r="A868" i="1"/>
  <c r="J867" i="1"/>
  <c r="H867" i="1"/>
  <c r="G867" i="1"/>
  <c r="B867" i="1"/>
  <c r="A867" i="1"/>
  <c r="J866" i="1"/>
  <c r="H866" i="1"/>
  <c r="G866" i="1"/>
  <c r="B866" i="1"/>
  <c r="A866" i="1"/>
  <c r="J865" i="1"/>
  <c r="H865" i="1"/>
  <c r="G865" i="1"/>
  <c r="B865" i="1"/>
  <c r="A865" i="1"/>
  <c r="J864" i="1"/>
  <c r="H864" i="1"/>
  <c r="G864" i="1"/>
  <c r="B864" i="1"/>
  <c r="A864" i="1"/>
  <c r="J863" i="1"/>
  <c r="H863" i="1"/>
  <c r="G863" i="1"/>
  <c r="B863" i="1"/>
  <c r="A863" i="1"/>
  <c r="J862" i="1"/>
  <c r="H862" i="1"/>
  <c r="G862" i="1"/>
  <c r="B862" i="1"/>
  <c r="A862" i="1"/>
  <c r="J861" i="1"/>
  <c r="H861" i="1"/>
  <c r="G861" i="1"/>
  <c r="B861" i="1"/>
  <c r="A861" i="1"/>
  <c r="J860" i="1"/>
  <c r="H860" i="1"/>
  <c r="G860" i="1"/>
  <c r="B860" i="1"/>
  <c r="A860" i="1"/>
  <c r="J859" i="1"/>
  <c r="H859" i="1"/>
  <c r="G859" i="1"/>
  <c r="B859" i="1"/>
  <c r="A859" i="1"/>
  <c r="J858" i="1"/>
  <c r="H858" i="1"/>
  <c r="G858" i="1"/>
  <c r="B858" i="1"/>
  <c r="A858" i="1"/>
  <c r="J857" i="1"/>
  <c r="H857" i="1"/>
  <c r="G857" i="1"/>
  <c r="B857" i="1"/>
  <c r="A857" i="1"/>
  <c r="J856" i="1"/>
  <c r="H856" i="1"/>
  <c r="G856" i="1"/>
  <c r="B856" i="1"/>
  <c r="A856" i="1"/>
  <c r="J855" i="1"/>
  <c r="H855" i="1"/>
  <c r="G855" i="1"/>
  <c r="B855" i="1"/>
  <c r="A855" i="1"/>
  <c r="J854" i="1"/>
  <c r="H854" i="1"/>
  <c r="G854" i="1"/>
  <c r="B854" i="1"/>
  <c r="A854" i="1"/>
  <c r="J853" i="1"/>
  <c r="H853" i="1"/>
  <c r="G853" i="1"/>
  <c r="B853" i="1"/>
  <c r="A853" i="1"/>
  <c r="J852" i="1"/>
  <c r="H852" i="1"/>
  <c r="G852" i="1"/>
  <c r="B852" i="1"/>
  <c r="A852" i="1"/>
  <c r="J851" i="1"/>
  <c r="H851" i="1"/>
  <c r="G851" i="1"/>
  <c r="B851" i="1"/>
  <c r="A851" i="1"/>
  <c r="J850" i="1"/>
  <c r="H850" i="1"/>
  <c r="G850" i="1"/>
  <c r="B850" i="1"/>
  <c r="A850" i="1"/>
  <c r="J849" i="1"/>
  <c r="H849" i="1"/>
  <c r="G849" i="1"/>
  <c r="B849" i="1"/>
  <c r="A849" i="1"/>
  <c r="J848" i="1"/>
  <c r="H848" i="1"/>
  <c r="G848" i="1"/>
  <c r="B848" i="1"/>
  <c r="A848" i="1"/>
  <c r="J847" i="1"/>
  <c r="H847" i="1"/>
  <c r="G847" i="1"/>
  <c r="B847" i="1"/>
  <c r="A847" i="1"/>
  <c r="J846" i="1"/>
  <c r="H846" i="1"/>
  <c r="G846" i="1"/>
  <c r="B846" i="1"/>
  <c r="A846" i="1"/>
  <c r="J845" i="1"/>
  <c r="H845" i="1"/>
  <c r="G845" i="1"/>
  <c r="B845" i="1"/>
  <c r="A845" i="1"/>
  <c r="J844" i="1"/>
  <c r="H844" i="1"/>
  <c r="G844" i="1"/>
  <c r="B844" i="1"/>
  <c r="A844" i="1"/>
  <c r="J843" i="1"/>
  <c r="H843" i="1"/>
  <c r="G843" i="1"/>
  <c r="B843" i="1"/>
  <c r="A843" i="1"/>
  <c r="J842" i="1"/>
  <c r="H842" i="1"/>
  <c r="G842" i="1"/>
  <c r="B842" i="1"/>
  <c r="A842" i="1"/>
  <c r="J841" i="1"/>
  <c r="H841" i="1"/>
  <c r="G841" i="1"/>
  <c r="B841" i="1"/>
  <c r="A841" i="1"/>
  <c r="J840" i="1"/>
  <c r="H840" i="1"/>
  <c r="G840" i="1"/>
  <c r="B840" i="1"/>
  <c r="A840" i="1"/>
  <c r="J839" i="1"/>
  <c r="H839" i="1"/>
  <c r="G839" i="1"/>
  <c r="B839" i="1"/>
  <c r="A839" i="1"/>
  <c r="J838" i="1"/>
  <c r="H838" i="1"/>
  <c r="G838" i="1"/>
  <c r="B838" i="1"/>
  <c r="A838" i="1"/>
  <c r="J837" i="1"/>
  <c r="H837" i="1"/>
  <c r="G837" i="1"/>
  <c r="B837" i="1"/>
  <c r="A837" i="1"/>
  <c r="J836" i="1"/>
  <c r="H836" i="1"/>
  <c r="G836" i="1"/>
  <c r="B836" i="1"/>
  <c r="A836" i="1"/>
  <c r="J835" i="1"/>
  <c r="H835" i="1"/>
  <c r="G835" i="1"/>
  <c r="B835" i="1"/>
  <c r="A835" i="1"/>
  <c r="J834" i="1"/>
  <c r="H834" i="1"/>
  <c r="G834" i="1"/>
  <c r="B834" i="1"/>
  <c r="A834" i="1"/>
  <c r="J833" i="1"/>
  <c r="H833" i="1"/>
  <c r="G833" i="1"/>
  <c r="B833" i="1"/>
  <c r="A833" i="1"/>
  <c r="J832" i="1"/>
  <c r="H832" i="1"/>
  <c r="G832" i="1"/>
  <c r="B832" i="1"/>
  <c r="A832" i="1"/>
  <c r="J831" i="1"/>
  <c r="H831" i="1"/>
  <c r="G831" i="1"/>
  <c r="B831" i="1"/>
  <c r="A831" i="1"/>
  <c r="J830" i="1"/>
  <c r="H830" i="1"/>
  <c r="G830" i="1"/>
  <c r="B830" i="1"/>
  <c r="A830" i="1"/>
  <c r="J829" i="1"/>
  <c r="H829" i="1"/>
  <c r="G829" i="1"/>
  <c r="B829" i="1"/>
  <c r="A829" i="1"/>
  <c r="J828" i="1"/>
  <c r="H828" i="1"/>
  <c r="G828" i="1"/>
  <c r="B828" i="1"/>
  <c r="A828" i="1"/>
  <c r="J827" i="1"/>
  <c r="H827" i="1"/>
  <c r="G827" i="1"/>
  <c r="B827" i="1"/>
  <c r="A827" i="1"/>
  <c r="J826" i="1"/>
  <c r="H826" i="1"/>
  <c r="G826" i="1"/>
  <c r="B826" i="1"/>
  <c r="A826" i="1"/>
  <c r="J825" i="1"/>
  <c r="H825" i="1"/>
  <c r="G825" i="1"/>
  <c r="B825" i="1"/>
  <c r="A825" i="1"/>
  <c r="J824" i="1"/>
  <c r="H824" i="1"/>
  <c r="G824" i="1"/>
  <c r="B824" i="1"/>
  <c r="A824" i="1"/>
  <c r="J823" i="1"/>
  <c r="H823" i="1"/>
  <c r="G823" i="1"/>
  <c r="B823" i="1"/>
  <c r="A823" i="1"/>
  <c r="J822" i="1"/>
  <c r="H822" i="1"/>
  <c r="G822" i="1"/>
  <c r="B822" i="1"/>
  <c r="A822" i="1"/>
  <c r="J821" i="1"/>
  <c r="H821" i="1"/>
  <c r="G821" i="1"/>
  <c r="B821" i="1"/>
  <c r="A821" i="1"/>
  <c r="J820" i="1"/>
  <c r="H820" i="1"/>
  <c r="G820" i="1"/>
  <c r="B820" i="1"/>
  <c r="A820" i="1"/>
  <c r="J819" i="1"/>
  <c r="H819" i="1"/>
  <c r="G819" i="1"/>
  <c r="B819" i="1"/>
  <c r="A819" i="1"/>
  <c r="J818" i="1"/>
  <c r="H818" i="1"/>
  <c r="G818" i="1"/>
  <c r="B818" i="1"/>
  <c r="A818" i="1"/>
  <c r="J817" i="1"/>
  <c r="H817" i="1"/>
  <c r="G817" i="1"/>
  <c r="B817" i="1"/>
  <c r="A817" i="1"/>
  <c r="J816" i="1"/>
  <c r="H816" i="1"/>
  <c r="G816" i="1"/>
  <c r="B816" i="1"/>
  <c r="A816" i="1"/>
  <c r="J815" i="1"/>
  <c r="H815" i="1"/>
  <c r="G815" i="1"/>
  <c r="B815" i="1"/>
  <c r="A815" i="1"/>
  <c r="J814" i="1"/>
  <c r="H814" i="1"/>
  <c r="G814" i="1"/>
  <c r="B814" i="1"/>
  <c r="A814" i="1"/>
  <c r="J813" i="1"/>
  <c r="H813" i="1"/>
  <c r="G813" i="1"/>
  <c r="B813" i="1"/>
  <c r="A813" i="1"/>
  <c r="J812" i="1"/>
  <c r="H812" i="1"/>
  <c r="G812" i="1"/>
  <c r="B812" i="1"/>
  <c r="A812" i="1"/>
  <c r="J811" i="1"/>
  <c r="H811" i="1"/>
  <c r="G811" i="1"/>
  <c r="B811" i="1"/>
  <c r="A811" i="1"/>
  <c r="J810" i="1"/>
  <c r="H810" i="1"/>
  <c r="G810" i="1"/>
  <c r="B810" i="1"/>
  <c r="A810" i="1"/>
  <c r="J809" i="1"/>
  <c r="H809" i="1"/>
  <c r="G809" i="1"/>
  <c r="B809" i="1"/>
  <c r="A809" i="1"/>
  <c r="J808" i="1"/>
  <c r="H808" i="1"/>
  <c r="G808" i="1"/>
  <c r="B808" i="1"/>
  <c r="A808" i="1"/>
  <c r="J807" i="1"/>
  <c r="H807" i="1"/>
  <c r="G807" i="1"/>
  <c r="B807" i="1"/>
  <c r="A807" i="1"/>
  <c r="J806" i="1"/>
  <c r="H806" i="1"/>
  <c r="G806" i="1"/>
  <c r="B806" i="1"/>
  <c r="A806" i="1"/>
  <c r="J805" i="1"/>
  <c r="H805" i="1"/>
  <c r="G805" i="1"/>
  <c r="B805" i="1"/>
  <c r="A805" i="1"/>
  <c r="J804" i="1"/>
  <c r="H804" i="1"/>
  <c r="G804" i="1"/>
  <c r="B804" i="1"/>
  <c r="A804" i="1"/>
  <c r="J803" i="1"/>
  <c r="H803" i="1"/>
  <c r="G803" i="1"/>
  <c r="B803" i="1"/>
  <c r="A803" i="1"/>
  <c r="J802" i="1"/>
  <c r="H802" i="1"/>
  <c r="G802" i="1"/>
  <c r="B802" i="1"/>
  <c r="A802" i="1"/>
  <c r="J801" i="1"/>
  <c r="H801" i="1"/>
  <c r="G801" i="1"/>
  <c r="B801" i="1"/>
  <c r="A801" i="1"/>
  <c r="J800" i="1"/>
  <c r="H800" i="1"/>
  <c r="G800" i="1"/>
  <c r="B800" i="1"/>
  <c r="A800" i="1"/>
  <c r="J799" i="1"/>
  <c r="H799" i="1"/>
  <c r="G799" i="1"/>
  <c r="B799" i="1"/>
  <c r="A799" i="1"/>
  <c r="J798" i="1"/>
  <c r="H798" i="1"/>
  <c r="G798" i="1"/>
  <c r="B798" i="1"/>
  <c r="A798" i="1"/>
  <c r="J797" i="1"/>
  <c r="H797" i="1"/>
  <c r="G797" i="1"/>
  <c r="B797" i="1"/>
  <c r="A797" i="1"/>
  <c r="J796" i="1"/>
  <c r="H796" i="1"/>
  <c r="G796" i="1"/>
  <c r="B796" i="1"/>
  <c r="A796" i="1"/>
  <c r="J795" i="1"/>
  <c r="H795" i="1"/>
  <c r="G795" i="1"/>
  <c r="B795" i="1"/>
  <c r="A795" i="1"/>
  <c r="J794" i="1"/>
  <c r="H794" i="1"/>
  <c r="G794" i="1"/>
  <c r="B794" i="1"/>
  <c r="A794" i="1"/>
  <c r="J793" i="1"/>
  <c r="H793" i="1"/>
  <c r="G793" i="1"/>
  <c r="B793" i="1"/>
  <c r="A793" i="1"/>
  <c r="J792" i="1"/>
  <c r="H792" i="1"/>
  <c r="G792" i="1"/>
  <c r="B792" i="1"/>
  <c r="A792" i="1"/>
  <c r="J791" i="1"/>
  <c r="H791" i="1"/>
  <c r="G791" i="1"/>
  <c r="B791" i="1"/>
  <c r="A791" i="1"/>
  <c r="J790" i="1"/>
  <c r="H790" i="1"/>
  <c r="G790" i="1"/>
  <c r="B790" i="1"/>
  <c r="A790" i="1"/>
  <c r="J789" i="1"/>
  <c r="H789" i="1"/>
  <c r="G789" i="1"/>
  <c r="B789" i="1"/>
  <c r="A789" i="1"/>
  <c r="J788" i="1"/>
  <c r="H788" i="1"/>
  <c r="G788" i="1"/>
  <c r="B788" i="1"/>
  <c r="A788" i="1"/>
  <c r="J787" i="1"/>
  <c r="H787" i="1"/>
  <c r="G787" i="1"/>
  <c r="B787" i="1"/>
  <c r="A787" i="1"/>
  <c r="J786" i="1"/>
  <c r="H786" i="1"/>
  <c r="G786" i="1"/>
  <c r="B786" i="1"/>
  <c r="A786" i="1"/>
  <c r="J785" i="1"/>
  <c r="H785" i="1"/>
  <c r="G785" i="1"/>
  <c r="B785" i="1"/>
  <c r="A785" i="1"/>
  <c r="J784" i="1"/>
  <c r="H784" i="1"/>
  <c r="G784" i="1"/>
  <c r="B784" i="1"/>
  <c r="A784" i="1"/>
  <c r="J783" i="1"/>
  <c r="H783" i="1"/>
  <c r="G783" i="1"/>
  <c r="B783" i="1"/>
  <c r="A783" i="1"/>
  <c r="J782" i="1"/>
  <c r="H782" i="1"/>
  <c r="G782" i="1"/>
  <c r="B782" i="1"/>
  <c r="A782" i="1"/>
  <c r="J781" i="1"/>
  <c r="H781" i="1"/>
  <c r="G781" i="1"/>
  <c r="B781" i="1"/>
  <c r="A781" i="1"/>
  <c r="J780" i="1"/>
  <c r="H780" i="1"/>
  <c r="G780" i="1"/>
  <c r="B780" i="1"/>
  <c r="A780" i="1"/>
  <c r="J779" i="1"/>
  <c r="H779" i="1"/>
  <c r="G779" i="1"/>
  <c r="B779" i="1"/>
  <c r="A779" i="1"/>
  <c r="J778" i="1"/>
  <c r="H778" i="1"/>
  <c r="G778" i="1"/>
  <c r="B778" i="1"/>
  <c r="A778" i="1"/>
  <c r="J777" i="1"/>
  <c r="H777" i="1"/>
  <c r="G777" i="1"/>
  <c r="B777" i="1"/>
  <c r="A777" i="1"/>
  <c r="J776" i="1"/>
  <c r="H776" i="1"/>
  <c r="G776" i="1"/>
  <c r="B776" i="1"/>
  <c r="A776" i="1"/>
  <c r="J775" i="1"/>
  <c r="H775" i="1"/>
  <c r="G775" i="1"/>
  <c r="B775" i="1"/>
  <c r="A775" i="1"/>
  <c r="J774" i="1"/>
  <c r="H774" i="1"/>
  <c r="G774" i="1"/>
  <c r="B774" i="1"/>
  <c r="A774" i="1"/>
  <c r="J773" i="1"/>
  <c r="H773" i="1"/>
  <c r="G773" i="1"/>
  <c r="B773" i="1"/>
  <c r="A773" i="1"/>
  <c r="J772" i="1"/>
  <c r="H772" i="1"/>
  <c r="G772" i="1"/>
  <c r="B772" i="1"/>
  <c r="A772" i="1"/>
  <c r="J771" i="1"/>
  <c r="H771" i="1"/>
  <c r="G771" i="1"/>
  <c r="B771" i="1"/>
  <c r="A771" i="1"/>
  <c r="J770" i="1"/>
  <c r="H770" i="1"/>
  <c r="G770" i="1"/>
  <c r="B770" i="1"/>
  <c r="A770" i="1"/>
  <c r="J769" i="1"/>
  <c r="H769" i="1"/>
  <c r="G769" i="1"/>
  <c r="B769" i="1"/>
  <c r="A769" i="1"/>
  <c r="J768" i="1"/>
  <c r="H768" i="1"/>
  <c r="G768" i="1"/>
  <c r="B768" i="1"/>
  <c r="A768" i="1"/>
  <c r="J767" i="1"/>
  <c r="H767" i="1"/>
  <c r="G767" i="1"/>
  <c r="B767" i="1"/>
  <c r="A767" i="1"/>
  <c r="J766" i="1"/>
  <c r="H766" i="1"/>
  <c r="G766" i="1"/>
  <c r="B766" i="1"/>
  <c r="A766" i="1"/>
  <c r="J765" i="1"/>
  <c r="H765" i="1"/>
  <c r="G765" i="1"/>
  <c r="B765" i="1"/>
  <c r="A765" i="1"/>
  <c r="J764" i="1"/>
  <c r="H764" i="1"/>
  <c r="G764" i="1"/>
  <c r="B764" i="1"/>
  <c r="A764" i="1"/>
  <c r="J763" i="1"/>
  <c r="H763" i="1"/>
  <c r="G763" i="1"/>
  <c r="B763" i="1"/>
  <c r="A763" i="1"/>
  <c r="J762" i="1"/>
  <c r="H762" i="1"/>
  <c r="G762" i="1"/>
  <c r="B762" i="1"/>
  <c r="A762" i="1"/>
  <c r="J761" i="1"/>
  <c r="H761" i="1"/>
  <c r="G761" i="1"/>
  <c r="B761" i="1"/>
  <c r="A761" i="1"/>
  <c r="J760" i="1"/>
  <c r="H760" i="1"/>
  <c r="G760" i="1"/>
  <c r="B760" i="1"/>
  <c r="A760" i="1"/>
  <c r="J759" i="1"/>
  <c r="H759" i="1"/>
  <c r="G759" i="1"/>
  <c r="B759" i="1"/>
  <c r="A759" i="1"/>
  <c r="J758" i="1"/>
  <c r="H758" i="1"/>
  <c r="G758" i="1"/>
  <c r="B758" i="1"/>
  <c r="A758" i="1"/>
  <c r="J757" i="1"/>
  <c r="H757" i="1"/>
  <c r="G757" i="1"/>
  <c r="B757" i="1"/>
  <c r="A757" i="1"/>
  <c r="J756" i="1"/>
  <c r="H756" i="1"/>
  <c r="G756" i="1"/>
  <c r="B756" i="1"/>
  <c r="A756" i="1"/>
  <c r="J755" i="1"/>
  <c r="H755" i="1"/>
  <c r="G755" i="1"/>
  <c r="B755" i="1"/>
  <c r="A755" i="1"/>
  <c r="J754" i="1"/>
  <c r="H754" i="1"/>
  <c r="G754" i="1"/>
  <c r="B754" i="1"/>
  <c r="A754" i="1"/>
  <c r="J753" i="1"/>
  <c r="H753" i="1"/>
  <c r="G753" i="1"/>
  <c r="B753" i="1"/>
  <c r="A753" i="1"/>
  <c r="J752" i="1"/>
  <c r="H752" i="1"/>
  <c r="G752" i="1"/>
  <c r="B752" i="1"/>
  <c r="A752" i="1"/>
  <c r="J751" i="1"/>
  <c r="H751" i="1"/>
  <c r="G751" i="1"/>
  <c r="B751" i="1"/>
  <c r="A751" i="1"/>
  <c r="J750" i="1"/>
  <c r="H750" i="1"/>
  <c r="G750" i="1"/>
  <c r="B750" i="1"/>
  <c r="A750" i="1"/>
  <c r="J749" i="1"/>
  <c r="H749" i="1"/>
  <c r="G749" i="1"/>
  <c r="B749" i="1"/>
  <c r="A749" i="1"/>
  <c r="J748" i="1"/>
  <c r="H748" i="1"/>
  <c r="G748" i="1"/>
  <c r="B748" i="1"/>
  <c r="A748" i="1"/>
  <c r="J747" i="1"/>
  <c r="H747" i="1"/>
  <c r="G747" i="1"/>
  <c r="B747" i="1"/>
  <c r="A747" i="1"/>
  <c r="J746" i="1"/>
  <c r="H746" i="1"/>
  <c r="G746" i="1"/>
  <c r="B746" i="1"/>
  <c r="A746" i="1"/>
  <c r="J745" i="1"/>
  <c r="H745" i="1"/>
  <c r="G745" i="1"/>
  <c r="B745" i="1"/>
  <c r="A745" i="1"/>
  <c r="J744" i="1"/>
  <c r="H744" i="1"/>
  <c r="G744" i="1"/>
  <c r="B744" i="1"/>
  <c r="A744" i="1"/>
  <c r="J743" i="1"/>
  <c r="H743" i="1"/>
  <c r="G743" i="1"/>
  <c r="B743" i="1"/>
  <c r="A743" i="1"/>
  <c r="J742" i="1"/>
  <c r="H742" i="1"/>
  <c r="G742" i="1"/>
  <c r="B742" i="1"/>
  <c r="A742" i="1"/>
  <c r="J741" i="1"/>
  <c r="H741" i="1"/>
  <c r="G741" i="1"/>
  <c r="B741" i="1"/>
  <c r="A741" i="1"/>
  <c r="J740" i="1"/>
  <c r="H740" i="1"/>
  <c r="G740" i="1"/>
  <c r="B740" i="1"/>
  <c r="A740" i="1"/>
  <c r="J739" i="1"/>
  <c r="H739" i="1"/>
  <c r="G739" i="1"/>
  <c r="B739" i="1"/>
  <c r="A739" i="1"/>
  <c r="J738" i="1"/>
  <c r="H738" i="1"/>
  <c r="G738" i="1"/>
  <c r="B738" i="1"/>
  <c r="A738" i="1"/>
  <c r="J737" i="1"/>
  <c r="H737" i="1"/>
  <c r="G737" i="1"/>
  <c r="B737" i="1"/>
  <c r="A737" i="1"/>
  <c r="J736" i="1"/>
  <c r="H736" i="1"/>
  <c r="G736" i="1"/>
  <c r="B736" i="1"/>
  <c r="A736" i="1"/>
  <c r="J735" i="1"/>
  <c r="H735" i="1"/>
  <c r="G735" i="1"/>
  <c r="B735" i="1"/>
  <c r="A735" i="1"/>
  <c r="J734" i="1"/>
  <c r="H734" i="1"/>
  <c r="G734" i="1"/>
  <c r="B734" i="1"/>
  <c r="A734" i="1"/>
  <c r="J733" i="1"/>
  <c r="H733" i="1"/>
  <c r="G733" i="1"/>
  <c r="B733" i="1"/>
  <c r="A733" i="1"/>
  <c r="J732" i="1"/>
  <c r="H732" i="1"/>
  <c r="G732" i="1"/>
  <c r="B732" i="1"/>
  <c r="A732" i="1"/>
  <c r="J731" i="1"/>
  <c r="H731" i="1"/>
  <c r="G731" i="1"/>
  <c r="B731" i="1"/>
  <c r="A731" i="1"/>
  <c r="J730" i="1"/>
  <c r="H730" i="1"/>
  <c r="G730" i="1"/>
  <c r="B730" i="1"/>
  <c r="A730" i="1"/>
  <c r="J729" i="1"/>
  <c r="H729" i="1"/>
  <c r="G729" i="1"/>
  <c r="B729" i="1"/>
  <c r="A729" i="1"/>
  <c r="J728" i="1"/>
  <c r="H728" i="1"/>
  <c r="G728" i="1"/>
  <c r="B728" i="1"/>
  <c r="A728" i="1"/>
  <c r="J727" i="1"/>
  <c r="H727" i="1"/>
  <c r="G727" i="1"/>
  <c r="B727" i="1"/>
  <c r="A727" i="1"/>
  <c r="J726" i="1"/>
  <c r="H726" i="1"/>
  <c r="G726" i="1"/>
  <c r="B726" i="1"/>
  <c r="A726" i="1"/>
  <c r="J725" i="1"/>
  <c r="H725" i="1"/>
  <c r="G725" i="1"/>
  <c r="B725" i="1"/>
  <c r="A725" i="1"/>
  <c r="J724" i="1"/>
  <c r="H724" i="1"/>
  <c r="G724" i="1"/>
  <c r="B724" i="1"/>
  <c r="A724" i="1"/>
  <c r="J723" i="1"/>
  <c r="H723" i="1"/>
  <c r="G723" i="1"/>
  <c r="B723" i="1"/>
  <c r="A723" i="1"/>
  <c r="J722" i="1"/>
  <c r="H722" i="1"/>
  <c r="G722" i="1"/>
  <c r="B722" i="1"/>
  <c r="A722" i="1"/>
  <c r="J721" i="1"/>
  <c r="H721" i="1"/>
  <c r="G721" i="1"/>
  <c r="B721" i="1"/>
  <c r="A721" i="1"/>
  <c r="J720" i="1"/>
  <c r="H720" i="1"/>
  <c r="G720" i="1"/>
  <c r="B720" i="1"/>
  <c r="A720" i="1"/>
  <c r="J719" i="1"/>
  <c r="H719" i="1"/>
  <c r="G719" i="1"/>
  <c r="B719" i="1"/>
  <c r="A719" i="1"/>
  <c r="J718" i="1"/>
  <c r="H718" i="1"/>
  <c r="G718" i="1"/>
  <c r="B718" i="1"/>
  <c r="A718" i="1"/>
  <c r="J717" i="1"/>
  <c r="H717" i="1"/>
  <c r="G717" i="1"/>
  <c r="B717" i="1"/>
  <c r="A717" i="1"/>
  <c r="J716" i="1"/>
  <c r="H716" i="1"/>
  <c r="G716" i="1"/>
  <c r="B716" i="1"/>
  <c r="A716" i="1"/>
  <c r="J715" i="1"/>
  <c r="H715" i="1"/>
  <c r="G715" i="1"/>
  <c r="B715" i="1"/>
  <c r="A715" i="1"/>
  <c r="J714" i="1"/>
  <c r="H714" i="1"/>
  <c r="G714" i="1"/>
  <c r="B714" i="1"/>
  <c r="A714" i="1"/>
  <c r="J713" i="1"/>
  <c r="H713" i="1"/>
  <c r="G713" i="1"/>
  <c r="B713" i="1"/>
  <c r="A713" i="1"/>
  <c r="J712" i="1"/>
  <c r="H712" i="1"/>
  <c r="G712" i="1"/>
  <c r="B712" i="1"/>
  <c r="A712" i="1"/>
  <c r="J711" i="1"/>
  <c r="H711" i="1"/>
  <c r="G711" i="1"/>
  <c r="B711" i="1"/>
  <c r="A711" i="1"/>
  <c r="J710" i="1"/>
  <c r="H710" i="1"/>
  <c r="G710" i="1"/>
  <c r="B710" i="1"/>
  <c r="A710" i="1"/>
  <c r="J709" i="1"/>
  <c r="H709" i="1"/>
  <c r="G709" i="1"/>
  <c r="B709" i="1"/>
  <c r="A709" i="1"/>
  <c r="J708" i="1"/>
  <c r="H708" i="1"/>
  <c r="G708" i="1"/>
  <c r="B708" i="1"/>
  <c r="A708" i="1"/>
  <c r="J707" i="1"/>
  <c r="H707" i="1"/>
  <c r="G707" i="1"/>
  <c r="B707" i="1"/>
  <c r="A707" i="1"/>
  <c r="J706" i="1"/>
  <c r="H706" i="1"/>
  <c r="G706" i="1"/>
  <c r="B706" i="1"/>
  <c r="A706" i="1"/>
  <c r="J705" i="1"/>
  <c r="H705" i="1"/>
  <c r="G705" i="1"/>
  <c r="B705" i="1"/>
  <c r="A705" i="1"/>
  <c r="J704" i="1"/>
  <c r="H704" i="1"/>
  <c r="G704" i="1"/>
  <c r="B704" i="1"/>
  <c r="A704" i="1"/>
  <c r="J703" i="1"/>
  <c r="H703" i="1"/>
  <c r="G703" i="1"/>
  <c r="B703" i="1"/>
  <c r="A703" i="1"/>
  <c r="J702" i="1"/>
  <c r="H702" i="1"/>
  <c r="G702" i="1"/>
  <c r="B702" i="1"/>
  <c r="A702" i="1"/>
  <c r="J701" i="1"/>
  <c r="H701" i="1"/>
  <c r="G701" i="1"/>
  <c r="B701" i="1"/>
  <c r="A701" i="1"/>
  <c r="J700" i="1"/>
  <c r="H700" i="1"/>
  <c r="G700" i="1"/>
  <c r="B700" i="1"/>
  <c r="A700" i="1"/>
  <c r="J699" i="1"/>
  <c r="H699" i="1"/>
  <c r="G699" i="1"/>
  <c r="B699" i="1"/>
  <c r="A699" i="1"/>
  <c r="J698" i="1"/>
  <c r="H698" i="1"/>
  <c r="G698" i="1"/>
  <c r="B698" i="1"/>
  <c r="A698" i="1"/>
  <c r="J697" i="1"/>
  <c r="H697" i="1"/>
  <c r="G697" i="1"/>
  <c r="B697" i="1"/>
  <c r="A697" i="1"/>
  <c r="J696" i="1"/>
  <c r="H696" i="1"/>
  <c r="G696" i="1"/>
  <c r="B696" i="1"/>
  <c r="A696" i="1"/>
  <c r="J695" i="1"/>
  <c r="H695" i="1"/>
  <c r="G695" i="1"/>
  <c r="B695" i="1"/>
  <c r="A695" i="1"/>
  <c r="J694" i="1"/>
  <c r="H694" i="1"/>
  <c r="G694" i="1"/>
  <c r="B694" i="1"/>
  <c r="A694" i="1"/>
  <c r="J693" i="1"/>
  <c r="H693" i="1"/>
  <c r="G693" i="1"/>
  <c r="B693" i="1"/>
  <c r="A693" i="1"/>
  <c r="J692" i="1"/>
  <c r="H692" i="1"/>
  <c r="G692" i="1"/>
  <c r="B692" i="1"/>
  <c r="A692" i="1"/>
  <c r="J691" i="1"/>
  <c r="H691" i="1"/>
  <c r="G691" i="1"/>
  <c r="B691" i="1"/>
  <c r="A691" i="1"/>
  <c r="J690" i="1"/>
  <c r="H690" i="1"/>
  <c r="G690" i="1"/>
  <c r="B690" i="1"/>
  <c r="A690" i="1"/>
  <c r="J689" i="1"/>
  <c r="H689" i="1"/>
  <c r="G689" i="1"/>
  <c r="B689" i="1"/>
  <c r="A689" i="1"/>
  <c r="J688" i="1"/>
  <c r="H688" i="1"/>
  <c r="G688" i="1"/>
  <c r="B688" i="1"/>
  <c r="A688" i="1"/>
  <c r="J687" i="1"/>
  <c r="H687" i="1"/>
  <c r="G687" i="1"/>
  <c r="B687" i="1"/>
  <c r="A687" i="1"/>
  <c r="J686" i="1"/>
  <c r="H686" i="1"/>
  <c r="G686" i="1"/>
  <c r="B686" i="1"/>
  <c r="A686" i="1"/>
  <c r="J685" i="1"/>
  <c r="H685" i="1"/>
  <c r="G685" i="1"/>
  <c r="B685" i="1"/>
  <c r="A685" i="1"/>
  <c r="J684" i="1"/>
  <c r="H684" i="1"/>
  <c r="G684" i="1"/>
  <c r="B684" i="1"/>
  <c r="A684" i="1"/>
  <c r="J683" i="1"/>
  <c r="H683" i="1"/>
  <c r="G683" i="1"/>
  <c r="B683" i="1"/>
  <c r="A683" i="1"/>
  <c r="J682" i="1"/>
  <c r="H682" i="1"/>
  <c r="G682" i="1"/>
  <c r="B682" i="1"/>
  <c r="A682" i="1"/>
  <c r="J681" i="1"/>
  <c r="H681" i="1"/>
  <c r="G681" i="1"/>
  <c r="B681" i="1"/>
  <c r="A681" i="1"/>
  <c r="J680" i="1"/>
  <c r="H680" i="1"/>
  <c r="G680" i="1"/>
  <c r="B680" i="1"/>
  <c r="A680" i="1"/>
  <c r="J679" i="1"/>
  <c r="H679" i="1"/>
  <c r="G679" i="1"/>
  <c r="B679" i="1"/>
  <c r="A679" i="1"/>
  <c r="J678" i="1"/>
  <c r="H678" i="1"/>
  <c r="G678" i="1"/>
  <c r="B678" i="1"/>
  <c r="A678" i="1"/>
  <c r="J677" i="1"/>
  <c r="H677" i="1"/>
  <c r="G677" i="1"/>
  <c r="B677" i="1"/>
  <c r="A677" i="1"/>
  <c r="J676" i="1"/>
  <c r="H676" i="1"/>
  <c r="G676" i="1"/>
  <c r="B676" i="1"/>
  <c r="A676" i="1"/>
  <c r="J675" i="1"/>
  <c r="H675" i="1"/>
  <c r="G675" i="1"/>
  <c r="B675" i="1"/>
  <c r="A675" i="1"/>
  <c r="J674" i="1"/>
  <c r="H674" i="1"/>
  <c r="G674" i="1"/>
  <c r="B674" i="1"/>
  <c r="A674" i="1"/>
  <c r="J673" i="1"/>
  <c r="H673" i="1"/>
  <c r="G673" i="1"/>
  <c r="B673" i="1"/>
  <c r="A673" i="1"/>
  <c r="J672" i="1"/>
  <c r="H672" i="1"/>
  <c r="G672" i="1"/>
  <c r="B672" i="1"/>
  <c r="A672" i="1"/>
  <c r="J671" i="1"/>
  <c r="H671" i="1"/>
  <c r="G671" i="1"/>
  <c r="B671" i="1"/>
  <c r="A671" i="1"/>
  <c r="J670" i="1"/>
  <c r="H670" i="1"/>
  <c r="G670" i="1"/>
  <c r="B670" i="1"/>
  <c r="A670" i="1"/>
  <c r="J669" i="1"/>
  <c r="H669" i="1"/>
  <c r="G669" i="1"/>
  <c r="B669" i="1"/>
  <c r="A669" i="1"/>
  <c r="J668" i="1"/>
  <c r="H668" i="1"/>
  <c r="G668" i="1"/>
  <c r="B668" i="1"/>
  <c r="A668" i="1"/>
  <c r="J667" i="1"/>
  <c r="H667" i="1"/>
  <c r="G667" i="1"/>
  <c r="B667" i="1"/>
  <c r="A667" i="1"/>
  <c r="J666" i="1"/>
  <c r="H666" i="1"/>
  <c r="G666" i="1"/>
  <c r="B666" i="1"/>
  <c r="A666" i="1"/>
  <c r="J665" i="1"/>
  <c r="H665" i="1"/>
  <c r="G665" i="1"/>
  <c r="B665" i="1"/>
  <c r="A665" i="1"/>
  <c r="J664" i="1"/>
  <c r="H664" i="1"/>
  <c r="G664" i="1"/>
  <c r="B664" i="1"/>
  <c r="A664" i="1"/>
  <c r="J663" i="1"/>
  <c r="H663" i="1"/>
  <c r="G663" i="1"/>
  <c r="B663" i="1"/>
  <c r="A663" i="1"/>
  <c r="J662" i="1"/>
  <c r="H662" i="1"/>
  <c r="G662" i="1"/>
  <c r="B662" i="1"/>
  <c r="A662" i="1"/>
  <c r="J661" i="1"/>
  <c r="H661" i="1"/>
  <c r="G661" i="1"/>
  <c r="B661" i="1"/>
  <c r="A661" i="1"/>
  <c r="J660" i="1"/>
  <c r="H660" i="1"/>
  <c r="G660" i="1"/>
  <c r="B660" i="1"/>
  <c r="A660" i="1"/>
  <c r="J659" i="1"/>
  <c r="H659" i="1"/>
  <c r="G659" i="1"/>
  <c r="B659" i="1"/>
  <c r="A659" i="1"/>
  <c r="J658" i="1"/>
  <c r="H658" i="1"/>
  <c r="G658" i="1"/>
  <c r="B658" i="1"/>
  <c r="A658" i="1"/>
  <c r="J657" i="1"/>
  <c r="H657" i="1"/>
  <c r="G657" i="1"/>
  <c r="B657" i="1"/>
  <c r="A657" i="1"/>
  <c r="J656" i="1"/>
  <c r="H656" i="1"/>
  <c r="G656" i="1"/>
  <c r="B656" i="1"/>
  <c r="A656" i="1"/>
  <c r="J655" i="1"/>
  <c r="H655" i="1"/>
  <c r="G655" i="1"/>
  <c r="B655" i="1"/>
  <c r="A655" i="1"/>
  <c r="J654" i="1"/>
  <c r="H654" i="1"/>
  <c r="G654" i="1"/>
  <c r="B654" i="1"/>
  <c r="A654" i="1"/>
  <c r="J653" i="1"/>
  <c r="H653" i="1"/>
  <c r="G653" i="1"/>
  <c r="B653" i="1"/>
  <c r="A653" i="1"/>
  <c r="J652" i="1"/>
  <c r="H652" i="1"/>
  <c r="G652" i="1"/>
  <c r="B652" i="1"/>
  <c r="A652" i="1"/>
  <c r="J651" i="1"/>
  <c r="H651" i="1"/>
  <c r="G651" i="1"/>
  <c r="B651" i="1"/>
  <c r="A651" i="1"/>
  <c r="J650" i="1"/>
  <c r="H650" i="1"/>
  <c r="G650" i="1"/>
  <c r="B650" i="1"/>
  <c r="A650" i="1"/>
  <c r="J649" i="1"/>
  <c r="H649" i="1"/>
  <c r="G649" i="1"/>
  <c r="B649" i="1"/>
  <c r="A649" i="1"/>
  <c r="J648" i="1"/>
  <c r="H648" i="1"/>
  <c r="G648" i="1"/>
  <c r="B648" i="1"/>
  <c r="A648" i="1"/>
  <c r="J647" i="1"/>
  <c r="H647" i="1"/>
  <c r="G647" i="1"/>
  <c r="B647" i="1"/>
  <c r="A647" i="1"/>
  <c r="J646" i="1"/>
  <c r="H646" i="1"/>
  <c r="G646" i="1"/>
  <c r="B646" i="1"/>
  <c r="A646" i="1"/>
  <c r="J645" i="1"/>
  <c r="H645" i="1"/>
  <c r="G645" i="1"/>
  <c r="B645" i="1"/>
  <c r="A645" i="1"/>
  <c r="J644" i="1"/>
  <c r="H644" i="1"/>
  <c r="G644" i="1"/>
  <c r="B644" i="1"/>
  <c r="A644" i="1"/>
  <c r="J643" i="1"/>
  <c r="H643" i="1"/>
  <c r="G643" i="1"/>
  <c r="B643" i="1"/>
  <c r="A643" i="1"/>
  <c r="J642" i="1"/>
  <c r="H642" i="1"/>
  <c r="G642" i="1"/>
  <c r="B642" i="1"/>
  <c r="A642" i="1"/>
  <c r="J641" i="1"/>
  <c r="H641" i="1"/>
  <c r="G641" i="1"/>
  <c r="B641" i="1"/>
  <c r="A641" i="1"/>
  <c r="J640" i="1"/>
  <c r="H640" i="1"/>
  <c r="G640" i="1"/>
  <c r="B640" i="1"/>
  <c r="A640" i="1"/>
  <c r="J639" i="1"/>
  <c r="H639" i="1"/>
  <c r="G639" i="1"/>
  <c r="B639" i="1"/>
  <c r="A639" i="1"/>
  <c r="J638" i="1"/>
  <c r="H638" i="1"/>
  <c r="G638" i="1"/>
  <c r="B638" i="1"/>
  <c r="A638" i="1"/>
  <c r="J637" i="1"/>
  <c r="H637" i="1"/>
  <c r="G637" i="1"/>
  <c r="B637" i="1"/>
  <c r="A637" i="1"/>
  <c r="J636" i="1"/>
  <c r="H636" i="1"/>
  <c r="G636" i="1"/>
  <c r="B636" i="1"/>
  <c r="A636" i="1"/>
  <c r="J635" i="1"/>
  <c r="H635" i="1"/>
  <c r="G635" i="1"/>
  <c r="B635" i="1"/>
  <c r="A635" i="1"/>
  <c r="J634" i="1"/>
  <c r="H634" i="1"/>
  <c r="G634" i="1"/>
  <c r="B634" i="1"/>
  <c r="A634" i="1"/>
  <c r="J633" i="1"/>
  <c r="H633" i="1"/>
  <c r="G633" i="1"/>
  <c r="B633" i="1"/>
  <c r="A633" i="1"/>
  <c r="J632" i="1"/>
  <c r="H632" i="1"/>
  <c r="G632" i="1"/>
  <c r="B632" i="1"/>
  <c r="A632" i="1"/>
  <c r="J631" i="1"/>
  <c r="H631" i="1"/>
  <c r="G631" i="1"/>
  <c r="B631" i="1"/>
  <c r="A631" i="1"/>
  <c r="J630" i="1"/>
  <c r="H630" i="1"/>
  <c r="G630" i="1"/>
  <c r="B630" i="1"/>
  <c r="A630" i="1"/>
  <c r="J629" i="1"/>
  <c r="H629" i="1"/>
  <c r="G629" i="1"/>
  <c r="B629" i="1"/>
  <c r="A629" i="1"/>
  <c r="J628" i="1"/>
  <c r="H628" i="1"/>
  <c r="G628" i="1"/>
  <c r="B628" i="1"/>
  <c r="A628" i="1"/>
  <c r="J627" i="1"/>
  <c r="H627" i="1"/>
  <c r="G627" i="1"/>
  <c r="B627" i="1"/>
  <c r="A627" i="1"/>
  <c r="J626" i="1"/>
  <c r="H626" i="1"/>
  <c r="G626" i="1"/>
  <c r="B626" i="1"/>
  <c r="A626" i="1"/>
  <c r="J625" i="1"/>
  <c r="H625" i="1"/>
  <c r="G625" i="1"/>
  <c r="B625" i="1"/>
  <c r="A625" i="1"/>
  <c r="J624" i="1"/>
  <c r="H624" i="1"/>
  <c r="G624" i="1"/>
  <c r="B624" i="1"/>
  <c r="A624" i="1"/>
  <c r="J623" i="1"/>
  <c r="H623" i="1"/>
  <c r="G623" i="1"/>
  <c r="B623" i="1"/>
  <c r="A623" i="1"/>
  <c r="J622" i="1"/>
  <c r="H622" i="1"/>
  <c r="G622" i="1"/>
  <c r="B622" i="1"/>
  <c r="A622" i="1"/>
  <c r="J621" i="1"/>
  <c r="H621" i="1"/>
  <c r="G621" i="1"/>
  <c r="B621" i="1"/>
  <c r="A621" i="1"/>
  <c r="J620" i="1"/>
  <c r="H620" i="1"/>
  <c r="G620" i="1"/>
  <c r="B620" i="1"/>
  <c r="A620" i="1"/>
  <c r="J619" i="1"/>
  <c r="H619" i="1"/>
  <c r="G619" i="1"/>
  <c r="B619" i="1"/>
  <c r="A619" i="1"/>
  <c r="J618" i="1"/>
  <c r="H618" i="1"/>
  <c r="G618" i="1"/>
  <c r="B618" i="1"/>
  <c r="A618" i="1"/>
  <c r="J617" i="1"/>
  <c r="H617" i="1"/>
  <c r="G617" i="1"/>
  <c r="B617" i="1"/>
  <c r="A617" i="1"/>
  <c r="J616" i="1"/>
  <c r="H616" i="1"/>
  <c r="G616" i="1"/>
  <c r="B616" i="1"/>
  <c r="A616" i="1"/>
  <c r="J615" i="1"/>
  <c r="H615" i="1"/>
  <c r="G615" i="1"/>
  <c r="B615" i="1"/>
  <c r="A615" i="1"/>
  <c r="J614" i="1"/>
  <c r="H614" i="1"/>
  <c r="G614" i="1"/>
  <c r="B614" i="1"/>
  <c r="A614" i="1"/>
  <c r="J613" i="1"/>
  <c r="H613" i="1"/>
  <c r="G613" i="1"/>
  <c r="B613" i="1"/>
  <c r="A613" i="1"/>
  <c r="J612" i="1"/>
  <c r="H612" i="1"/>
  <c r="G612" i="1"/>
  <c r="B612" i="1"/>
  <c r="A612" i="1"/>
  <c r="J611" i="1"/>
  <c r="H611" i="1"/>
  <c r="G611" i="1"/>
  <c r="B611" i="1"/>
  <c r="A611" i="1"/>
  <c r="J610" i="1"/>
  <c r="H610" i="1"/>
  <c r="G610" i="1"/>
  <c r="B610" i="1"/>
  <c r="A610" i="1"/>
  <c r="J609" i="1"/>
  <c r="H609" i="1"/>
  <c r="G609" i="1"/>
  <c r="B609" i="1"/>
  <c r="A609" i="1"/>
  <c r="J608" i="1"/>
  <c r="H608" i="1"/>
  <c r="G608" i="1"/>
  <c r="B608" i="1"/>
  <c r="A608" i="1"/>
  <c r="J607" i="1"/>
  <c r="H607" i="1"/>
  <c r="G607" i="1"/>
  <c r="B607" i="1"/>
  <c r="A607" i="1"/>
  <c r="J606" i="1"/>
  <c r="H606" i="1"/>
  <c r="G606" i="1"/>
  <c r="B606" i="1"/>
  <c r="A606" i="1"/>
  <c r="J605" i="1"/>
  <c r="H605" i="1"/>
  <c r="G605" i="1"/>
  <c r="B605" i="1"/>
  <c r="A605" i="1"/>
  <c r="J604" i="1"/>
  <c r="H604" i="1"/>
  <c r="G604" i="1"/>
  <c r="B604" i="1"/>
  <c r="A604" i="1"/>
  <c r="J603" i="1"/>
  <c r="H603" i="1"/>
  <c r="G603" i="1"/>
  <c r="B603" i="1"/>
  <c r="A603" i="1"/>
  <c r="J602" i="1"/>
  <c r="H602" i="1"/>
  <c r="G602" i="1"/>
  <c r="B602" i="1"/>
  <c r="A602" i="1"/>
  <c r="J601" i="1"/>
  <c r="H601" i="1"/>
  <c r="G601" i="1"/>
  <c r="B601" i="1"/>
  <c r="A601" i="1"/>
  <c r="J600" i="1"/>
  <c r="H600" i="1"/>
  <c r="G600" i="1"/>
  <c r="B600" i="1"/>
  <c r="A600" i="1"/>
  <c r="J599" i="1"/>
  <c r="H599" i="1"/>
  <c r="G599" i="1"/>
  <c r="B599" i="1"/>
  <c r="A599" i="1"/>
  <c r="J598" i="1"/>
  <c r="H598" i="1"/>
  <c r="G598" i="1"/>
  <c r="B598" i="1"/>
  <c r="A598" i="1"/>
  <c r="J597" i="1"/>
  <c r="H597" i="1"/>
  <c r="G597" i="1"/>
  <c r="B597" i="1"/>
  <c r="A597" i="1"/>
  <c r="J596" i="1"/>
  <c r="H596" i="1"/>
  <c r="G596" i="1"/>
  <c r="B596" i="1"/>
  <c r="A596" i="1"/>
  <c r="J595" i="1"/>
  <c r="H595" i="1"/>
  <c r="G595" i="1"/>
  <c r="B595" i="1"/>
  <c r="A595" i="1"/>
  <c r="J594" i="1"/>
  <c r="H594" i="1"/>
  <c r="G594" i="1"/>
  <c r="B594" i="1"/>
  <c r="A594" i="1"/>
  <c r="J593" i="1"/>
  <c r="H593" i="1"/>
  <c r="G593" i="1"/>
  <c r="B593" i="1"/>
  <c r="A593" i="1"/>
  <c r="J592" i="1"/>
  <c r="H592" i="1"/>
  <c r="G592" i="1"/>
  <c r="B592" i="1"/>
  <c r="A592" i="1"/>
  <c r="J591" i="1"/>
  <c r="H591" i="1"/>
  <c r="G591" i="1"/>
  <c r="B591" i="1"/>
  <c r="A591" i="1"/>
  <c r="J590" i="1"/>
  <c r="H590" i="1"/>
  <c r="G590" i="1"/>
  <c r="B590" i="1"/>
  <c r="A590" i="1"/>
  <c r="J589" i="1"/>
  <c r="H589" i="1"/>
  <c r="G589" i="1"/>
  <c r="B589" i="1"/>
  <c r="A589" i="1"/>
  <c r="J588" i="1"/>
  <c r="H588" i="1"/>
  <c r="G588" i="1"/>
  <c r="B588" i="1"/>
  <c r="A588" i="1"/>
  <c r="J587" i="1"/>
  <c r="H587" i="1"/>
  <c r="G587" i="1"/>
  <c r="B587" i="1"/>
  <c r="A587" i="1"/>
  <c r="J586" i="1"/>
  <c r="H586" i="1"/>
  <c r="G586" i="1"/>
  <c r="B586" i="1"/>
  <c r="A586" i="1"/>
  <c r="J585" i="1"/>
  <c r="H585" i="1"/>
  <c r="G585" i="1"/>
  <c r="B585" i="1"/>
  <c r="A585" i="1"/>
  <c r="J584" i="1"/>
  <c r="H584" i="1"/>
  <c r="G584" i="1"/>
  <c r="B584" i="1"/>
  <c r="A584" i="1"/>
  <c r="J583" i="1"/>
  <c r="H583" i="1"/>
  <c r="G583" i="1"/>
  <c r="B583" i="1"/>
  <c r="A583" i="1"/>
  <c r="J582" i="1"/>
  <c r="H582" i="1"/>
  <c r="G582" i="1"/>
  <c r="B582" i="1"/>
  <c r="A582" i="1"/>
  <c r="J581" i="1"/>
  <c r="H581" i="1"/>
  <c r="G581" i="1"/>
  <c r="B581" i="1"/>
  <c r="A581" i="1"/>
  <c r="J580" i="1"/>
  <c r="H580" i="1"/>
  <c r="G580" i="1"/>
  <c r="B580" i="1"/>
  <c r="A580" i="1"/>
  <c r="J579" i="1"/>
  <c r="H579" i="1"/>
  <c r="G579" i="1"/>
  <c r="B579" i="1"/>
  <c r="A579" i="1"/>
  <c r="J578" i="1"/>
  <c r="H578" i="1"/>
  <c r="G578" i="1"/>
  <c r="B578" i="1"/>
  <c r="A578" i="1"/>
  <c r="J577" i="1"/>
  <c r="H577" i="1"/>
  <c r="G577" i="1"/>
  <c r="B577" i="1"/>
  <c r="A577" i="1"/>
  <c r="J576" i="1"/>
  <c r="H576" i="1"/>
  <c r="G576" i="1"/>
  <c r="B576" i="1"/>
  <c r="A576" i="1"/>
  <c r="J575" i="1"/>
  <c r="H575" i="1"/>
  <c r="G575" i="1"/>
  <c r="B575" i="1"/>
  <c r="A575" i="1"/>
  <c r="J574" i="1"/>
  <c r="H574" i="1"/>
  <c r="G574" i="1"/>
  <c r="B574" i="1"/>
  <c r="A574" i="1"/>
  <c r="J573" i="1"/>
  <c r="H573" i="1"/>
  <c r="G573" i="1"/>
  <c r="B573" i="1"/>
  <c r="A573" i="1"/>
  <c r="J572" i="1"/>
  <c r="H572" i="1"/>
  <c r="G572" i="1"/>
  <c r="B572" i="1"/>
  <c r="A572" i="1"/>
  <c r="J571" i="1"/>
  <c r="H571" i="1"/>
  <c r="G571" i="1"/>
  <c r="B571" i="1"/>
  <c r="A571" i="1"/>
  <c r="J570" i="1"/>
  <c r="H570" i="1"/>
  <c r="G570" i="1"/>
  <c r="B570" i="1"/>
  <c r="A570" i="1"/>
  <c r="J569" i="1"/>
  <c r="H569" i="1"/>
  <c r="G569" i="1"/>
  <c r="B569" i="1"/>
  <c r="A569" i="1"/>
  <c r="J568" i="1"/>
  <c r="H568" i="1"/>
  <c r="G568" i="1"/>
  <c r="B568" i="1"/>
  <c r="A568" i="1"/>
  <c r="J567" i="1"/>
  <c r="H567" i="1"/>
  <c r="G567" i="1"/>
  <c r="B567" i="1"/>
  <c r="A567" i="1"/>
  <c r="J566" i="1"/>
  <c r="H566" i="1"/>
  <c r="G566" i="1"/>
  <c r="B566" i="1"/>
  <c r="A566" i="1"/>
  <c r="J565" i="1"/>
  <c r="H565" i="1"/>
  <c r="G565" i="1"/>
  <c r="B565" i="1"/>
  <c r="A565" i="1"/>
  <c r="J564" i="1"/>
  <c r="H564" i="1"/>
  <c r="G564" i="1"/>
  <c r="B564" i="1"/>
  <c r="A564" i="1"/>
  <c r="J563" i="1"/>
  <c r="H563" i="1"/>
  <c r="G563" i="1"/>
  <c r="B563" i="1"/>
  <c r="A563" i="1"/>
  <c r="J562" i="1"/>
  <c r="H562" i="1"/>
  <c r="G562" i="1"/>
  <c r="B562" i="1"/>
  <c r="A562" i="1"/>
  <c r="J561" i="1"/>
  <c r="H561" i="1"/>
  <c r="G561" i="1"/>
  <c r="B561" i="1"/>
  <c r="A561" i="1"/>
  <c r="J560" i="1"/>
  <c r="H560" i="1"/>
  <c r="G560" i="1"/>
  <c r="B560" i="1"/>
  <c r="A560" i="1"/>
  <c r="J559" i="1"/>
  <c r="H559" i="1"/>
  <c r="G559" i="1"/>
  <c r="B559" i="1"/>
  <c r="A559" i="1"/>
  <c r="J558" i="1"/>
  <c r="H558" i="1"/>
  <c r="G558" i="1"/>
  <c r="B558" i="1"/>
  <c r="A558" i="1"/>
  <c r="J557" i="1"/>
  <c r="H557" i="1"/>
  <c r="G557" i="1"/>
  <c r="B557" i="1"/>
  <c r="A557" i="1"/>
  <c r="J556" i="1"/>
  <c r="H556" i="1"/>
  <c r="G556" i="1"/>
  <c r="B556" i="1"/>
  <c r="A556" i="1"/>
  <c r="J555" i="1"/>
  <c r="H555" i="1"/>
  <c r="G555" i="1"/>
  <c r="B555" i="1"/>
  <c r="A555" i="1"/>
  <c r="J554" i="1"/>
  <c r="H554" i="1"/>
  <c r="G554" i="1"/>
  <c r="B554" i="1"/>
  <c r="A554" i="1"/>
  <c r="J553" i="1"/>
  <c r="H553" i="1"/>
  <c r="G553" i="1"/>
  <c r="B553" i="1"/>
  <c r="A553" i="1"/>
  <c r="J552" i="1"/>
  <c r="H552" i="1"/>
  <c r="G552" i="1"/>
  <c r="B552" i="1"/>
  <c r="A552" i="1"/>
  <c r="J551" i="1"/>
  <c r="H551" i="1"/>
  <c r="G551" i="1"/>
  <c r="B551" i="1"/>
  <c r="A551" i="1"/>
  <c r="J550" i="1"/>
  <c r="H550" i="1"/>
  <c r="G550" i="1"/>
  <c r="B550" i="1"/>
  <c r="A550" i="1"/>
  <c r="J549" i="1"/>
  <c r="H549" i="1"/>
  <c r="G549" i="1"/>
  <c r="B549" i="1"/>
  <c r="A549" i="1"/>
  <c r="J548" i="1"/>
  <c r="H548" i="1"/>
  <c r="G548" i="1"/>
  <c r="B548" i="1"/>
  <c r="A548" i="1"/>
  <c r="J547" i="1"/>
  <c r="H547" i="1"/>
  <c r="G547" i="1"/>
  <c r="B547" i="1"/>
  <c r="A547" i="1"/>
  <c r="J546" i="1"/>
  <c r="H546" i="1"/>
  <c r="G546" i="1"/>
  <c r="B546" i="1"/>
  <c r="A546" i="1"/>
  <c r="J545" i="1"/>
  <c r="H545" i="1"/>
  <c r="G545" i="1"/>
  <c r="B545" i="1"/>
  <c r="A545" i="1"/>
  <c r="J544" i="1"/>
  <c r="H544" i="1"/>
  <c r="G544" i="1"/>
  <c r="B544" i="1"/>
  <c r="A544" i="1"/>
  <c r="J543" i="1"/>
  <c r="H543" i="1"/>
  <c r="G543" i="1"/>
  <c r="B543" i="1"/>
  <c r="A543" i="1"/>
  <c r="J542" i="1"/>
  <c r="H542" i="1"/>
  <c r="G542" i="1"/>
  <c r="B542" i="1"/>
  <c r="A542" i="1"/>
  <c r="J541" i="1"/>
  <c r="H541" i="1"/>
  <c r="G541" i="1"/>
  <c r="B541" i="1"/>
  <c r="A541" i="1"/>
  <c r="J540" i="1"/>
  <c r="H540" i="1"/>
  <c r="G540" i="1"/>
  <c r="B540" i="1"/>
  <c r="A540" i="1"/>
  <c r="J539" i="1"/>
  <c r="H539" i="1"/>
  <c r="G539" i="1"/>
  <c r="B539" i="1"/>
  <c r="A539" i="1"/>
  <c r="J538" i="1"/>
  <c r="H538" i="1"/>
  <c r="G538" i="1"/>
  <c r="B538" i="1"/>
  <c r="A538" i="1"/>
  <c r="J537" i="1"/>
  <c r="H537" i="1"/>
  <c r="G537" i="1"/>
  <c r="B537" i="1"/>
  <c r="A537" i="1"/>
  <c r="J536" i="1"/>
  <c r="H536" i="1"/>
  <c r="G536" i="1"/>
  <c r="B536" i="1"/>
  <c r="A536" i="1"/>
  <c r="J535" i="1"/>
  <c r="H535" i="1"/>
  <c r="G535" i="1"/>
  <c r="B535" i="1"/>
  <c r="A535" i="1"/>
  <c r="J534" i="1"/>
  <c r="H534" i="1"/>
  <c r="G534" i="1"/>
  <c r="B534" i="1"/>
  <c r="A534" i="1"/>
  <c r="J533" i="1"/>
  <c r="H533" i="1"/>
  <c r="G533" i="1"/>
  <c r="B533" i="1"/>
  <c r="A533" i="1"/>
  <c r="J532" i="1"/>
  <c r="H532" i="1"/>
  <c r="G532" i="1"/>
  <c r="B532" i="1"/>
  <c r="A532" i="1"/>
  <c r="H531" i="1"/>
  <c r="G531" i="1"/>
  <c r="B531" i="1"/>
  <c r="A531" i="1"/>
  <c r="H530" i="1"/>
  <c r="G530" i="1"/>
  <c r="B530" i="1"/>
  <c r="A530" i="1"/>
  <c r="H529" i="1"/>
  <c r="G529" i="1"/>
  <c r="B529" i="1"/>
  <c r="A529" i="1"/>
  <c r="J528" i="1"/>
  <c r="H528" i="1"/>
  <c r="G528" i="1"/>
  <c r="B528" i="1"/>
  <c r="A528" i="1"/>
  <c r="J527" i="1"/>
  <c r="H527" i="1"/>
  <c r="G527" i="1"/>
  <c r="B527" i="1"/>
  <c r="A527" i="1"/>
  <c r="J526" i="1"/>
  <c r="H526" i="1"/>
  <c r="G526" i="1"/>
  <c r="B526" i="1"/>
  <c r="A526" i="1"/>
  <c r="J525" i="1"/>
  <c r="H525" i="1"/>
  <c r="G525" i="1"/>
  <c r="B525" i="1"/>
  <c r="A525" i="1"/>
  <c r="J524" i="1"/>
  <c r="H524" i="1"/>
  <c r="G524" i="1"/>
  <c r="B524" i="1"/>
  <c r="A524" i="1"/>
  <c r="J523" i="1"/>
  <c r="H523" i="1"/>
  <c r="G523" i="1"/>
  <c r="B523" i="1"/>
  <c r="A523" i="1"/>
  <c r="J522" i="1"/>
  <c r="H522" i="1"/>
  <c r="G522" i="1"/>
  <c r="B522" i="1"/>
  <c r="A522" i="1"/>
  <c r="J521" i="1"/>
  <c r="H521" i="1"/>
  <c r="G521" i="1"/>
  <c r="B521" i="1"/>
  <c r="A521" i="1"/>
  <c r="J520" i="1"/>
  <c r="H520" i="1"/>
  <c r="G520" i="1"/>
  <c r="B520" i="1"/>
  <c r="A520" i="1"/>
  <c r="J519" i="1"/>
  <c r="H519" i="1"/>
  <c r="G519" i="1"/>
  <c r="B519" i="1"/>
  <c r="A519" i="1"/>
  <c r="J518" i="1"/>
  <c r="H518" i="1"/>
  <c r="G518" i="1"/>
  <c r="B518" i="1"/>
  <c r="A518" i="1"/>
  <c r="J517" i="1"/>
  <c r="H517" i="1"/>
  <c r="G517" i="1"/>
  <c r="B517" i="1"/>
  <c r="A517" i="1"/>
  <c r="J516" i="1"/>
  <c r="H516" i="1"/>
  <c r="G516" i="1"/>
  <c r="B516" i="1"/>
  <c r="A516" i="1"/>
  <c r="J515" i="1"/>
  <c r="H515" i="1"/>
  <c r="G515" i="1"/>
  <c r="B515" i="1"/>
  <c r="A515" i="1"/>
  <c r="J514" i="1"/>
  <c r="H514" i="1"/>
  <c r="G514" i="1"/>
  <c r="B514" i="1"/>
  <c r="A514" i="1"/>
  <c r="J513" i="1"/>
  <c r="H513" i="1"/>
  <c r="G513" i="1"/>
  <c r="B513" i="1"/>
  <c r="A513" i="1"/>
  <c r="J512" i="1"/>
  <c r="H512" i="1"/>
  <c r="G512" i="1"/>
  <c r="B512" i="1"/>
  <c r="A512" i="1"/>
  <c r="J511" i="1"/>
  <c r="H511" i="1"/>
  <c r="G511" i="1"/>
  <c r="B511" i="1"/>
  <c r="A511" i="1"/>
  <c r="J510" i="1"/>
  <c r="H510" i="1"/>
  <c r="G510" i="1"/>
  <c r="B510" i="1"/>
  <c r="A510" i="1"/>
  <c r="J509" i="1"/>
  <c r="H509" i="1"/>
  <c r="G509" i="1"/>
  <c r="B509" i="1"/>
  <c r="A509" i="1"/>
  <c r="J508" i="1"/>
  <c r="H508" i="1"/>
  <c r="G508" i="1"/>
  <c r="B508" i="1"/>
  <c r="A508" i="1"/>
  <c r="J507" i="1"/>
  <c r="H507" i="1"/>
  <c r="G507" i="1"/>
  <c r="B507" i="1"/>
  <c r="A507" i="1"/>
  <c r="J506" i="1"/>
  <c r="H506" i="1"/>
  <c r="G506" i="1"/>
  <c r="B506" i="1"/>
  <c r="A506" i="1"/>
  <c r="J505" i="1"/>
  <c r="H505" i="1"/>
  <c r="G505" i="1"/>
  <c r="B505" i="1"/>
  <c r="A505" i="1"/>
  <c r="J504" i="1"/>
  <c r="H504" i="1"/>
  <c r="G504" i="1"/>
  <c r="B504" i="1"/>
  <c r="A504" i="1"/>
  <c r="J503" i="1"/>
  <c r="H503" i="1"/>
  <c r="G503" i="1"/>
  <c r="B503" i="1"/>
  <c r="A503" i="1"/>
  <c r="J502" i="1"/>
  <c r="H502" i="1"/>
  <c r="G502" i="1"/>
  <c r="B502" i="1"/>
  <c r="A502" i="1"/>
  <c r="J501" i="1"/>
  <c r="H501" i="1"/>
  <c r="G501" i="1"/>
  <c r="B501" i="1"/>
  <c r="A501" i="1"/>
  <c r="J500" i="1"/>
  <c r="H500" i="1"/>
  <c r="G500" i="1"/>
  <c r="B500" i="1"/>
  <c r="A500" i="1"/>
  <c r="J499" i="1"/>
  <c r="H499" i="1"/>
  <c r="G499" i="1"/>
  <c r="B499" i="1"/>
  <c r="A499" i="1"/>
  <c r="J498" i="1"/>
  <c r="H498" i="1"/>
  <c r="G498" i="1"/>
  <c r="B498" i="1"/>
  <c r="A498" i="1"/>
  <c r="J497" i="1"/>
  <c r="H497" i="1"/>
  <c r="G497" i="1"/>
  <c r="B497" i="1"/>
  <c r="A497" i="1"/>
  <c r="J496" i="1"/>
  <c r="H496" i="1"/>
  <c r="G496" i="1"/>
  <c r="B496" i="1"/>
  <c r="A496" i="1"/>
  <c r="J495" i="1"/>
  <c r="H495" i="1"/>
  <c r="G495" i="1"/>
  <c r="B495" i="1"/>
  <c r="A495" i="1"/>
  <c r="J494" i="1"/>
  <c r="H494" i="1"/>
  <c r="G494" i="1"/>
  <c r="B494" i="1"/>
  <c r="A494" i="1"/>
  <c r="J493" i="1"/>
  <c r="H493" i="1"/>
  <c r="G493" i="1"/>
  <c r="B493" i="1"/>
  <c r="A493" i="1"/>
  <c r="J492" i="1"/>
  <c r="H492" i="1"/>
  <c r="G492" i="1"/>
  <c r="B492" i="1"/>
  <c r="A492" i="1"/>
  <c r="J491" i="1"/>
  <c r="H491" i="1"/>
  <c r="G491" i="1"/>
  <c r="B491" i="1"/>
  <c r="A491" i="1"/>
  <c r="J490" i="1"/>
  <c r="H490" i="1"/>
  <c r="G490" i="1"/>
  <c r="B490" i="1"/>
  <c r="A490" i="1"/>
  <c r="J489" i="1"/>
  <c r="H489" i="1"/>
  <c r="G489" i="1"/>
  <c r="B489" i="1"/>
  <c r="A489" i="1"/>
  <c r="J488" i="1"/>
  <c r="H488" i="1"/>
  <c r="G488" i="1"/>
  <c r="B488" i="1"/>
  <c r="A488" i="1"/>
  <c r="J487" i="1"/>
  <c r="H487" i="1"/>
  <c r="G487" i="1"/>
  <c r="B487" i="1"/>
  <c r="A487" i="1"/>
  <c r="J486" i="1"/>
  <c r="H486" i="1"/>
  <c r="G486" i="1"/>
  <c r="B486" i="1"/>
  <c r="A486" i="1"/>
  <c r="J485" i="1"/>
  <c r="H485" i="1"/>
  <c r="G485" i="1"/>
  <c r="B485" i="1"/>
  <c r="A485" i="1"/>
  <c r="J484" i="1"/>
  <c r="H484" i="1"/>
  <c r="G484" i="1"/>
  <c r="B484" i="1"/>
  <c r="A484" i="1"/>
  <c r="J483" i="1"/>
  <c r="H483" i="1"/>
  <c r="G483" i="1"/>
  <c r="B483" i="1"/>
  <c r="A483" i="1"/>
  <c r="J482" i="1"/>
  <c r="H482" i="1"/>
  <c r="G482" i="1"/>
  <c r="B482" i="1"/>
  <c r="A482" i="1"/>
  <c r="J481" i="1"/>
  <c r="H481" i="1"/>
  <c r="G481" i="1"/>
  <c r="B481" i="1"/>
  <c r="A481" i="1"/>
  <c r="J480" i="1"/>
  <c r="H480" i="1"/>
  <c r="G480" i="1"/>
  <c r="B480" i="1"/>
  <c r="A480" i="1"/>
  <c r="J479" i="1"/>
  <c r="H479" i="1"/>
  <c r="G479" i="1"/>
  <c r="B479" i="1"/>
  <c r="A479" i="1"/>
  <c r="J478" i="1"/>
  <c r="H478" i="1"/>
  <c r="G478" i="1"/>
  <c r="B478" i="1"/>
  <c r="A478" i="1"/>
  <c r="J477" i="1"/>
  <c r="H477" i="1"/>
  <c r="G477" i="1"/>
  <c r="B477" i="1"/>
  <c r="A477" i="1"/>
  <c r="J476" i="1"/>
  <c r="H476" i="1"/>
  <c r="G476" i="1"/>
  <c r="B476" i="1"/>
  <c r="A476" i="1"/>
  <c r="J475" i="1"/>
  <c r="H475" i="1"/>
  <c r="G475" i="1"/>
  <c r="B475" i="1"/>
  <c r="A475" i="1"/>
  <c r="J474" i="1"/>
  <c r="H474" i="1"/>
  <c r="G474" i="1"/>
  <c r="B474" i="1"/>
  <c r="A474" i="1"/>
  <c r="J473" i="1"/>
  <c r="H473" i="1"/>
  <c r="G473" i="1"/>
  <c r="B473" i="1"/>
  <c r="A473" i="1"/>
  <c r="J472" i="1"/>
  <c r="H472" i="1"/>
  <c r="G472" i="1"/>
  <c r="B472" i="1"/>
  <c r="A472" i="1"/>
  <c r="J471" i="1"/>
  <c r="H471" i="1"/>
  <c r="G471" i="1"/>
  <c r="B471" i="1"/>
  <c r="A471" i="1"/>
  <c r="J470" i="1"/>
  <c r="H470" i="1"/>
  <c r="G470" i="1"/>
  <c r="B470" i="1"/>
  <c r="A470" i="1"/>
  <c r="J469" i="1"/>
  <c r="H469" i="1"/>
  <c r="G469" i="1"/>
  <c r="B469" i="1"/>
  <c r="A469" i="1"/>
  <c r="J468" i="1"/>
  <c r="H468" i="1"/>
  <c r="G468" i="1"/>
  <c r="B468" i="1"/>
  <c r="A468" i="1"/>
  <c r="J467" i="1"/>
  <c r="H467" i="1"/>
  <c r="G467" i="1"/>
  <c r="B467" i="1"/>
  <c r="A467" i="1"/>
  <c r="J466" i="1"/>
  <c r="H466" i="1"/>
  <c r="G466" i="1"/>
  <c r="B466" i="1"/>
  <c r="A466" i="1"/>
  <c r="J465" i="1"/>
  <c r="H465" i="1"/>
  <c r="G465" i="1"/>
  <c r="B465" i="1"/>
  <c r="A465" i="1"/>
  <c r="J464" i="1"/>
  <c r="H464" i="1"/>
  <c r="G464" i="1"/>
  <c r="B464" i="1"/>
  <c r="A464" i="1"/>
  <c r="J463" i="1"/>
  <c r="H463" i="1"/>
  <c r="G463" i="1"/>
  <c r="B463" i="1"/>
  <c r="A463" i="1"/>
  <c r="J462" i="1"/>
  <c r="H462" i="1"/>
  <c r="G462" i="1"/>
  <c r="B462" i="1"/>
  <c r="A462" i="1"/>
  <c r="J461" i="1"/>
  <c r="H461" i="1"/>
  <c r="G461" i="1"/>
  <c r="B461" i="1"/>
  <c r="A461" i="1"/>
  <c r="J460" i="1"/>
  <c r="H460" i="1"/>
  <c r="G460" i="1"/>
  <c r="B460" i="1"/>
  <c r="A460" i="1"/>
  <c r="J459" i="1"/>
  <c r="H459" i="1"/>
  <c r="G459" i="1"/>
  <c r="B459" i="1"/>
  <c r="A459" i="1"/>
  <c r="J458" i="1"/>
  <c r="H458" i="1"/>
  <c r="G458" i="1"/>
  <c r="B458" i="1"/>
  <c r="A458" i="1"/>
  <c r="J457" i="1"/>
  <c r="H457" i="1"/>
  <c r="G457" i="1"/>
  <c r="B457" i="1"/>
  <c r="A457" i="1"/>
  <c r="J456" i="1"/>
  <c r="H456" i="1"/>
  <c r="G456" i="1"/>
  <c r="B456" i="1"/>
  <c r="A456" i="1"/>
  <c r="J455" i="1"/>
  <c r="H455" i="1"/>
  <c r="G455" i="1"/>
  <c r="B455" i="1"/>
  <c r="A455" i="1"/>
  <c r="J454" i="1"/>
  <c r="H454" i="1"/>
  <c r="G454" i="1"/>
  <c r="B454" i="1"/>
  <c r="A454" i="1"/>
  <c r="J453" i="1"/>
  <c r="H453" i="1"/>
  <c r="G453" i="1"/>
  <c r="B453" i="1"/>
  <c r="A453" i="1"/>
  <c r="J452" i="1"/>
  <c r="H452" i="1"/>
  <c r="G452" i="1"/>
  <c r="B452" i="1"/>
  <c r="A452" i="1"/>
  <c r="J451" i="1"/>
  <c r="H451" i="1"/>
  <c r="G451" i="1"/>
  <c r="B451" i="1"/>
  <c r="A451" i="1"/>
  <c r="J450" i="1"/>
  <c r="H450" i="1"/>
  <c r="G450" i="1"/>
  <c r="B450" i="1"/>
  <c r="A450" i="1"/>
  <c r="J449" i="1"/>
  <c r="H449" i="1"/>
  <c r="G449" i="1"/>
  <c r="B449" i="1"/>
  <c r="A449" i="1"/>
  <c r="J448" i="1"/>
  <c r="H448" i="1"/>
  <c r="G448" i="1"/>
  <c r="B448" i="1"/>
  <c r="A448" i="1"/>
  <c r="J447" i="1"/>
  <c r="H447" i="1"/>
  <c r="G447" i="1"/>
  <c r="B447" i="1"/>
  <c r="A447" i="1"/>
  <c r="J446" i="1"/>
  <c r="H446" i="1"/>
  <c r="G446" i="1"/>
  <c r="B446" i="1"/>
  <c r="A446" i="1"/>
  <c r="J445" i="1"/>
  <c r="H445" i="1"/>
  <c r="G445" i="1"/>
  <c r="B445" i="1"/>
  <c r="A445" i="1"/>
  <c r="J444" i="1"/>
  <c r="H444" i="1"/>
  <c r="G444" i="1"/>
  <c r="B444" i="1"/>
  <c r="A444" i="1"/>
  <c r="J443" i="1"/>
  <c r="H443" i="1"/>
  <c r="G443" i="1"/>
  <c r="B443" i="1"/>
  <c r="A443" i="1"/>
  <c r="J442" i="1"/>
  <c r="H442" i="1"/>
  <c r="G442" i="1"/>
  <c r="B442" i="1"/>
  <c r="A442" i="1"/>
  <c r="J441" i="1"/>
  <c r="H441" i="1"/>
  <c r="G441" i="1"/>
  <c r="B441" i="1"/>
  <c r="A441" i="1"/>
  <c r="J440" i="1"/>
  <c r="H440" i="1"/>
  <c r="G440" i="1"/>
  <c r="B440" i="1"/>
  <c r="A440" i="1"/>
  <c r="J439" i="1"/>
  <c r="H439" i="1"/>
  <c r="G439" i="1"/>
  <c r="B439" i="1"/>
  <c r="A439" i="1"/>
  <c r="J438" i="1"/>
  <c r="H438" i="1"/>
  <c r="G438" i="1"/>
  <c r="B438" i="1"/>
  <c r="A438" i="1"/>
  <c r="J437" i="1"/>
  <c r="H437" i="1"/>
  <c r="G437" i="1"/>
  <c r="B437" i="1"/>
  <c r="A437" i="1"/>
  <c r="H436" i="1"/>
  <c r="G436" i="1"/>
  <c r="B436" i="1"/>
  <c r="A436" i="1"/>
  <c r="H435" i="1"/>
  <c r="G435" i="1"/>
  <c r="B435" i="1"/>
  <c r="A435" i="1"/>
  <c r="H434" i="1"/>
  <c r="G434" i="1"/>
  <c r="B434" i="1"/>
  <c r="A434" i="1"/>
  <c r="H433" i="1"/>
  <c r="G433" i="1"/>
  <c r="B433" i="1"/>
  <c r="A433" i="1"/>
  <c r="H432" i="1"/>
  <c r="G432" i="1"/>
  <c r="B432" i="1"/>
  <c r="A432" i="1"/>
  <c r="J431" i="1"/>
  <c r="H431" i="1"/>
  <c r="G431" i="1"/>
  <c r="B431" i="1"/>
  <c r="A431" i="1"/>
  <c r="J430" i="1"/>
  <c r="H430" i="1"/>
  <c r="G430" i="1"/>
  <c r="B430" i="1"/>
  <c r="A430" i="1"/>
  <c r="J429" i="1"/>
  <c r="H429" i="1"/>
  <c r="G429" i="1"/>
  <c r="B429" i="1"/>
  <c r="A429" i="1"/>
  <c r="J428" i="1"/>
  <c r="H428" i="1"/>
  <c r="G428" i="1"/>
  <c r="B428" i="1"/>
  <c r="A428" i="1"/>
  <c r="J427" i="1"/>
  <c r="H427" i="1"/>
  <c r="G427" i="1"/>
  <c r="B427" i="1"/>
  <c r="A427" i="1"/>
  <c r="J426" i="1"/>
  <c r="H426" i="1"/>
  <c r="G426" i="1"/>
  <c r="B426" i="1"/>
  <c r="A426" i="1"/>
  <c r="J425" i="1"/>
  <c r="H425" i="1"/>
  <c r="G425" i="1"/>
  <c r="B425" i="1"/>
  <c r="A425" i="1"/>
  <c r="J424" i="1"/>
  <c r="H424" i="1"/>
  <c r="G424" i="1"/>
  <c r="B424" i="1"/>
  <c r="A424" i="1"/>
  <c r="J423" i="1"/>
  <c r="H423" i="1"/>
  <c r="G423" i="1"/>
  <c r="B423" i="1"/>
  <c r="A423" i="1"/>
  <c r="J422" i="1"/>
  <c r="H422" i="1"/>
  <c r="G422" i="1"/>
  <c r="B422" i="1"/>
  <c r="A422" i="1"/>
  <c r="J421" i="1"/>
  <c r="H421" i="1"/>
  <c r="G421" i="1"/>
  <c r="B421" i="1"/>
  <c r="A421" i="1"/>
  <c r="J420" i="1"/>
  <c r="H420" i="1"/>
  <c r="G420" i="1"/>
  <c r="B420" i="1"/>
  <c r="A420" i="1"/>
  <c r="J419" i="1"/>
  <c r="H419" i="1"/>
  <c r="G419" i="1"/>
  <c r="B419" i="1"/>
  <c r="A419" i="1"/>
  <c r="J418" i="1"/>
  <c r="H418" i="1"/>
  <c r="G418" i="1"/>
  <c r="B418" i="1"/>
  <c r="A418" i="1"/>
  <c r="J417" i="1"/>
  <c r="H417" i="1"/>
  <c r="G417" i="1"/>
  <c r="B417" i="1"/>
  <c r="A417" i="1"/>
  <c r="J416" i="1"/>
  <c r="H416" i="1"/>
  <c r="G416" i="1"/>
  <c r="B416" i="1"/>
  <c r="A416" i="1"/>
  <c r="J415" i="1"/>
  <c r="H415" i="1"/>
  <c r="G415" i="1"/>
  <c r="B415" i="1"/>
  <c r="A415" i="1"/>
  <c r="J414" i="1"/>
  <c r="H414" i="1"/>
  <c r="G414" i="1"/>
  <c r="B414" i="1"/>
  <c r="A414" i="1"/>
  <c r="J413" i="1"/>
  <c r="H413" i="1"/>
  <c r="G413" i="1"/>
  <c r="B413" i="1"/>
  <c r="A413" i="1"/>
  <c r="J412" i="1"/>
  <c r="H412" i="1"/>
  <c r="G412" i="1"/>
  <c r="B412" i="1"/>
  <c r="A412" i="1"/>
  <c r="J411" i="1"/>
  <c r="H411" i="1"/>
  <c r="G411" i="1"/>
  <c r="B411" i="1"/>
  <c r="A411" i="1"/>
  <c r="J410" i="1"/>
  <c r="H410" i="1"/>
  <c r="G410" i="1"/>
  <c r="B410" i="1"/>
  <c r="A410" i="1"/>
  <c r="J409" i="1"/>
  <c r="H409" i="1"/>
  <c r="G409" i="1"/>
  <c r="B409" i="1"/>
  <c r="A409" i="1"/>
  <c r="J408" i="1"/>
  <c r="H408" i="1"/>
  <c r="G408" i="1"/>
  <c r="B408" i="1"/>
  <c r="A408" i="1"/>
  <c r="J407" i="1"/>
  <c r="H407" i="1"/>
  <c r="G407" i="1"/>
  <c r="B407" i="1"/>
  <c r="A407" i="1"/>
  <c r="J406" i="1"/>
  <c r="H406" i="1"/>
  <c r="G406" i="1"/>
  <c r="B406" i="1"/>
  <c r="A406" i="1"/>
  <c r="J405" i="1"/>
  <c r="H405" i="1"/>
  <c r="G405" i="1"/>
  <c r="B405" i="1"/>
  <c r="A405" i="1"/>
  <c r="J404" i="1"/>
  <c r="H404" i="1"/>
  <c r="G404" i="1"/>
  <c r="B404" i="1"/>
  <c r="A404" i="1"/>
  <c r="J403" i="1"/>
  <c r="H403" i="1"/>
  <c r="G403" i="1"/>
  <c r="B403" i="1"/>
  <c r="A403" i="1"/>
  <c r="H402" i="1"/>
  <c r="G402" i="1"/>
  <c r="B402" i="1"/>
  <c r="A402" i="1"/>
  <c r="H401" i="1"/>
  <c r="G401" i="1"/>
  <c r="B401" i="1"/>
  <c r="A401" i="1"/>
  <c r="J400" i="1"/>
  <c r="H400" i="1"/>
  <c r="G400" i="1"/>
  <c r="B400" i="1"/>
  <c r="A400" i="1"/>
  <c r="J399" i="1"/>
  <c r="H399" i="1"/>
  <c r="G399" i="1"/>
  <c r="B399" i="1"/>
  <c r="A399" i="1"/>
  <c r="J398" i="1"/>
  <c r="H398" i="1"/>
  <c r="G398" i="1"/>
  <c r="B398" i="1"/>
  <c r="A398" i="1"/>
  <c r="J397" i="1"/>
  <c r="H397" i="1"/>
  <c r="G397" i="1"/>
  <c r="B397" i="1"/>
  <c r="A397" i="1"/>
  <c r="J396" i="1"/>
  <c r="H396" i="1"/>
  <c r="G396" i="1"/>
  <c r="B396" i="1"/>
  <c r="A396" i="1"/>
  <c r="J395" i="1"/>
  <c r="H395" i="1"/>
  <c r="G395" i="1"/>
  <c r="B395" i="1"/>
  <c r="A395" i="1"/>
  <c r="J394" i="1"/>
  <c r="H394" i="1"/>
  <c r="G394" i="1"/>
  <c r="B394" i="1"/>
  <c r="A394" i="1"/>
  <c r="J393" i="1"/>
  <c r="H393" i="1"/>
  <c r="G393" i="1"/>
  <c r="B393" i="1"/>
  <c r="A393" i="1"/>
  <c r="J392" i="1"/>
  <c r="H392" i="1"/>
  <c r="G392" i="1"/>
  <c r="B392" i="1"/>
  <c r="A392" i="1"/>
  <c r="J391" i="1"/>
  <c r="H391" i="1"/>
  <c r="G391" i="1"/>
  <c r="B391" i="1"/>
  <c r="A391" i="1"/>
  <c r="J390" i="1"/>
  <c r="H390" i="1"/>
  <c r="G390" i="1"/>
  <c r="B390" i="1"/>
  <c r="A390" i="1"/>
  <c r="J389" i="1"/>
  <c r="H389" i="1"/>
  <c r="G389" i="1"/>
  <c r="B389" i="1"/>
  <c r="A389" i="1"/>
  <c r="J388" i="1"/>
  <c r="H388" i="1"/>
  <c r="G388" i="1"/>
  <c r="B388" i="1"/>
  <c r="A388" i="1"/>
  <c r="J387" i="1"/>
  <c r="H387" i="1"/>
  <c r="G387" i="1"/>
  <c r="B387" i="1"/>
  <c r="A387" i="1"/>
  <c r="J386" i="1"/>
  <c r="H386" i="1"/>
  <c r="G386" i="1"/>
  <c r="B386" i="1"/>
  <c r="A386" i="1"/>
  <c r="J385" i="1"/>
  <c r="H385" i="1"/>
  <c r="G385" i="1"/>
  <c r="B385" i="1"/>
  <c r="A385" i="1"/>
  <c r="J384" i="1"/>
  <c r="H384" i="1"/>
  <c r="G384" i="1"/>
  <c r="B384" i="1"/>
  <c r="A384" i="1"/>
  <c r="J383" i="1"/>
  <c r="H383" i="1"/>
  <c r="G383" i="1"/>
  <c r="B383" i="1"/>
  <c r="A383" i="1"/>
  <c r="J382" i="1"/>
  <c r="H382" i="1"/>
  <c r="G382" i="1"/>
  <c r="B382" i="1"/>
  <c r="A382" i="1"/>
  <c r="J381" i="1"/>
  <c r="H381" i="1"/>
  <c r="G381" i="1"/>
  <c r="B381" i="1"/>
  <c r="A381" i="1"/>
  <c r="J380" i="1"/>
  <c r="H380" i="1"/>
  <c r="G380" i="1"/>
  <c r="B380" i="1"/>
  <c r="A380" i="1"/>
  <c r="J379" i="1"/>
  <c r="H379" i="1"/>
  <c r="G379" i="1"/>
  <c r="B379" i="1"/>
  <c r="A379" i="1"/>
  <c r="J378" i="1"/>
  <c r="H378" i="1"/>
  <c r="G378" i="1"/>
  <c r="B378" i="1"/>
  <c r="A378" i="1"/>
  <c r="J377" i="1"/>
  <c r="H377" i="1"/>
  <c r="G377" i="1"/>
  <c r="B377" i="1"/>
  <c r="A377" i="1"/>
  <c r="J376" i="1"/>
  <c r="H376" i="1"/>
  <c r="G376" i="1"/>
  <c r="B376" i="1"/>
  <c r="A376" i="1"/>
  <c r="J375" i="1"/>
  <c r="H375" i="1"/>
  <c r="G375" i="1"/>
  <c r="B375" i="1"/>
  <c r="A375" i="1"/>
  <c r="J374" i="1"/>
  <c r="H374" i="1"/>
  <c r="G374" i="1"/>
  <c r="B374" i="1"/>
  <c r="A374" i="1"/>
  <c r="J373" i="1"/>
  <c r="H373" i="1"/>
  <c r="G373" i="1"/>
  <c r="B373" i="1"/>
  <c r="A373" i="1"/>
  <c r="J372" i="1"/>
  <c r="H372" i="1"/>
  <c r="G372" i="1"/>
  <c r="B372" i="1"/>
  <c r="A372" i="1"/>
  <c r="J371" i="1"/>
  <c r="H371" i="1"/>
  <c r="G371" i="1"/>
  <c r="B371" i="1"/>
  <c r="A371" i="1"/>
  <c r="J370" i="1"/>
  <c r="H370" i="1"/>
  <c r="G370" i="1"/>
  <c r="B370" i="1"/>
  <c r="A370" i="1"/>
  <c r="J369" i="1"/>
  <c r="H369" i="1"/>
  <c r="G369" i="1"/>
  <c r="B369" i="1"/>
  <c r="A369" i="1"/>
  <c r="J368" i="1"/>
  <c r="H368" i="1"/>
  <c r="G368" i="1"/>
  <c r="B368" i="1"/>
  <c r="A368" i="1"/>
  <c r="J367" i="1"/>
  <c r="H367" i="1"/>
  <c r="G367" i="1"/>
  <c r="B367" i="1"/>
  <c r="A367" i="1"/>
  <c r="J366" i="1"/>
  <c r="H366" i="1"/>
  <c r="G366" i="1"/>
  <c r="B366" i="1"/>
  <c r="A366" i="1"/>
  <c r="J365" i="1"/>
  <c r="H365" i="1"/>
  <c r="G365" i="1"/>
  <c r="B365" i="1"/>
  <c r="A365" i="1"/>
  <c r="J364" i="1"/>
  <c r="H364" i="1"/>
  <c r="G364" i="1"/>
  <c r="B364" i="1"/>
  <c r="A364" i="1"/>
  <c r="J363" i="1"/>
  <c r="H363" i="1"/>
  <c r="G363" i="1"/>
  <c r="B363" i="1"/>
  <c r="A363" i="1"/>
  <c r="J362" i="1"/>
  <c r="H362" i="1"/>
  <c r="G362" i="1"/>
  <c r="B362" i="1"/>
  <c r="A362" i="1"/>
  <c r="J361" i="1"/>
  <c r="H361" i="1"/>
  <c r="G361" i="1"/>
  <c r="B361" i="1"/>
  <c r="A361" i="1"/>
  <c r="J360" i="1"/>
  <c r="H360" i="1"/>
  <c r="G360" i="1"/>
  <c r="B360" i="1"/>
  <c r="A360" i="1"/>
  <c r="J359" i="1"/>
  <c r="H359" i="1"/>
  <c r="G359" i="1"/>
  <c r="B359" i="1"/>
  <c r="A359" i="1"/>
  <c r="J358" i="1"/>
  <c r="H358" i="1"/>
  <c r="G358" i="1"/>
  <c r="B358" i="1"/>
  <c r="A358" i="1"/>
  <c r="J357" i="1"/>
  <c r="H357" i="1"/>
  <c r="G357" i="1"/>
  <c r="B357" i="1"/>
  <c r="A357" i="1"/>
  <c r="J356" i="1"/>
  <c r="H356" i="1"/>
  <c r="G356" i="1"/>
  <c r="B356" i="1"/>
  <c r="A356" i="1"/>
  <c r="J355" i="1"/>
  <c r="H355" i="1"/>
  <c r="G355" i="1"/>
  <c r="B355" i="1"/>
  <c r="A355" i="1"/>
  <c r="J354" i="1"/>
  <c r="H354" i="1"/>
  <c r="G354" i="1"/>
  <c r="B354" i="1"/>
  <c r="A354" i="1"/>
  <c r="J353" i="1"/>
  <c r="H353" i="1"/>
  <c r="G353" i="1"/>
  <c r="B353" i="1"/>
  <c r="A353" i="1"/>
  <c r="J352" i="1"/>
  <c r="H352" i="1"/>
  <c r="G352" i="1"/>
  <c r="B352" i="1"/>
  <c r="A352" i="1"/>
  <c r="J351" i="1"/>
  <c r="H351" i="1"/>
  <c r="G351" i="1"/>
  <c r="B351" i="1"/>
  <c r="A351" i="1"/>
  <c r="J350" i="1"/>
  <c r="H350" i="1"/>
  <c r="G350" i="1"/>
  <c r="B350" i="1"/>
  <c r="A350" i="1"/>
  <c r="J349" i="1"/>
  <c r="H349" i="1"/>
  <c r="G349" i="1"/>
  <c r="B349" i="1"/>
  <c r="A349" i="1"/>
  <c r="J348" i="1"/>
  <c r="H348" i="1"/>
  <c r="G348" i="1"/>
  <c r="B348" i="1"/>
  <c r="A348" i="1"/>
  <c r="J347" i="1"/>
  <c r="H347" i="1"/>
  <c r="G347" i="1"/>
  <c r="B347" i="1"/>
  <c r="A347" i="1"/>
  <c r="J346" i="1"/>
  <c r="H346" i="1"/>
  <c r="G346" i="1"/>
  <c r="B346" i="1"/>
  <c r="A346" i="1"/>
  <c r="J345" i="1"/>
  <c r="H345" i="1"/>
  <c r="G345" i="1"/>
  <c r="B345" i="1"/>
  <c r="A345" i="1"/>
  <c r="J344" i="1"/>
  <c r="H344" i="1"/>
  <c r="G344" i="1"/>
  <c r="B344" i="1"/>
  <c r="A344" i="1"/>
  <c r="J343" i="1"/>
  <c r="H343" i="1"/>
  <c r="G343" i="1"/>
  <c r="B343" i="1"/>
  <c r="A343" i="1"/>
  <c r="J342" i="1"/>
  <c r="H342" i="1"/>
  <c r="G342" i="1"/>
  <c r="B342" i="1"/>
  <c r="A342" i="1"/>
  <c r="J341" i="1"/>
  <c r="H341" i="1"/>
  <c r="G341" i="1"/>
  <c r="B341" i="1"/>
  <c r="A341" i="1"/>
  <c r="J340" i="1"/>
  <c r="H340" i="1"/>
  <c r="G340" i="1"/>
  <c r="B340" i="1"/>
  <c r="A340" i="1"/>
  <c r="J339" i="1"/>
  <c r="H339" i="1"/>
  <c r="G339" i="1"/>
  <c r="B339" i="1"/>
  <c r="A339" i="1"/>
  <c r="J338" i="1"/>
  <c r="H338" i="1"/>
  <c r="G338" i="1"/>
  <c r="B338" i="1"/>
  <c r="A338" i="1"/>
  <c r="J337" i="1"/>
  <c r="H337" i="1"/>
  <c r="G337" i="1"/>
  <c r="B337" i="1"/>
  <c r="A337" i="1"/>
  <c r="J336" i="1"/>
  <c r="H336" i="1"/>
  <c r="G336" i="1"/>
  <c r="B336" i="1"/>
  <c r="A336" i="1"/>
  <c r="J335" i="1"/>
  <c r="H335" i="1"/>
  <c r="G335" i="1"/>
  <c r="B335" i="1"/>
  <c r="A335" i="1"/>
  <c r="J334" i="1"/>
  <c r="H334" i="1"/>
  <c r="G334" i="1"/>
  <c r="B334" i="1"/>
  <c r="A334" i="1"/>
  <c r="J333" i="1"/>
  <c r="H333" i="1"/>
  <c r="G333" i="1"/>
  <c r="B333" i="1"/>
  <c r="A333" i="1"/>
  <c r="J332" i="1"/>
  <c r="H332" i="1"/>
  <c r="G332" i="1"/>
  <c r="B332" i="1"/>
  <c r="A332" i="1"/>
  <c r="J331" i="1"/>
  <c r="H331" i="1"/>
  <c r="G331" i="1"/>
  <c r="B331" i="1"/>
  <c r="A331" i="1"/>
  <c r="J330" i="1"/>
  <c r="H330" i="1"/>
  <c r="G330" i="1"/>
  <c r="B330" i="1"/>
  <c r="A330" i="1"/>
  <c r="J329" i="1"/>
  <c r="H329" i="1"/>
  <c r="G329" i="1"/>
  <c r="B329" i="1"/>
  <c r="A329" i="1"/>
  <c r="J328" i="1"/>
  <c r="H328" i="1"/>
  <c r="G328" i="1"/>
  <c r="B328" i="1"/>
  <c r="A328" i="1"/>
  <c r="J327" i="1"/>
  <c r="H327" i="1"/>
  <c r="G327" i="1"/>
  <c r="B327" i="1"/>
  <c r="A327" i="1"/>
  <c r="J326" i="1"/>
  <c r="H326" i="1"/>
  <c r="G326" i="1"/>
  <c r="B326" i="1"/>
  <c r="A326" i="1"/>
  <c r="J325" i="1"/>
  <c r="H325" i="1"/>
  <c r="G325" i="1"/>
  <c r="B325" i="1"/>
  <c r="A325" i="1"/>
  <c r="J324" i="1"/>
  <c r="H324" i="1"/>
  <c r="G324" i="1"/>
  <c r="B324" i="1"/>
  <c r="A324" i="1"/>
  <c r="J323" i="1"/>
  <c r="H323" i="1"/>
  <c r="G323" i="1"/>
  <c r="B323" i="1"/>
  <c r="A323" i="1"/>
  <c r="J322" i="1"/>
  <c r="H322" i="1"/>
  <c r="G322" i="1"/>
  <c r="B322" i="1"/>
  <c r="A322" i="1"/>
  <c r="J321" i="1"/>
  <c r="H321" i="1"/>
  <c r="G321" i="1"/>
  <c r="B321" i="1"/>
  <c r="A321" i="1"/>
  <c r="J320" i="1"/>
  <c r="H320" i="1"/>
  <c r="G320" i="1"/>
  <c r="B320" i="1"/>
  <c r="A320" i="1"/>
  <c r="J319" i="1"/>
  <c r="H319" i="1"/>
  <c r="G319" i="1"/>
  <c r="B319" i="1"/>
  <c r="A319" i="1"/>
  <c r="J318" i="1"/>
  <c r="H318" i="1"/>
  <c r="G318" i="1"/>
  <c r="B318" i="1"/>
  <c r="A318" i="1"/>
  <c r="J317" i="1"/>
  <c r="H317" i="1"/>
  <c r="G317" i="1"/>
  <c r="B317" i="1"/>
  <c r="A317" i="1"/>
  <c r="J316" i="1"/>
  <c r="H316" i="1"/>
  <c r="G316" i="1"/>
  <c r="B316" i="1"/>
  <c r="A316" i="1"/>
  <c r="J315" i="1"/>
  <c r="H315" i="1"/>
  <c r="G315" i="1"/>
  <c r="B315" i="1"/>
  <c r="A315" i="1"/>
  <c r="J314" i="1"/>
  <c r="H314" i="1"/>
  <c r="G314" i="1"/>
  <c r="B314" i="1"/>
  <c r="A314" i="1"/>
  <c r="J313" i="1"/>
  <c r="H313" i="1"/>
  <c r="G313" i="1"/>
  <c r="B313" i="1"/>
  <c r="A313" i="1"/>
  <c r="J312" i="1"/>
  <c r="H312" i="1"/>
  <c r="G312" i="1"/>
  <c r="B312" i="1"/>
  <c r="A312" i="1"/>
  <c r="J311" i="1"/>
  <c r="H311" i="1"/>
  <c r="G311" i="1"/>
  <c r="B311" i="1"/>
  <c r="A311" i="1"/>
  <c r="J310" i="1"/>
  <c r="H310" i="1"/>
  <c r="G310" i="1"/>
  <c r="B310" i="1"/>
  <c r="A310" i="1"/>
  <c r="J309" i="1"/>
  <c r="H309" i="1"/>
  <c r="G309" i="1"/>
  <c r="B309" i="1"/>
  <c r="A309" i="1"/>
  <c r="J308" i="1"/>
  <c r="H308" i="1"/>
  <c r="G308" i="1"/>
  <c r="B308" i="1"/>
  <c r="A308" i="1"/>
  <c r="J307" i="1"/>
  <c r="H307" i="1"/>
  <c r="G307" i="1"/>
  <c r="B307" i="1"/>
  <c r="A307" i="1"/>
  <c r="J306" i="1"/>
  <c r="H306" i="1"/>
  <c r="G306" i="1"/>
  <c r="B306" i="1"/>
  <c r="A306" i="1"/>
  <c r="J305" i="1"/>
  <c r="H305" i="1"/>
  <c r="G305" i="1"/>
  <c r="B305" i="1"/>
  <c r="A305" i="1"/>
  <c r="J304" i="1"/>
  <c r="H304" i="1"/>
  <c r="G304" i="1"/>
  <c r="B304" i="1"/>
  <c r="A304" i="1"/>
  <c r="J303" i="1"/>
  <c r="H303" i="1"/>
  <c r="G303" i="1"/>
  <c r="B303" i="1"/>
  <c r="A303" i="1"/>
  <c r="J302" i="1"/>
  <c r="H302" i="1"/>
  <c r="G302" i="1"/>
  <c r="B302" i="1"/>
  <c r="A302" i="1"/>
  <c r="J301" i="1"/>
  <c r="H301" i="1"/>
  <c r="G301" i="1"/>
  <c r="B301" i="1"/>
  <c r="A301" i="1"/>
  <c r="J300" i="1"/>
  <c r="H300" i="1"/>
  <c r="G300" i="1"/>
  <c r="B300" i="1"/>
  <c r="A300" i="1"/>
  <c r="J299" i="1"/>
  <c r="H299" i="1"/>
  <c r="G299" i="1"/>
  <c r="B299" i="1"/>
  <c r="A299" i="1"/>
  <c r="J298" i="1"/>
  <c r="H298" i="1"/>
  <c r="G298" i="1"/>
  <c r="B298" i="1"/>
  <c r="A298" i="1"/>
  <c r="J297" i="1"/>
  <c r="H297" i="1"/>
  <c r="G297" i="1"/>
  <c r="B297" i="1"/>
  <c r="A297" i="1"/>
  <c r="J296" i="1"/>
  <c r="H296" i="1"/>
  <c r="G296" i="1"/>
  <c r="B296" i="1"/>
  <c r="A296" i="1"/>
  <c r="J295" i="1"/>
  <c r="H295" i="1"/>
  <c r="G295" i="1"/>
  <c r="B295" i="1"/>
  <c r="A295" i="1"/>
  <c r="J294" i="1"/>
  <c r="H294" i="1"/>
  <c r="G294" i="1"/>
  <c r="B294" i="1"/>
  <c r="A294" i="1"/>
  <c r="J293" i="1"/>
  <c r="H293" i="1"/>
  <c r="G293" i="1"/>
  <c r="B293" i="1"/>
  <c r="A293" i="1"/>
  <c r="J292" i="1"/>
  <c r="H292" i="1"/>
  <c r="G292" i="1"/>
  <c r="B292" i="1"/>
  <c r="A292" i="1"/>
  <c r="J291" i="1"/>
  <c r="H291" i="1"/>
  <c r="G291" i="1"/>
  <c r="B291" i="1"/>
  <c r="A291" i="1"/>
  <c r="J290" i="1"/>
  <c r="H290" i="1"/>
  <c r="G290" i="1"/>
  <c r="B290" i="1"/>
  <c r="A290" i="1"/>
  <c r="J289" i="1"/>
  <c r="H289" i="1"/>
  <c r="G289" i="1"/>
  <c r="B289" i="1"/>
  <c r="A289" i="1"/>
  <c r="J288" i="1"/>
  <c r="H288" i="1"/>
  <c r="G288" i="1"/>
  <c r="B288" i="1"/>
  <c r="A288" i="1"/>
  <c r="J287" i="1"/>
  <c r="H287" i="1"/>
  <c r="G287" i="1"/>
  <c r="B287" i="1"/>
  <c r="A287" i="1"/>
  <c r="J286" i="1"/>
  <c r="H286" i="1"/>
  <c r="G286" i="1"/>
  <c r="B286" i="1"/>
  <c r="A286" i="1"/>
  <c r="J285" i="1"/>
  <c r="H285" i="1"/>
  <c r="G285" i="1"/>
  <c r="B285" i="1"/>
  <c r="A285" i="1"/>
  <c r="J284" i="1"/>
  <c r="H284" i="1"/>
  <c r="G284" i="1"/>
  <c r="B284" i="1"/>
  <c r="A284" i="1"/>
  <c r="J283" i="1"/>
  <c r="H283" i="1"/>
  <c r="G283" i="1"/>
  <c r="B283" i="1"/>
  <c r="A283" i="1"/>
  <c r="J282" i="1"/>
  <c r="H282" i="1"/>
  <c r="G282" i="1"/>
  <c r="B282" i="1"/>
  <c r="A282" i="1"/>
  <c r="J281" i="1"/>
  <c r="H281" i="1"/>
  <c r="G281" i="1"/>
  <c r="B281" i="1"/>
  <c r="A281" i="1"/>
  <c r="J280" i="1"/>
  <c r="H280" i="1"/>
  <c r="G280" i="1"/>
  <c r="B280" i="1"/>
  <c r="A280" i="1"/>
  <c r="J279" i="1"/>
  <c r="H279" i="1"/>
  <c r="G279" i="1"/>
  <c r="B279" i="1"/>
  <c r="A279" i="1"/>
  <c r="J278" i="1"/>
  <c r="H278" i="1"/>
  <c r="G278" i="1"/>
  <c r="B278" i="1"/>
  <c r="A278" i="1"/>
  <c r="J277" i="1"/>
  <c r="H277" i="1"/>
  <c r="G277" i="1"/>
  <c r="B277" i="1"/>
  <c r="A277" i="1"/>
  <c r="J276" i="1"/>
  <c r="H276" i="1"/>
  <c r="G276" i="1"/>
  <c r="B276" i="1"/>
  <c r="A276" i="1"/>
  <c r="J275" i="1"/>
  <c r="H275" i="1"/>
  <c r="G275" i="1"/>
  <c r="B275" i="1"/>
  <c r="A275" i="1"/>
  <c r="J274" i="1"/>
  <c r="H274" i="1"/>
  <c r="G274" i="1"/>
  <c r="B274" i="1"/>
  <c r="A274" i="1"/>
  <c r="J273" i="1"/>
  <c r="H273" i="1"/>
  <c r="G273" i="1"/>
  <c r="B273" i="1"/>
  <c r="A273" i="1"/>
  <c r="J272" i="1"/>
  <c r="H272" i="1"/>
  <c r="G272" i="1"/>
  <c r="B272" i="1"/>
  <c r="A272" i="1"/>
  <c r="J271" i="1"/>
  <c r="H271" i="1"/>
  <c r="G271" i="1"/>
  <c r="B271" i="1"/>
  <c r="A271" i="1"/>
  <c r="J270" i="1"/>
  <c r="H270" i="1"/>
  <c r="G270" i="1"/>
  <c r="B270" i="1"/>
  <c r="A270" i="1"/>
  <c r="J269" i="1"/>
  <c r="H269" i="1"/>
  <c r="G269" i="1"/>
  <c r="B269" i="1"/>
  <c r="A269" i="1"/>
  <c r="J268" i="1"/>
  <c r="H268" i="1"/>
  <c r="G268" i="1"/>
  <c r="B268" i="1"/>
  <c r="A268" i="1"/>
  <c r="J267" i="1"/>
  <c r="H267" i="1"/>
  <c r="G267" i="1"/>
  <c r="B267" i="1"/>
  <c r="A267" i="1"/>
  <c r="J266" i="1"/>
  <c r="H266" i="1"/>
  <c r="G266" i="1"/>
  <c r="B266" i="1"/>
  <c r="A266" i="1"/>
  <c r="J265" i="1"/>
  <c r="H265" i="1"/>
  <c r="G265" i="1"/>
  <c r="B265" i="1"/>
  <c r="A265" i="1"/>
  <c r="J264" i="1"/>
  <c r="H264" i="1"/>
  <c r="G264" i="1"/>
  <c r="B264" i="1"/>
  <c r="A264" i="1"/>
  <c r="J263" i="1"/>
  <c r="H263" i="1"/>
  <c r="G263" i="1"/>
  <c r="B263" i="1"/>
  <c r="A263" i="1"/>
  <c r="J262" i="1"/>
  <c r="H262" i="1"/>
  <c r="G262" i="1"/>
  <c r="B262" i="1"/>
  <c r="A262" i="1"/>
  <c r="J261" i="1"/>
  <c r="H261" i="1"/>
  <c r="G261" i="1"/>
  <c r="B261" i="1"/>
  <c r="A261" i="1"/>
  <c r="J260" i="1"/>
  <c r="H260" i="1"/>
  <c r="G260" i="1"/>
  <c r="B260" i="1"/>
  <c r="A260" i="1"/>
  <c r="J259" i="1"/>
  <c r="H259" i="1"/>
  <c r="G259" i="1"/>
  <c r="B259" i="1"/>
  <c r="A259" i="1"/>
  <c r="J258" i="1"/>
  <c r="H258" i="1"/>
  <c r="G258" i="1"/>
  <c r="B258" i="1"/>
  <c r="A258" i="1"/>
  <c r="J257" i="1"/>
  <c r="H257" i="1"/>
  <c r="G257" i="1"/>
  <c r="B257" i="1"/>
  <c r="A257" i="1"/>
  <c r="J256" i="1"/>
  <c r="H256" i="1"/>
  <c r="G256" i="1"/>
  <c r="B256" i="1"/>
  <c r="A256" i="1"/>
  <c r="J255" i="1"/>
  <c r="H255" i="1"/>
  <c r="G255" i="1"/>
  <c r="B255" i="1"/>
  <c r="A255" i="1"/>
  <c r="J254" i="1"/>
  <c r="H254" i="1"/>
  <c r="G254" i="1"/>
  <c r="B254" i="1"/>
  <c r="A254" i="1"/>
  <c r="J253" i="1"/>
  <c r="H253" i="1"/>
  <c r="G253" i="1"/>
  <c r="B253" i="1"/>
  <c r="A253" i="1"/>
  <c r="J252" i="1"/>
  <c r="H252" i="1"/>
  <c r="G252" i="1"/>
  <c r="B252" i="1"/>
  <c r="A252" i="1"/>
  <c r="J251" i="1"/>
  <c r="H251" i="1"/>
  <c r="G251" i="1"/>
  <c r="B251" i="1"/>
  <c r="A251" i="1"/>
  <c r="J250" i="1"/>
  <c r="H250" i="1"/>
  <c r="G250" i="1"/>
  <c r="B250" i="1"/>
  <c r="A250" i="1"/>
  <c r="J249" i="1"/>
  <c r="H249" i="1"/>
  <c r="G249" i="1"/>
  <c r="B249" i="1"/>
  <c r="A249" i="1"/>
  <c r="J248" i="1"/>
  <c r="H248" i="1"/>
  <c r="G248" i="1"/>
  <c r="B248" i="1"/>
  <c r="A248" i="1"/>
  <c r="J247" i="1"/>
  <c r="H247" i="1"/>
  <c r="G247" i="1"/>
  <c r="B247" i="1"/>
  <c r="A247" i="1"/>
  <c r="J246" i="1"/>
  <c r="H246" i="1"/>
  <c r="G246" i="1"/>
  <c r="B246" i="1"/>
  <c r="A246" i="1"/>
  <c r="J245" i="1"/>
  <c r="H245" i="1"/>
  <c r="G245" i="1"/>
  <c r="B245" i="1"/>
  <c r="A245" i="1"/>
  <c r="J244" i="1"/>
  <c r="H244" i="1"/>
  <c r="G244" i="1"/>
  <c r="B244" i="1"/>
  <c r="A244" i="1"/>
  <c r="J243" i="1"/>
  <c r="H243" i="1"/>
  <c r="G243" i="1"/>
  <c r="B243" i="1"/>
  <c r="A243" i="1"/>
  <c r="J242" i="1"/>
  <c r="H242" i="1"/>
  <c r="G242" i="1"/>
  <c r="B242" i="1"/>
  <c r="A242" i="1"/>
  <c r="J241" i="1"/>
  <c r="H241" i="1"/>
  <c r="G241" i="1"/>
  <c r="B241" i="1"/>
  <c r="A241" i="1"/>
  <c r="J240" i="1"/>
  <c r="H240" i="1"/>
  <c r="G240" i="1"/>
  <c r="B240" i="1"/>
  <c r="A240" i="1"/>
  <c r="J239" i="1"/>
  <c r="H239" i="1"/>
  <c r="G239" i="1"/>
  <c r="B239" i="1"/>
  <c r="A239" i="1"/>
  <c r="J238" i="1"/>
  <c r="H238" i="1"/>
  <c r="G238" i="1"/>
  <c r="B238" i="1"/>
  <c r="A238" i="1"/>
  <c r="J237" i="1"/>
  <c r="H237" i="1"/>
  <c r="G237" i="1"/>
  <c r="B237" i="1"/>
  <c r="A237" i="1"/>
  <c r="J236" i="1"/>
  <c r="H236" i="1"/>
  <c r="G236" i="1"/>
  <c r="B236" i="1"/>
  <c r="A236" i="1"/>
  <c r="J235" i="1"/>
  <c r="H235" i="1"/>
  <c r="G235" i="1"/>
  <c r="B235" i="1"/>
  <c r="A235" i="1"/>
  <c r="J234" i="1"/>
  <c r="H234" i="1"/>
  <c r="G234" i="1"/>
  <c r="B234" i="1"/>
  <c r="A234" i="1"/>
  <c r="J233" i="1"/>
  <c r="H233" i="1"/>
  <c r="G233" i="1"/>
  <c r="B233" i="1"/>
  <c r="A233" i="1"/>
  <c r="J232" i="1"/>
  <c r="H232" i="1"/>
  <c r="G232" i="1"/>
  <c r="B232" i="1"/>
  <c r="A232" i="1"/>
  <c r="J231" i="1"/>
  <c r="H231" i="1"/>
  <c r="G231" i="1"/>
  <c r="B231" i="1"/>
  <c r="A231" i="1"/>
  <c r="J230" i="1"/>
  <c r="H230" i="1"/>
  <c r="G230" i="1"/>
  <c r="B230" i="1"/>
  <c r="A230" i="1"/>
  <c r="J229" i="1"/>
  <c r="H229" i="1"/>
  <c r="G229" i="1"/>
  <c r="B229" i="1"/>
  <c r="A229" i="1"/>
  <c r="J228" i="1"/>
  <c r="H228" i="1"/>
  <c r="G228" i="1"/>
  <c r="B228" i="1"/>
  <c r="A228" i="1"/>
  <c r="J227" i="1"/>
  <c r="H227" i="1"/>
  <c r="G227" i="1"/>
  <c r="B227" i="1"/>
  <c r="A227" i="1"/>
  <c r="J226" i="1"/>
  <c r="H226" i="1"/>
  <c r="G226" i="1"/>
  <c r="B226" i="1"/>
  <c r="A226" i="1"/>
  <c r="J225" i="1"/>
  <c r="H225" i="1"/>
  <c r="G225" i="1"/>
  <c r="B225" i="1"/>
  <c r="A225" i="1"/>
  <c r="J224" i="1"/>
  <c r="H224" i="1"/>
  <c r="G224" i="1"/>
  <c r="B224" i="1"/>
  <c r="A224" i="1"/>
  <c r="J223" i="1"/>
  <c r="H223" i="1"/>
  <c r="G223" i="1"/>
  <c r="B223" i="1"/>
  <c r="A223" i="1"/>
  <c r="J222" i="1"/>
  <c r="H222" i="1"/>
  <c r="G222" i="1"/>
  <c r="B222" i="1"/>
  <c r="A222" i="1"/>
  <c r="J221" i="1"/>
  <c r="H221" i="1"/>
  <c r="G221" i="1"/>
  <c r="B221" i="1"/>
  <c r="A221" i="1"/>
  <c r="J220" i="1"/>
  <c r="H220" i="1"/>
  <c r="G220" i="1"/>
  <c r="B220" i="1"/>
  <c r="A220" i="1"/>
  <c r="J219" i="1"/>
  <c r="H219" i="1"/>
  <c r="G219" i="1"/>
  <c r="B219" i="1"/>
  <c r="A219" i="1"/>
  <c r="J218" i="1"/>
  <c r="H218" i="1"/>
  <c r="G218" i="1"/>
  <c r="B218" i="1"/>
  <c r="A218" i="1"/>
  <c r="J217" i="1"/>
  <c r="H217" i="1"/>
  <c r="G217" i="1"/>
  <c r="B217" i="1"/>
  <c r="A217" i="1"/>
  <c r="J216" i="1"/>
  <c r="H216" i="1"/>
  <c r="G216" i="1"/>
  <c r="B216" i="1"/>
  <c r="A216" i="1"/>
  <c r="J215" i="1"/>
  <c r="H215" i="1"/>
  <c r="G215" i="1"/>
  <c r="B215" i="1"/>
  <c r="A215" i="1"/>
  <c r="J214" i="1"/>
  <c r="H214" i="1"/>
  <c r="G214" i="1"/>
  <c r="B214" i="1"/>
  <c r="A214" i="1"/>
  <c r="J213" i="1"/>
  <c r="H213" i="1"/>
  <c r="G213" i="1"/>
  <c r="B213" i="1"/>
  <c r="A213" i="1"/>
  <c r="J212" i="1"/>
  <c r="H212" i="1"/>
  <c r="G212" i="1"/>
  <c r="B212" i="1"/>
  <c r="A212" i="1"/>
  <c r="J211" i="1"/>
  <c r="H211" i="1"/>
  <c r="G211" i="1"/>
  <c r="B211" i="1"/>
  <c r="A211" i="1"/>
  <c r="J210" i="1"/>
  <c r="H210" i="1"/>
  <c r="G210" i="1"/>
  <c r="B210" i="1"/>
  <c r="A210" i="1"/>
  <c r="J209" i="1"/>
  <c r="H209" i="1"/>
  <c r="G209" i="1"/>
  <c r="B209" i="1"/>
  <c r="A209" i="1"/>
  <c r="J208" i="1"/>
  <c r="H208" i="1"/>
  <c r="G208" i="1"/>
  <c r="B208" i="1"/>
  <c r="A208" i="1"/>
  <c r="J207" i="1"/>
  <c r="H207" i="1"/>
  <c r="G207" i="1"/>
  <c r="B207" i="1"/>
  <c r="A207" i="1"/>
  <c r="J206" i="1"/>
  <c r="H206" i="1"/>
  <c r="G206" i="1"/>
  <c r="B206" i="1"/>
  <c r="A206" i="1"/>
  <c r="J205" i="1"/>
  <c r="H205" i="1"/>
  <c r="G205" i="1"/>
  <c r="B205" i="1"/>
  <c r="A205" i="1"/>
  <c r="J204" i="1"/>
  <c r="H204" i="1"/>
  <c r="G204" i="1"/>
  <c r="B204" i="1"/>
  <c r="A204" i="1"/>
  <c r="J203" i="1"/>
  <c r="H203" i="1"/>
  <c r="G203" i="1"/>
  <c r="B203" i="1"/>
  <c r="A203" i="1"/>
  <c r="J202" i="1"/>
  <c r="H202" i="1"/>
  <c r="G202" i="1"/>
  <c r="B202" i="1"/>
  <c r="A202" i="1"/>
  <c r="J201" i="1"/>
  <c r="H201" i="1"/>
  <c r="G201" i="1"/>
  <c r="B201" i="1"/>
  <c r="A201" i="1"/>
  <c r="J200" i="1"/>
  <c r="H200" i="1"/>
  <c r="G200" i="1"/>
  <c r="B200" i="1"/>
  <c r="A200" i="1"/>
  <c r="J199" i="1"/>
  <c r="H199" i="1"/>
  <c r="G199" i="1"/>
  <c r="B199" i="1"/>
  <c r="A199" i="1"/>
  <c r="J198" i="1"/>
  <c r="H198" i="1"/>
  <c r="G198" i="1"/>
  <c r="B198" i="1"/>
  <c r="A198" i="1"/>
  <c r="J197" i="1"/>
  <c r="H197" i="1"/>
  <c r="G197" i="1"/>
  <c r="B197" i="1"/>
  <c r="A197" i="1"/>
  <c r="J196" i="1"/>
  <c r="H196" i="1"/>
  <c r="G196" i="1"/>
  <c r="B196" i="1"/>
  <c r="A196" i="1"/>
  <c r="J195" i="1"/>
  <c r="H195" i="1"/>
  <c r="G195" i="1"/>
  <c r="B195" i="1"/>
  <c r="A195" i="1"/>
  <c r="J194" i="1"/>
  <c r="H194" i="1"/>
  <c r="G194" i="1"/>
  <c r="B194" i="1"/>
  <c r="A194" i="1"/>
  <c r="J193" i="1"/>
  <c r="H193" i="1"/>
  <c r="G193" i="1"/>
  <c r="B193" i="1"/>
  <c r="A193" i="1"/>
  <c r="J192" i="1"/>
  <c r="H192" i="1"/>
  <c r="G192" i="1"/>
  <c r="B192" i="1"/>
  <c r="A192" i="1"/>
  <c r="J191" i="1"/>
  <c r="H191" i="1"/>
  <c r="G191" i="1"/>
  <c r="B191" i="1"/>
  <c r="A191" i="1"/>
  <c r="J190" i="1"/>
  <c r="H190" i="1"/>
  <c r="G190" i="1"/>
  <c r="B190" i="1"/>
  <c r="A190" i="1"/>
  <c r="J189" i="1"/>
  <c r="H189" i="1"/>
  <c r="G189" i="1"/>
  <c r="B189" i="1"/>
  <c r="A189" i="1"/>
  <c r="J188" i="1"/>
  <c r="H188" i="1"/>
  <c r="G188" i="1"/>
  <c r="B188" i="1"/>
  <c r="A188" i="1"/>
  <c r="J187" i="1"/>
  <c r="H187" i="1"/>
  <c r="G187" i="1"/>
  <c r="B187" i="1"/>
  <c r="A187" i="1"/>
  <c r="J186" i="1"/>
  <c r="H186" i="1"/>
  <c r="G186" i="1"/>
  <c r="B186" i="1"/>
  <c r="A186" i="1"/>
  <c r="J185" i="1"/>
  <c r="H185" i="1"/>
  <c r="G185" i="1"/>
  <c r="B185" i="1"/>
  <c r="A185" i="1"/>
  <c r="J184" i="1"/>
  <c r="H184" i="1"/>
  <c r="G184" i="1"/>
  <c r="B184" i="1"/>
  <c r="A184" i="1"/>
  <c r="J183" i="1"/>
  <c r="H183" i="1"/>
  <c r="G183" i="1"/>
  <c r="B183" i="1"/>
  <c r="A183" i="1"/>
  <c r="J182" i="1"/>
  <c r="H182" i="1"/>
  <c r="G182" i="1"/>
  <c r="B182" i="1"/>
  <c r="A182" i="1"/>
  <c r="J181" i="1"/>
  <c r="H181" i="1"/>
  <c r="G181" i="1"/>
  <c r="B181" i="1"/>
  <c r="A181" i="1"/>
  <c r="J180" i="1"/>
  <c r="H180" i="1"/>
  <c r="G180" i="1"/>
  <c r="B180" i="1"/>
  <c r="A180" i="1"/>
  <c r="J179" i="1"/>
  <c r="H179" i="1"/>
  <c r="G179" i="1"/>
  <c r="B179" i="1"/>
  <c r="A179" i="1"/>
  <c r="J178" i="1"/>
  <c r="H178" i="1"/>
  <c r="G178" i="1"/>
  <c r="B178" i="1"/>
  <c r="A178" i="1"/>
  <c r="J177" i="1"/>
  <c r="H177" i="1"/>
  <c r="G177" i="1"/>
  <c r="B177" i="1"/>
  <c r="A177" i="1"/>
  <c r="J176" i="1"/>
  <c r="H176" i="1"/>
  <c r="G176" i="1"/>
  <c r="B176" i="1"/>
  <c r="A176" i="1"/>
  <c r="J175" i="1"/>
  <c r="H175" i="1"/>
  <c r="G175" i="1"/>
  <c r="B175" i="1"/>
  <c r="A175" i="1"/>
  <c r="J174" i="1"/>
  <c r="H174" i="1"/>
  <c r="G174" i="1"/>
  <c r="B174" i="1"/>
  <c r="A174" i="1"/>
  <c r="J173" i="1"/>
  <c r="H173" i="1"/>
  <c r="G173" i="1"/>
  <c r="B173" i="1"/>
  <c r="A173" i="1"/>
  <c r="J172" i="1"/>
  <c r="H172" i="1"/>
  <c r="G172" i="1"/>
  <c r="B172" i="1"/>
  <c r="A172" i="1"/>
  <c r="J171" i="1"/>
  <c r="H171" i="1"/>
  <c r="G171" i="1"/>
  <c r="B171" i="1"/>
  <c r="A171" i="1"/>
  <c r="J170" i="1"/>
  <c r="H170" i="1"/>
  <c r="G170" i="1"/>
  <c r="B170" i="1"/>
  <c r="A170" i="1"/>
  <c r="J169" i="1"/>
  <c r="H169" i="1"/>
  <c r="G169" i="1"/>
  <c r="B169" i="1"/>
  <c r="A169" i="1"/>
  <c r="J168" i="1"/>
  <c r="H168" i="1"/>
  <c r="G168" i="1"/>
  <c r="B168" i="1"/>
  <c r="A168" i="1"/>
  <c r="J167" i="1"/>
  <c r="H167" i="1"/>
  <c r="G167" i="1"/>
  <c r="B167" i="1"/>
  <c r="A167" i="1"/>
  <c r="J166" i="1"/>
  <c r="H166" i="1"/>
  <c r="G166" i="1"/>
  <c r="B166" i="1"/>
  <c r="A166" i="1"/>
  <c r="J165" i="1"/>
  <c r="H165" i="1"/>
  <c r="G165" i="1"/>
  <c r="B165" i="1"/>
  <c r="A165" i="1"/>
  <c r="J164" i="1"/>
  <c r="H164" i="1"/>
  <c r="G164" i="1"/>
  <c r="B164" i="1"/>
  <c r="A164" i="1"/>
  <c r="J163" i="1"/>
  <c r="H163" i="1"/>
  <c r="G163" i="1"/>
  <c r="B163" i="1"/>
  <c r="A163" i="1"/>
  <c r="J162" i="1"/>
  <c r="H162" i="1"/>
  <c r="G162" i="1"/>
  <c r="B162" i="1"/>
  <c r="A162" i="1"/>
  <c r="J161" i="1"/>
  <c r="H161" i="1"/>
  <c r="G161" i="1"/>
  <c r="B161" i="1"/>
  <c r="A161" i="1"/>
  <c r="J160" i="1"/>
  <c r="H160" i="1"/>
  <c r="G160" i="1"/>
  <c r="B160" i="1"/>
  <c r="A160" i="1"/>
  <c r="J159" i="1"/>
  <c r="H159" i="1"/>
  <c r="G159" i="1"/>
  <c r="B159" i="1"/>
  <c r="A159" i="1"/>
  <c r="J158" i="1"/>
  <c r="H158" i="1"/>
  <c r="G158" i="1"/>
  <c r="B158" i="1"/>
  <c r="A158" i="1"/>
  <c r="J157" i="1"/>
  <c r="H157" i="1"/>
  <c r="G157" i="1"/>
  <c r="B157" i="1"/>
  <c r="A157" i="1"/>
  <c r="J156" i="1"/>
  <c r="H156" i="1"/>
  <c r="G156" i="1"/>
  <c r="B156" i="1"/>
  <c r="A156" i="1"/>
  <c r="J155" i="1"/>
  <c r="H155" i="1"/>
  <c r="G155" i="1"/>
  <c r="B155" i="1"/>
  <c r="A155" i="1"/>
  <c r="J154" i="1"/>
  <c r="H154" i="1"/>
  <c r="G154" i="1"/>
  <c r="B154" i="1"/>
  <c r="A154" i="1"/>
  <c r="J153" i="1"/>
  <c r="H153" i="1"/>
  <c r="G153" i="1"/>
  <c r="B153" i="1"/>
  <c r="A153" i="1"/>
  <c r="J152" i="1"/>
  <c r="H152" i="1"/>
  <c r="G152" i="1"/>
  <c r="B152" i="1"/>
  <c r="A152" i="1"/>
  <c r="J151" i="1"/>
  <c r="H151" i="1"/>
  <c r="G151" i="1"/>
  <c r="B151" i="1"/>
  <c r="A151" i="1"/>
  <c r="J150" i="1"/>
  <c r="H150" i="1"/>
  <c r="G150" i="1"/>
  <c r="B150" i="1"/>
  <c r="A150" i="1"/>
  <c r="J149" i="1"/>
  <c r="H149" i="1"/>
  <c r="G149" i="1"/>
  <c r="B149" i="1"/>
  <c r="A149" i="1"/>
  <c r="J148" i="1"/>
  <c r="H148" i="1"/>
  <c r="G148" i="1"/>
  <c r="B148" i="1"/>
  <c r="A148" i="1"/>
  <c r="J147" i="1"/>
  <c r="H147" i="1"/>
  <c r="G147" i="1"/>
  <c r="B147" i="1"/>
  <c r="A147" i="1"/>
  <c r="J146" i="1"/>
  <c r="H146" i="1"/>
  <c r="G146" i="1"/>
  <c r="B146" i="1"/>
  <c r="A146" i="1"/>
  <c r="J145" i="1"/>
  <c r="H145" i="1"/>
  <c r="G145" i="1"/>
  <c r="B145" i="1"/>
  <c r="A145" i="1"/>
  <c r="J144" i="1"/>
  <c r="H144" i="1"/>
  <c r="G144" i="1"/>
  <c r="B144" i="1"/>
  <c r="A144" i="1"/>
  <c r="J143" i="1"/>
  <c r="H143" i="1"/>
  <c r="G143" i="1"/>
  <c r="B143" i="1"/>
  <c r="A143" i="1"/>
  <c r="J142" i="1"/>
  <c r="H142" i="1"/>
  <c r="G142" i="1"/>
  <c r="B142" i="1"/>
  <c r="A142" i="1"/>
  <c r="J141" i="1"/>
  <c r="H141" i="1"/>
  <c r="G141" i="1"/>
  <c r="B141" i="1"/>
  <c r="A141" i="1"/>
  <c r="J140" i="1"/>
  <c r="H140" i="1"/>
  <c r="G140" i="1"/>
  <c r="B140" i="1"/>
  <c r="A140" i="1"/>
  <c r="J139" i="1"/>
  <c r="H139" i="1"/>
  <c r="G139" i="1"/>
  <c r="B139" i="1"/>
  <c r="A139" i="1"/>
  <c r="J138" i="1"/>
  <c r="H138" i="1"/>
  <c r="G138" i="1"/>
  <c r="B138" i="1"/>
  <c r="A138" i="1"/>
  <c r="J137" i="1"/>
  <c r="H137" i="1"/>
  <c r="G137" i="1"/>
  <c r="B137" i="1"/>
  <c r="A137" i="1"/>
  <c r="J136" i="1"/>
  <c r="H136" i="1"/>
  <c r="G136" i="1"/>
  <c r="B136" i="1"/>
  <c r="A136" i="1"/>
  <c r="J135" i="1"/>
  <c r="H135" i="1"/>
  <c r="G135" i="1"/>
  <c r="B135" i="1"/>
  <c r="A135" i="1"/>
  <c r="J134" i="1"/>
  <c r="H134" i="1"/>
  <c r="G134" i="1"/>
  <c r="B134" i="1"/>
  <c r="A134" i="1"/>
  <c r="J133" i="1"/>
  <c r="H133" i="1"/>
  <c r="G133" i="1"/>
  <c r="B133" i="1"/>
  <c r="A133" i="1"/>
  <c r="J132" i="1"/>
  <c r="H132" i="1"/>
  <c r="G132" i="1"/>
  <c r="B132" i="1"/>
  <c r="A132" i="1"/>
  <c r="J131" i="1"/>
  <c r="H131" i="1"/>
  <c r="G131" i="1"/>
  <c r="B131" i="1"/>
  <c r="A131" i="1"/>
  <c r="J130" i="1"/>
  <c r="H130" i="1"/>
  <c r="G130" i="1"/>
  <c r="B130" i="1"/>
  <c r="A130" i="1"/>
  <c r="J129" i="1"/>
  <c r="H129" i="1"/>
  <c r="G129" i="1"/>
  <c r="B129" i="1"/>
  <c r="A129" i="1"/>
  <c r="J128" i="1"/>
  <c r="H128" i="1"/>
  <c r="G128" i="1"/>
  <c r="B128" i="1"/>
  <c r="A128" i="1"/>
  <c r="J127" i="1"/>
  <c r="H127" i="1"/>
  <c r="G127" i="1"/>
  <c r="B127" i="1"/>
  <c r="A127" i="1"/>
  <c r="J126" i="1"/>
  <c r="H126" i="1"/>
  <c r="G126" i="1"/>
  <c r="B126" i="1"/>
  <c r="A126" i="1"/>
  <c r="J125" i="1"/>
  <c r="H125" i="1"/>
  <c r="G125" i="1"/>
  <c r="B125" i="1"/>
  <c r="A125" i="1"/>
  <c r="J124" i="1"/>
  <c r="H124" i="1"/>
  <c r="G124" i="1"/>
  <c r="B124" i="1"/>
  <c r="A124" i="1"/>
  <c r="J123" i="1"/>
  <c r="H123" i="1"/>
  <c r="G123" i="1"/>
  <c r="B123" i="1"/>
  <c r="A123" i="1"/>
  <c r="J122" i="1"/>
  <c r="H122" i="1"/>
  <c r="G122" i="1"/>
  <c r="B122" i="1"/>
  <c r="A122" i="1"/>
  <c r="J121" i="1"/>
  <c r="H121" i="1"/>
  <c r="G121" i="1"/>
  <c r="B121" i="1"/>
  <c r="A121" i="1"/>
  <c r="J120" i="1"/>
  <c r="H120" i="1"/>
  <c r="G120" i="1"/>
  <c r="B120" i="1"/>
  <c r="A120" i="1"/>
  <c r="J119" i="1"/>
  <c r="H119" i="1"/>
  <c r="G119" i="1"/>
  <c r="B119" i="1"/>
  <c r="A119" i="1"/>
  <c r="J118" i="1"/>
  <c r="H118" i="1"/>
  <c r="G118" i="1"/>
  <c r="B118" i="1"/>
  <c r="A118" i="1"/>
  <c r="J117" i="1"/>
  <c r="H117" i="1"/>
  <c r="G117" i="1"/>
  <c r="B117" i="1"/>
  <c r="A117" i="1"/>
  <c r="J116" i="1"/>
  <c r="H116" i="1"/>
  <c r="G116" i="1"/>
  <c r="B116" i="1"/>
  <c r="A116" i="1"/>
  <c r="J115" i="1"/>
  <c r="H115" i="1"/>
  <c r="G115" i="1"/>
  <c r="B115" i="1"/>
  <c r="A115" i="1"/>
  <c r="J114" i="1"/>
  <c r="H114" i="1"/>
  <c r="G114" i="1"/>
  <c r="B114" i="1"/>
  <c r="A114" i="1"/>
  <c r="J113" i="1"/>
  <c r="H113" i="1"/>
  <c r="G113" i="1"/>
  <c r="B113" i="1"/>
  <c r="A113" i="1"/>
  <c r="J112" i="1"/>
  <c r="H112" i="1"/>
  <c r="G112" i="1"/>
  <c r="B112" i="1"/>
  <c r="A112" i="1"/>
  <c r="J111" i="1"/>
  <c r="H111" i="1"/>
  <c r="G111" i="1"/>
  <c r="B111" i="1"/>
  <c r="A111" i="1"/>
  <c r="J110" i="1"/>
  <c r="H110" i="1"/>
  <c r="G110" i="1"/>
  <c r="B110" i="1"/>
  <c r="A110" i="1"/>
  <c r="J109" i="1"/>
  <c r="H109" i="1"/>
  <c r="G109" i="1"/>
  <c r="B109" i="1"/>
  <c r="A109" i="1"/>
  <c r="J108" i="1"/>
  <c r="H108" i="1"/>
  <c r="G108" i="1"/>
  <c r="B108" i="1"/>
  <c r="A108" i="1"/>
  <c r="J107" i="1"/>
  <c r="H107" i="1"/>
  <c r="G107" i="1"/>
  <c r="B107" i="1"/>
  <c r="A107" i="1"/>
  <c r="J106" i="1"/>
  <c r="H106" i="1"/>
  <c r="G106" i="1"/>
  <c r="B106" i="1"/>
  <c r="A106" i="1"/>
  <c r="J105" i="1"/>
  <c r="H105" i="1"/>
  <c r="G105" i="1"/>
  <c r="B105" i="1"/>
  <c r="A105" i="1"/>
  <c r="J104" i="1"/>
  <c r="H104" i="1"/>
  <c r="G104" i="1"/>
  <c r="B104" i="1"/>
  <c r="A104" i="1"/>
  <c r="J103" i="1"/>
  <c r="H103" i="1"/>
  <c r="G103" i="1"/>
  <c r="B103" i="1"/>
  <c r="A103" i="1"/>
  <c r="J102" i="1"/>
  <c r="H102" i="1"/>
  <c r="G102" i="1"/>
  <c r="B102" i="1"/>
  <c r="A102" i="1"/>
  <c r="J101" i="1"/>
  <c r="H101" i="1"/>
  <c r="G101" i="1"/>
  <c r="B101" i="1"/>
  <c r="A101" i="1"/>
  <c r="J100" i="1"/>
  <c r="H100" i="1"/>
  <c r="G100" i="1"/>
  <c r="B100" i="1"/>
  <c r="A100" i="1"/>
  <c r="J99" i="1"/>
  <c r="H99" i="1"/>
  <c r="G99" i="1"/>
  <c r="B99" i="1"/>
  <c r="A99" i="1"/>
  <c r="J98" i="1"/>
  <c r="H98" i="1"/>
  <c r="G98" i="1"/>
  <c r="B98" i="1"/>
  <c r="A98" i="1"/>
  <c r="J97" i="1"/>
  <c r="H97" i="1"/>
  <c r="G97" i="1"/>
  <c r="B97" i="1"/>
  <c r="A97" i="1"/>
  <c r="J96" i="1"/>
  <c r="H96" i="1"/>
  <c r="G96" i="1"/>
  <c r="B96" i="1"/>
  <c r="A96" i="1"/>
  <c r="J95" i="1"/>
  <c r="H95" i="1"/>
  <c r="G95" i="1"/>
  <c r="B95" i="1"/>
  <c r="A95" i="1"/>
  <c r="J94" i="1"/>
  <c r="H94" i="1"/>
  <c r="G94" i="1"/>
  <c r="B94" i="1"/>
  <c r="A94" i="1"/>
  <c r="J93" i="1"/>
  <c r="H93" i="1"/>
  <c r="G93" i="1"/>
  <c r="B93" i="1"/>
  <c r="A93" i="1"/>
  <c r="J92" i="1"/>
  <c r="H92" i="1"/>
  <c r="G92" i="1"/>
  <c r="B92" i="1"/>
  <c r="A92" i="1"/>
  <c r="J91" i="1"/>
  <c r="H91" i="1"/>
  <c r="G91" i="1"/>
  <c r="B91" i="1"/>
  <c r="A91" i="1"/>
  <c r="J90" i="1"/>
  <c r="H90" i="1"/>
  <c r="G90" i="1"/>
  <c r="B90" i="1"/>
  <c r="A90" i="1"/>
  <c r="J89" i="1"/>
  <c r="H89" i="1"/>
  <c r="G89" i="1"/>
  <c r="B89" i="1"/>
  <c r="A89" i="1"/>
  <c r="J88" i="1"/>
  <c r="H88" i="1"/>
  <c r="G88" i="1"/>
  <c r="B88" i="1"/>
  <c r="A88" i="1"/>
  <c r="J87" i="1"/>
  <c r="H87" i="1"/>
  <c r="G87" i="1"/>
  <c r="B87" i="1"/>
  <c r="A87" i="1"/>
  <c r="J86" i="1"/>
  <c r="H86" i="1"/>
  <c r="G86" i="1"/>
  <c r="B86" i="1"/>
  <c r="A86" i="1"/>
  <c r="J85" i="1"/>
  <c r="H85" i="1"/>
  <c r="G85" i="1"/>
  <c r="B85" i="1"/>
  <c r="A85" i="1"/>
  <c r="J84" i="1"/>
  <c r="H84" i="1"/>
  <c r="G84" i="1"/>
  <c r="B84" i="1"/>
  <c r="A84" i="1"/>
  <c r="J83" i="1"/>
  <c r="H83" i="1"/>
  <c r="G83" i="1"/>
  <c r="B83" i="1"/>
  <c r="A83" i="1"/>
  <c r="J82" i="1"/>
  <c r="H82" i="1"/>
  <c r="G82" i="1"/>
  <c r="B82" i="1"/>
  <c r="A82" i="1"/>
  <c r="J81" i="1"/>
  <c r="H81" i="1"/>
  <c r="G81" i="1"/>
  <c r="B81" i="1"/>
  <c r="A81" i="1"/>
  <c r="J80" i="1"/>
  <c r="H80" i="1"/>
  <c r="G80" i="1"/>
  <c r="B80" i="1"/>
  <c r="A80" i="1"/>
  <c r="J79" i="1"/>
  <c r="H79" i="1"/>
  <c r="G79" i="1"/>
  <c r="B79" i="1"/>
  <c r="A79" i="1"/>
  <c r="J78" i="1"/>
  <c r="H78" i="1"/>
  <c r="G78" i="1"/>
  <c r="B78" i="1"/>
  <c r="A78" i="1"/>
  <c r="J77" i="1"/>
  <c r="H77" i="1"/>
  <c r="G77" i="1"/>
  <c r="B77" i="1"/>
  <c r="A77" i="1"/>
  <c r="J76" i="1"/>
  <c r="H76" i="1"/>
  <c r="G76" i="1"/>
  <c r="B76" i="1"/>
  <c r="A76" i="1"/>
  <c r="J75" i="1"/>
  <c r="H75" i="1"/>
  <c r="G75" i="1"/>
  <c r="B75" i="1"/>
  <c r="A75" i="1"/>
  <c r="J74" i="1"/>
  <c r="H74" i="1"/>
  <c r="G74" i="1"/>
  <c r="B74" i="1"/>
  <c r="A74" i="1"/>
  <c r="J73" i="1"/>
  <c r="H73" i="1"/>
  <c r="G73" i="1"/>
  <c r="B73" i="1"/>
  <c r="A73" i="1"/>
  <c r="J72" i="1"/>
  <c r="H72" i="1"/>
  <c r="G72" i="1"/>
  <c r="B72" i="1"/>
  <c r="A72" i="1"/>
  <c r="J71" i="1"/>
  <c r="H71" i="1"/>
  <c r="G71" i="1"/>
  <c r="B71" i="1"/>
  <c r="A71" i="1"/>
  <c r="J70" i="1"/>
  <c r="H70" i="1"/>
  <c r="G70" i="1"/>
  <c r="B70" i="1"/>
  <c r="A70" i="1"/>
  <c r="J69" i="1"/>
  <c r="H69" i="1"/>
  <c r="G69" i="1"/>
  <c r="B69" i="1"/>
  <c r="A69" i="1"/>
  <c r="J68" i="1"/>
  <c r="H68" i="1"/>
  <c r="G68" i="1"/>
  <c r="B68" i="1"/>
  <c r="A68" i="1"/>
  <c r="J67" i="1"/>
  <c r="H67" i="1"/>
  <c r="G67" i="1"/>
  <c r="B67" i="1"/>
  <c r="A67" i="1"/>
  <c r="J66" i="1"/>
  <c r="H66" i="1"/>
  <c r="G66" i="1"/>
  <c r="B66" i="1"/>
  <c r="A66" i="1"/>
  <c r="J65" i="1"/>
  <c r="H65" i="1"/>
  <c r="G65" i="1"/>
  <c r="B65" i="1"/>
  <c r="A65" i="1"/>
  <c r="J64" i="1"/>
  <c r="H64" i="1"/>
  <c r="G64" i="1"/>
  <c r="B64" i="1"/>
  <c r="A64" i="1"/>
  <c r="J63" i="1"/>
  <c r="H63" i="1"/>
  <c r="G63" i="1"/>
  <c r="B63" i="1"/>
  <c r="A63" i="1"/>
  <c r="J62" i="1"/>
  <c r="H62" i="1"/>
  <c r="G62" i="1"/>
  <c r="B62" i="1"/>
  <c r="A62" i="1"/>
  <c r="J61" i="1"/>
  <c r="H61" i="1"/>
  <c r="G61" i="1"/>
  <c r="B61" i="1"/>
  <c r="A61" i="1"/>
  <c r="J60" i="1"/>
  <c r="H60" i="1"/>
  <c r="G60" i="1"/>
  <c r="B60" i="1"/>
  <c r="A60" i="1"/>
  <c r="J59" i="1"/>
  <c r="H59" i="1"/>
  <c r="G59" i="1"/>
  <c r="B59" i="1"/>
  <c r="A59" i="1"/>
  <c r="J58" i="1"/>
  <c r="H58" i="1"/>
  <c r="G58" i="1"/>
  <c r="B58" i="1"/>
  <c r="A58" i="1"/>
  <c r="J57" i="1"/>
  <c r="H57" i="1"/>
  <c r="G57" i="1"/>
  <c r="B57" i="1"/>
  <c r="A57" i="1"/>
  <c r="J56" i="1"/>
  <c r="H56" i="1"/>
  <c r="G56" i="1"/>
  <c r="B56" i="1"/>
  <c r="A56" i="1"/>
  <c r="J55" i="1"/>
  <c r="H55" i="1"/>
  <c r="G55" i="1"/>
  <c r="B55" i="1"/>
  <c r="A55" i="1"/>
  <c r="J54" i="1"/>
  <c r="H54" i="1"/>
  <c r="G54" i="1"/>
  <c r="B54" i="1"/>
  <c r="A54" i="1"/>
  <c r="J53" i="1"/>
  <c r="H53" i="1"/>
  <c r="G53" i="1"/>
  <c r="B53" i="1"/>
  <c r="A53" i="1"/>
  <c r="J52" i="1"/>
  <c r="H52" i="1"/>
  <c r="G52" i="1"/>
  <c r="B52" i="1"/>
  <c r="A52" i="1"/>
  <c r="J51" i="1"/>
  <c r="H51" i="1"/>
  <c r="G51" i="1"/>
  <c r="B51" i="1"/>
  <c r="A51" i="1"/>
  <c r="J50" i="1"/>
  <c r="H50" i="1"/>
  <c r="G50" i="1"/>
  <c r="B50" i="1"/>
  <c r="A50" i="1"/>
  <c r="J49" i="1"/>
  <c r="H49" i="1"/>
  <c r="G49" i="1"/>
  <c r="B49" i="1"/>
  <c r="A49" i="1"/>
  <c r="J48" i="1"/>
  <c r="H48" i="1"/>
  <c r="G48" i="1"/>
  <c r="B48" i="1"/>
  <c r="A48" i="1"/>
  <c r="J47" i="1"/>
  <c r="H47" i="1"/>
  <c r="G47" i="1"/>
  <c r="B47" i="1"/>
  <c r="A47" i="1"/>
  <c r="J46" i="1"/>
  <c r="H46" i="1"/>
  <c r="G46" i="1"/>
  <c r="B46" i="1"/>
  <c r="A46" i="1"/>
  <c r="J45" i="1"/>
  <c r="H45" i="1"/>
  <c r="G45" i="1"/>
  <c r="B45" i="1"/>
  <c r="A45" i="1"/>
  <c r="J44" i="1"/>
  <c r="H44" i="1"/>
  <c r="G44" i="1"/>
  <c r="B44" i="1"/>
  <c r="A44" i="1"/>
  <c r="J43" i="1"/>
  <c r="H43" i="1"/>
  <c r="G43" i="1"/>
  <c r="B43" i="1"/>
  <c r="A43" i="1"/>
  <c r="J42" i="1"/>
  <c r="H42" i="1"/>
  <c r="G42" i="1"/>
  <c r="B42" i="1"/>
  <c r="A42" i="1"/>
  <c r="J41" i="1"/>
  <c r="H41" i="1"/>
  <c r="G41" i="1"/>
  <c r="B41" i="1"/>
  <c r="A41" i="1"/>
  <c r="J40" i="1"/>
  <c r="H40" i="1"/>
  <c r="G40" i="1"/>
  <c r="B40" i="1"/>
  <c r="A40" i="1"/>
  <c r="J39" i="1"/>
  <c r="H39" i="1"/>
  <c r="G39" i="1"/>
  <c r="B39" i="1"/>
  <c r="A39" i="1"/>
  <c r="J38" i="1"/>
  <c r="H38" i="1"/>
  <c r="G38" i="1"/>
  <c r="B38" i="1"/>
  <c r="A38" i="1"/>
  <c r="J37" i="1"/>
  <c r="H37" i="1"/>
  <c r="G37" i="1"/>
  <c r="B37" i="1"/>
  <c r="A37" i="1"/>
  <c r="J36" i="1"/>
  <c r="H36" i="1"/>
  <c r="G36" i="1"/>
  <c r="B36" i="1"/>
  <c r="A36" i="1"/>
  <c r="J35" i="1"/>
  <c r="H35" i="1"/>
  <c r="G35" i="1"/>
  <c r="B35" i="1"/>
  <c r="A35" i="1"/>
  <c r="J34" i="1"/>
  <c r="H34" i="1"/>
  <c r="G34" i="1"/>
  <c r="B34" i="1"/>
  <c r="A34" i="1"/>
  <c r="J33" i="1"/>
  <c r="H33" i="1"/>
  <c r="G33" i="1"/>
  <c r="B33" i="1"/>
  <c r="A33" i="1"/>
  <c r="J32" i="1"/>
  <c r="H32" i="1"/>
  <c r="G32" i="1"/>
  <c r="B32" i="1"/>
  <c r="A32" i="1"/>
  <c r="J31" i="1"/>
  <c r="H31" i="1"/>
  <c r="G31" i="1"/>
  <c r="B31" i="1"/>
  <c r="A31" i="1"/>
  <c r="J30" i="1"/>
  <c r="H30" i="1"/>
  <c r="G30" i="1"/>
  <c r="B30" i="1"/>
  <c r="A30" i="1"/>
  <c r="J29" i="1"/>
  <c r="H29" i="1"/>
  <c r="G29" i="1"/>
  <c r="B29" i="1"/>
  <c r="A29" i="1"/>
  <c r="J28" i="1"/>
  <c r="H28" i="1"/>
  <c r="G28" i="1"/>
  <c r="B28" i="1"/>
  <c r="A28" i="1"/>
  <c r="J27" i="1"/>
  <c r="H27" i="1"/>
  <c r="G27" i="1"/>
  <c r="B27" i="1"/>
  <c r="A27" i="1"/>
  <c r="J26" i="1"/>
  <c r="H26" i="1"/>
  <c r="G26" i="1"/>
  <c r="B26" i="1"/>
  <c r="A26" i="1"/>
  <c r="J25" i="1"/>
  <c r="H25" i="1"/>
  <c r="G25" i="1"/>
  <c r="B25" i="1"/>
  <c r="A25" i="1"/>
  <c r="J24" i="1"/>
  <c r="H24" i="1"/>
  <c r="G24" i="1"/>
  <c r="B24" i="1"/>
  <c r="A24" i="1"/>
  <c r="J23" i="1"/>
  <c r="H23" i="1"/>
  <c r="G23" i="1"/>
  <c r="B23" i="1"/>
  <c r="A23" i="1"/>
  <c r="J22" i="1"/>
  <c r="H22" i="1"/>
  <c r="G22" i="1"/>
  <c r="B22" i="1"/>
  <c r="A22" i="1"/>
  <c r="J21" i="1"/>
  <c r="H21" i="1"/>
  <c r="G21" i="1"/>
  <c r="B21" i="1"/>
  <c r="A21" i="1"/>
  <c r="J20" i="1"/>
  <c r="H20" i="1"/>
  <c r="G20" i="1"/>
  <c r="B20" i="1"/>
  <c r="A20" i="1"/>
  <c r="J19" i="1"/>
  <c r="H19" i="1"/>
  <c r="G19" i="1"/>
  <c r="B19" i="1"/>
  <c r="A19" i="1"/>
  <c r="J18" i="1"/>
  <c r="H18" i="1"/>
  <c r="G18" i="1"/>
  <c r="B18" i="1"/>
  <c r="A18" i="1"/>
  <c r="J17" i="1"/>
  <c r="H17" i="1"/>
  <c r="G17" i="1"/>
  <c r="B17" i="1"/>
  <c r="A17" i="1"/>
  <c r="J16" i="1"/>
  <c r="H16" i="1"/>
  <c r="G16" i="1"/>
  <c r="B16" i="1"/>
  <c r="A16" i="1"/>
  <c r="J15" i="1"/>
  <c r="H15" i="1"/>
  <c r="G15" i="1"/>
  <c r="B15" i="1"/>
  <c r="A15" i="1"/>
  <c r="J14" i="1"/>
  <c r="H14" i="1"/>
  <c r="G14" i="1"/>
  <c r="B14" i="1"/>
  <c r="A14" i="1"/>
  <c r="J13" i="1"/>
  <c r="H13" i="1"/>
  <c r="G13" i="1"/>
  <c r="B13" i="1"/>
  <c r="A13" i="1"/>
  <c r="J12" i="1"/>
  <c r="H12" i="1"/>
  <c r="G12" i="1"/>
  <c r="B12" i="1"/>
  <c r="A12" i="1"/>
  <c r="J11" i="1"/>
  <c r="H11" i="1"/>
  <c r="G11" i="1"/>
  <c r="B11" i="1"/>
  <c r="A11" i="1"/>
  <c r="J10" i="1"/>
  <c r="H10" i="1"/>
  <c r="G10" i="1"/>
  <c r="B10" i="1"/>
  <c r="A10" i="1"/>
  <c r="J9" i="1"/>
  <c r="H9" i="1"/>
  <c r="G9" i="1"/>
  <c r="B9" i="1"/>
  <c r="A9" i="1"/>
  <c r="J8" i="1"/>
  <c r="H8" i="1"/>
  <c r="G8" i="1"/>
  <c r="B8" i="1"/>
  <c r="A8" i="1"/>
  <c r="J7" i="1"/>
  <c r="H7" i="1"/>
  <c r="G7" i="1"/>
  <c r="B7" i="1"/>
  <c r="A7" i="1"/>
  <c r="J6" i="1"/>
  <c r="H6" i="1"/>
  <c r="G6" i="1"/>
  <c r="B6" i="1"/>
  <c r="A6" i="1"/>
  <c r="J5" i="1"/>
  <c r="H5" i="1"/>
  <c r="G5" i="1"/>
  <c r="B5" i="1"/>
  <c r="A5" i="1"/>
  <c r="J4" i="1"/>
  <c r="H4" i="1"/>
  <c r="G4" i="1"/>
  <c r="B4" i="1"/>
  <c r="A4" i="1"/>
  <c r="J3" i="1"/>
  <c r="H3" i="1"/>
  <c r="G3" i="1"/>
  <c r="B3" i="1"/>
  <c r="A3" i="1"/>
  <c r="J2" i="1"/>
  <c r="H2" i="1"/>
  <c r="G2" i="1"/>
  <c r="B2" i="1"/>
  <c r="A2" i="1"/>
</calcChain>
</file>

<file path=xl/sharedStrings.xml><?xml version="1.0" encoding="utf-8"?>
<sst xmlns="http://schemas.openxmlformats.org/spreadsheetml/2006/main" count="654" uniqueCount="550">
  <si>
    <t>Vendor Set</t>
  </si>
  <si>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</si>
  <si>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</si>
  <si>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</si>
  <si>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</si>
  <si>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</si>
  <si>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</si>
  <si>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</si>
  <si>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 xml:space="preserve">GL Amount </t>
  </si>
  <si>
    <t>GL Description</t>
  </si>
  <si>
    <t>CHRISTINA CANNON</t>
  </si>
  <si>
    <t>304 CONSTRUCTION LLC</t>
  </si>
  <si>
    <t>973 MATERIALS  LLC</t>
  </si>
  <si>
    <t>A PLUS BAIL BONDS</t>
  </si>
  <si>
    <t>ARNOLD OIL COMPANY OF AUSTIN LP</t>
  </si>
  <si>
    <t>AARON CAWTHON</t>
  </si>
  <si>
    <t>HAVERDA ENTERPRISES INC</t>
  </si>
  <si>
    <t>ADAM DAKOTA ROWINS</t>
  </si>
  <si>
    <t>ADENA LEWIS</t>
  </si>
  <si>
    <t>ADVANCED GRAPHIX INC</t>
  </si>
  <si>
    <t>AG ADJUSTMENTS  LTD</t>
  </si>
  <si>
    <t>AIRGAS INC</t>
  </si>
  <si>
    <t>DRIVE TRAIN  INC</t>
  </si>
  <si>
    <t>ALBERT NEAL PFEIFFER</t>
  </si>
  <si>
    <t>AMAZON CAPITAL SERVICES INC</t>
  </si>
  <si>
    <t>AMERISOURCEBERGEN</t>
  </si>
  <si>
    <t>AMG PRINTING &amp; MAILING  LLC</t>
  </si>
  <si>
    <t>ANDERSON &amp; ANDERSON LAW FIRM PC</t>
  </si>
  <si>
    <t>C APPLEMAN ENT INC</t>
  </si>
  <si>
    <t>AQUA BEVERAGE COMPANY/OZARKA</t>
  </si>
  <si>
    <t>AQUA WATER SUPPLY CORPORATION</t>
  </si>
  <si>
    <t>ARA / ST.DAVID'S IMAGING  LP</t>
  </si>
  <si>
    <t>ASCENSION SETON</t>
  </si>
  <si>
    <t>AT&amp;T</t>
  </si>
  <si>
    <t>AT&amp;T MOBILITY</t>
  </si>
  <si>
    <t>AUSTIN RADIOLOGICAL ASSOC</t>
  </si>
  <si>
    <t>AUSTIN RETINA ASSSOCIATES</t>
  </si>
  <si>
    <t>TOM LOFTUS  INC</t>
  </si>
  <si>
    <t>MICHAEL OLDHAM TIRE INC</t>
  </si>
  <si>
    <t>EDUARDO BARRIENTOS</t>
  </si>
  <si>
    <t>BASTROP CNTY JUV BOOT CAMP FUND</t>
  </si>
  <si>
    <t>BASTROP COUNTY SHERIFF'S DEPT</t>
  </si>
  <si>
    <t>DANIEL L HEPKER</t>
  </si>
  <si>
    <t>BASTROP COUNTY TAX ASSESSOR</t>
  </si>
  <si>
    <t>BASTROP COUNTY CHILD PROTECTIVE SERVICES</t>
  </si>
  <si>
    <t>BASTROP COUNTY CLERK</t>
  </si>
  <si>
    <t>BASTROP COUNTY TAX-ASSESSOR</t>
  </si>
  <si>
    <t>BASTROP VETERINARY HOSPITAL  INC.</t>
  </si>
  <si>
    <t>DAVID H OUTON</t>
  </si>
  <si>
    <t>BELL COUNTY</t>
  </si>
  <si>
    <t>BELL COUNTY SHERIFF</t>
  </si>
  <si>
    <t>BEN E KEITH CO.</t>
  </si>
  <si>
    <t>B C FOOD GROUP  LLC</t>
  </si>
  <si>
    <t>BEVERLY MUSGROVE</t>
  </si>
  <si>
    <t>BEXAR COUNTY CONSTABLE PCT #2</t>
  </si>
  <si>
    <t>BIG CITY CRUSHED CONCRETE  LLC</t>
  </si>
  <si>
    <t>BIG ROOM TESTING LLC</t>
  </si>
  <si>
    <t>BIG WRENCH ROAD SERVICE INC</t>
  </si>
  <si>
    <t>MAURINE MC LEAN</t>
  </si>
  <si>
    <t>BIMBO FOODS INC</t>
  </si>
  <si>
    <t>BLUEBONNET ELECTRIC COOPERATIVE  INC.</t>
  </si>
  <si>
    <t>BOBBY BROWN</t>
  </si>
  <si>
    <t>BOEHM TRACTOR SALES INC</t>
  </si>
  <si>
    <t>BOEHRINGER INGELHEIM ANIMAL HEALTH USA INC.</t>
  </si>
  <si>
    <t>BRAUNTEX MATERIALS INC</t>
  </si>
  <si>
    <t>LAW OFFICE OF BRYAN W. MCDANIEL  P.C.</t>
  </si>
  <si>
    <t>BUREAU OF VITAL STATISTICS</t>
  </si>
  <si>
    <t>C.C. CREATIONS  LTD</t>
  </si>
  <si>
    <t>CALDWELL AUTOMOTIVE PARTNERS LTD</t>
  </si>
  <si>
    <t>CALDWELL COUNTY SHERIFF</t>
  </si>
  <si>
    <t>CAMBRIDGE SECURITY SEALS LLC</t>
  </si>
  <si>
    <t>CAMERON JONSE</t>
  </si>
  <si>
    <t>CAPITAL AREA COUNCIL OF GOVERNMENTS</t>
  </si>
  <si>
    <t>CAPCOG RLEA</t>
  </si>
  <si>
    <t>CAPITOL BEARING SERVICE OF AUSTIN  INC.</t>
  </si>
  <si>
    <t>TIB-THE INDEPENDENT BANKERS BANK</t>
  </si>
  <si>
    <t>CAROLYN DILL</t>
  </si>
  <si>
    <t>CDW GOVERNMENT INC</t>
  </si>
  <si>
    <t>CENTERPOINT ENERGY</t>
  </si>
  <si>
    <t>TIMOTHY LYLE HENNING</t>
  </si>
  <si>
    <t>NCH CORPORATION</t>
  </si>
  <si>
    <t>CHARLES DANIEL RUSSELL</t>
  </si>
  <si>
    <t>CHARLES W CARVER</t>
  </si>
  <si>
    <t>CHRIS MATT DILLON</t>
  </si>
  <si>
    <t>CINTAS</t>
  </si>
  <si>
    <t>CINTAS CORPORATION</t>
  </si>
  <si>
    <t>CITIBANK</t>
  </si>
  <si>
    <t>CITY OF BASTROP</t>
  </si>
  <si>
    <t>CITY OF SMITHVILLE</t>
  </si>
  <si>
    <t>CLIFFORD POWER SYSTEMS INC</t>
  </si>
  <si>
    <t>CLINICAL PATHOLOGY LABORATORIES INC</t>
  </si>
  <si>
    <t>CLINICAL PATHOLOGY ASSOC. OF AUSTIN</t>
  </si>
  <si>
    <t>CML SECURITY  LLC</t>
  </si>
  <si>
    <t>COLLIN COUNTY SHERIFF</t>
  </si>
  <si>
    <t>COLUMBUS EYE ASSOCIATES</t>
  </si>
  <si>
    <t>COMAL COUNTY SHERIFF</t>
  </si>
  <si>
    <t>CONNECTED NATION  INC.</t>
  </si>
  <si>
    <t>CONNIE CAMERON RABEL</t>
  </si>
  <si>
    <t>CONNIE SCHROEDER</t>
  </si>
  <si>
    <t>CONTECH ENGINEERED SOLUTIONS INC</t>
  </si>
  <si>
    <t>COUNTY OF BEXAR - SHERIFF</t>
  </si>
  <si>
    <t>BUTLER ANIMAL HEALTH HOLDING COMPANY  LLC</t>
  </si>
  <si>
    <t>CRAIG WINTER</t>
  </si>
  <si>
    <t>CRESSIDA EVELYN KWOLEK  Ph.D.</t>
  </si>
  <si>
    <t>CUMMINS-ALLISON CORP</t>
  </si>
  <si>
    <t>DALLAS COUNTY CONSTABLE PCT 1</t>
  </si>
  <si>
    <t>DAVID B BROOKS</t>
  </si>
  <si>
    <t>JOHN DAVID LEWIS</t>
  </si>
  <si>
    <t>DAVID M COLLINS</t>
  </si>
  <si>
    <t>DEAN DAIRY CORPORATE  LLC</t>
  </si>
  <si>
    <t>DELL</t>
  </si>
  <si>
    <t>DENTRUST DENTAL TX PC</t>
  </si>
  <si>
    <t>ALBERT R DIAZ</t>
  </si>
  <si>
    <t>DICKENS LOCKSMITH INC</t>
  </si>
  <si>
    <t>TEXAS DEPARTMENT OF INFORMATION RESOURCES</t>
  </si>
  <si>
    <t>DISCOUNT DOOR &amp; METAL  LLC</t>
  </si>
  <si>
    <t>DONNA D HAGEN</t>
  </si>
  <si>
    <t>DONNIE STARK</t>
  </si>
  <si>
    <t>DORA HERNANDEZ</t>
  </si>
  <si>
    <t>DOUBLE D INTERNATIONAL FOOD CO.  INC.</t>
  </si>
  <si>
    <t>DOUBLE TUFF TRUCK TARPS INC</t>
  </si>
  <si>
    <t>DOUCET &amp; ASSOCIATES  INC</t>
  </si>
  <si>
    <t>KRISTI ARRINGTON KALLINA</t>
  </si>
  <si>
    <t>DUNNE &amp; JUAREZ L.L.C.</t>
  </si>
  <si>
    <t>DAVID MCMULLEN</t>
  </si>
  <si>
    <t>ELECTION SYSTEMS &amp; SOFTWARE INC</t>
  </si>
  <si>
    <t>BLACKLANDS PUBLICATIONS INC</t>
  </si>
  <si>
    <t>ELGIN FUNERAL HOME</t>
  </si>
  <si>
    <t>CITY OF ELGIN UTILITIES</t>
  </si>
  <si>
    <t>ELLIOTT ELECTRIC SUPPLY INC</t>
  </si>
  <si>
    <t>ENVIRONMENTAL SYSTEMS RESEARCH INSTITUTE  INC</t>
  </si>
  <si>
    <t>ERGON ASPHALT &amp; EMULSIONS INC</t>
  </si>
  <si>
    <t>EVERYTHING BUT STROMBOLI LLC</t>
  </si>
  <si>
    <t>BASTROP COUNTY WOMEN'S SHELTER</t>
  </si>
  <si>
    <t>FEDERAL EXPRESS</t>
  </si>
  <si>
    <t>FLEETPRIDE</t>
  </si>
  <si>
    <t>4283929 DELAWARE LLC</t>
  </si>
  <si>
    <t>FORREST L. SANDERSON</t>
  </si>
  <si>
    <t>FORT BEND COUNTY CONSTABLE PCT 4</t>
  </si>
  <si>
    <t>FRANCES HUNTER</t>
  </si>
  <si>
    <t>FRED GAINES</t>
  </si>
  <si>
    <t>CREA PARSON</t>
  </si>
  <si>
    <t>DOGGETT FREIGHTLINER OF SOUTH TEXAS  LLC</t>
  </si>
  <si>
    <t>EUGENE W BRIGGS JR</t>
  </si>
  <si>
    <t>GALLS PARENT HOLDINGS LLC</t>
  </si>
  <si>
    <t>GARMENTS TO GO  INC</t>
  </si>
  <si>
    <t>GOES SALES OF TEXAS INC</t>
  </si>
  <si>
    <t>GRAINGER INC</t>
  </si>
  <si>
    <t>GREG E NORMAN</t>
  </si>
  <si>
    <t>GT DISTRIBUTORS  INC.</t>
  </si>
  <si>
    <t>GUADALUPE COUNTY SHERIFF</t>
  </si>
  <si>
    <t>GULF COAST PAPER CO. INC.</t>
  </si>
  <si>
    <t>H&amp;H OIL  L.P.</t>
  </si>
  <si>
    <t>HARRIS COUNTY CONSTABLE PCT 1</t>
  </si>
  <si>
    <t>HAYS COUNTY CONSTABLE PCT 1</t>
  </si>
  <si>
    <t>HAYS COUNTY CONSTABLE PCT 5</t>
  </si>
  <si>
    <t>HCI</t>
  </si>
  <si>
    <t>HEARTLAND QUARRIES  LLC</t>
  </si>
  <si>
    <t>HI-LINE</t>
  </si>
  <si>
    <t>HILL'S PET NUTRITION SALES INC.</t>
  </si>
  <si>
    <t>BASCOM L HODGES JR</t>
  </si>
  <si>
    <t>HODGSON G ECKEL</t>
  </si>
  <si>
    <t>BD HOLT CO</t>
  </si>
  <si>
    <t>CITIBANK (SOUTH DAKOTA)N.A./THE HOME DEPOT</t>
  </si>
  <si>
    <t>HOMICIDE INVESTIGATORS OF TEXAS INC</t>
  </si>
  <si>
    <t>NORTHWEST CASCADE INC</t>
  </si>
  <si>
    <t>HEAT TRANSFER SOLUTIONS  INC.</t>
  </si>
  <si>
    <t>HUNT COUNTY CONSTABLE PCT 1</t>
  </si>
  <si>
    <t>HUSQUAVNA PROFESSIONAL PRODUCTS INC</t>
  </si>
  <si>
    <t>HYDRAULIC HOUSE INC</t>
  </si>
  <si>
    <t>IDEXX DISTRIBUTION INC</t>
  </si>
  <si>
    <t>INDIGENT HEALTHCARE SOLUTIONS</t>
  </si>
  <si>
    <t>INTAB  LLC</t>
  </si>
  <si>
    <t>IRON MOUNTAIN RECORDS MGMT INC</t>
  </si>
  <si>
    <t>ISI COMMERCIAL REFRIGERATION LLC</t>
  </si>
  <si>
    <t>JAMES MONTGOMERY</t>
  </si>
  <si>
    <t>JENKINS &amp; JENKINS LLP</t>
  </si>
  <si>
    <t>JON ETHEREDGE</t>
  </si>
  <si>
    <t>JOSE MATA HERNANDEZ</t>
  </si>
  <si>
    <t>JUSTIN MATTHEW FOHN</t>
  </si>
  <si>
    <t>KATY NYC-LYYTINEN</t>
  </si>
  <si>
    <t>KAYCI SCHULTZ WATSON</t>
  </si>
  <si>
    <t>KENT BROUSSARD TOWER RENTAL INC</t>
  </si>
  <si>
    <t>KERR COUNTY SHERIFF'S OFFICE</t>
  </si>
  <si>
    <t>KEVIN UNGER</t>
  </si>
  <si>
    <t>KRYSTAL STABENO</t>
  </si>
  <si>
    <t>LONGHORN INTERNATIONAL TRUCKS LTD</t>
  </si>
  <si>
    <t>THE LA GRANGE PARTS HOUSE INC</t>
  </si>
  <si>
    <t>LABATT INSTITUTIONAL SUPPLY CO</t>
  </si>
  <si>
    <t>LAUREN CONCRETE  INC</t>
  </si>
  <si>
    <t>LAVACA COUNTY SHERIFF</t>
  </si>
  <si>
    <t>LAW ENFORCEMENT RISK MANAGEMENT GROUP  INC.</t>
  </si>
  <si>
    <t>LEE COUNTY WATER SUPPLY CORP</t>
  </si>
  <si>
    <t>LEXISNEXIS RISK DATA MGMT INC</t>
  </si>
  <si>
    <t>LIBERTY TIRE RECYCLING</t>
  </si>
  <si>
    <t>LISA JACKSON</t>
  </si>
  <si>
    <t>LONNIE LAWRENCE DAVIS JR</t>
  </si>
  <si>
    <t>SCOTT BRYANT</t>
  </si>
  <si>
    <t>LUBBOCK COUNTY SHERIFF</t>
  </si>
  <si>
    <t>MANATRON  INC</t>
  </si>
  <si>
    <t>MARIA ANFOSSO</t>
  </si>
  <si>
    <t>JOHN W GASPARINI INC</t>
  </si>
  <si>
    <t>MATHESON TRI-GAS INC</t>
  </si>
  <si>
    <t>MATTHEW PLOCICA</t>
  </si>
  <si>
    <t>McCOY'S BUILDING SUPPLY CENTER</t>
  </si>
  <si>
    <t>McCREARY  VESELKA  BRAGG &amp; ALLEN P</t>
  </si>
  <si>
    <t>McKESSON MEDICAL-SURGICAL GOVERNMENT SOLUTIONS LLC</t>
  </si>
  <si>
    <t>MEDIMPACT HEALTHCARE SYSTEMS INC</t>
  </si>
  <si>
    <t>MEDINA COUNTY SHERIFF</t>
  </si>
  <si>
    <t>MELISSA DE LEON</t>
  </si>
  <si>
    <t>MICHAEL B. JOHNSON</t>
  </si>
  <si>
    <t>MICHAEL HARBICH</t>
  </si>
  <si>
    <t>MICHELE FRITSCHE C.S.R.</t>
  </si>
  <si>
    <t>MIDTEX MATERIALS</t>
  </si>
  <si>
    <t>ADDIE BEATRICE ALDRIDGE</t>
  </si>
  <si>
    <t>ADRIANA ALEXANDRA RIVERA-CONDE</t>
  </si>
  <si>
    <t>ALFRED L BINGER JR</t>
  </si>
  <si>
    <t>ANGELIKA SASKO WATSON</t>
  </si>
  <si>
    <t>ASHLEY MARIE COY</t>
  </si>
  <si>
    <t>BELINDA HARDING KIMBALL</t>
  </si>
  <si>
    <t>BLAS RODRIGUEZ JR</t>
  </si>
  <si>
    <t>BRANDY LYNN OBRIEN</t>
  </si>
  <si>
    <t>CALLIE ANN MEADS</t>
  </si>
  <si>
    <t>CATHERINE ANNE MILLER</t>
  </si>
  <si>
    <t>CHAD DAVID MEADS</t>
  </si>
  <si>
    <t>CHARLES AMBROSE ROUSE</t>
  </si>
  <si>
    <t>CHRISTINE BETSABE ALEMAN</t>
  </si>
  <si>
    <t>CHRISTOPHER JAMES CANALES</t>
  </si>
  <si>
    <t>CIRO FRANCISCO LUCERO JR</t>
  </si>
  <si>
    <t>CLINT ALAN WALKER</t>
  </si>
  <si>
    <t>CRISTINA MATA RODRIGUEZ</t>
  </si>
  <si>
    <t>CRYSTAL GWEN HERRING</t>
  </si>
  <si>
    <t>DANIEL EDWARD FLEMING</t>
  </si>
  <si>
    <t>DAVID ANTHONY DIAZ</t>
  </si>
  <si>
    <t>DEBORAH ANN ROGERS</t>
  </si>
  <si>
    <t>EDUARDO CAUDILLO</t>
  </si>
  <si>
    <t>EFRAIN ZUL VILLANUEVA</t>
  </si>
  <si>
    <t>ELIOTT SAUCEDO</t>
  </si>
  <si>
    <t>ENNIS MINGO WATSON</t>
  </si>
  <si>
    <t>ERIC JACKSON BENNETT</t>
  </si>
  <si>
    <t>ERNESTO RODRIGUEZ ROMERO</t>
  </si>
  <si>
    <t>ESTEVAN CORDOVA FRANCO</t>
  </si>
  <si>
    <t>GERALD S LATHEM</t>
  </si>
  <si>
    <t>HANNAH MARIE TEAGUE</t>
  </si>
  <si>
    <t>HEATHER LEIGH JOHNSON</t>
  </si>
  <si>
    <t>JAMES ANTHONY WELLS</t>
  </si>
  <si>
    <t>JAMES MICHAEL SMITH</t>
  </si>
  <si>
    <t>JAMES RONALD HILLIARD</t>
  </si>
  <si>
    <t>JASON HALE PETERSON</t>
  </si>
  <si>
    <t>JEAN CAROL ALEXANDER</t>
  </si>
  <si>
    <t>JOHNNY RODRIGUEZ MERINO</t>
  </si>
  <si>
    <t>JOHNNY ROSS ALLEN</t>
  </si>
  <si>
    <t>JORDAN FLEMING TOVAR</t>
  </si>
  <si>
    <t>JOSEPH ERVIN TOLLIVER</t>
  </si>
  <si>
    <t>JOSEPH MICHAEL MAY JR</t>
  </si>
  <si>
    <t>JOSHUA JAMES MINCHER</t>
  </si>
  <si>
    <t>JUSTIN EDWARD LEE</t>
  </si>
  <si>
    <t>KARA JO MCBROOM</t>
  </si>
  <si>
    <t>KAREN SUZAN TAYLOR</t>
  </si>
  <si>
    <t>KATHLEEN JEAN VENZON</t>
  </si>
  <si>
    <t>KEVIN KERWIN KORTZ</t>
  </si>
  <si>
    <t>KRISTI SUZANN ODOM</t>
  </si>
  <si>
    <t>LACI ROSE ANDERS</t>
  </si>
  <si>
    <t>LETICIA DEYANIRA FALCON</t>
  </si>
  <si>
    <t>LISA HERZOG WHITE</t>
  </si>
  <si>
    <t>LOGAN FIDEL CUELLAR</t>
  </si>
  <si>
    <t>LORI JANE COOPER</t>
  </si>
  <si>
    <t>MARCO ANTONIO MARTINEZ</t>
  </si>
  <si>
    <t>MARIA DOLORES ROMAN</t>
  </si>
  <si>
    <t>MARY CATHERINE SHIRRIFFS</t>
  </si>
  <si>
    <t>MELISSA LOPEZ-VALLEJO</t>
  </si>
  <si>
    <t>MICAH LEE SHOEMAKER</t>
  </si>
  <si>
    <t>MICHELE ZANA MATHIS</t>
  </si>
  <si>
    <t>MORGAN LE HARRIS</t>
  </si>
  <si>
    <t>NICOLE ELIZABETH PETERSON</t>
  </si>
  <si>
    <t>OLADUNNI A RAJI</t>
  </si>
  <si>
    <t>OSCAR FLORES</t>
  </si>
  <si>
    <t>OVIDIO ENRIQUE MEZA</t>
  </si>
  <si>
    <t>PAMELA BENNER BLAU</t>
  </si>
  <si>
    <t>PAUL EDWIN JOHNSON</t>
  </si>
  <si>
    <t>PAULA JEAN DRAKE</t>
  </si>
  <si>
    <t>PETRITA TREVINO CHAMPION</t>
  </si>
  <si>
    <t>PHILIP MATTHEW SIKKEMA</t>
  </si>
  <si>
    <t>RAFAEL HERRMANN</t>
  </si>
  <si>
    <t>REBECCA ANN EVERS</t>
  </si>
  <si>
    <t>RICHARD CURTIS TILLMAN JR</t>
  </si>
  <si>
    <t>RIKKI GREEN DEGELIA</t>
  </si>
  <si>
    <t>ROBERT ALLEN PEINE</t>
  </si>
  <si>
    <t>ROBERT AUSTIN RUGELEY JR</t>
  </si>
  <si>
    <t>ROGER DAVID LANDHEER</t>
  </si>
  <si>
    <t>ROSA ADILIA AMAYA</t>
  </si>
  <si>
    <t>SANDRA KAY JEFFERY</t>
  </si>
  <si>
    <t>SARAH BETH GUTIERREZ</t>
  </si>
  <si>
    <t>SARAH LE-ANN STEPHENSON</t>
  </si>
  <si>
    <t>SHELBY DEHART GREGORY</t>
  </si>
  <si>
    <t>SHERRI MITCHELL EDWARDS</t>
  </si>
  <si>
    <t>SHERRY ELAINE CRYSUP</t>
  </si>
  <si>
    <t>STACEY LYNN HARRIS</t>
  </si>
  <si>
    <t>STEVEN MATIAS SALINAS</t>
  </si>
  <si>
    <t>TODD MICHAEL TURNER</t>
  </si>
  <si>
    <t>TOMI LEE SOTO</t>
  </si>
  <si>
    <t>TOMMIE NELL MARLAR</t>
  </si>
  <si>
    <t>TRAVIS ANDREW ROBERTS</t>
  </si>
  <si>
    <t>VALARIE CHRISTINE VILLEGAS</t>
  </si>
  <si>
    <t>VALERIE CAMILLE CUNNINGHAM</t>
  </si>
  <si>
    <t>WILLIAM ANDREW GREGORY</t>
  </si>
  <si>
    <t>WILLIAM RUSSELL BISTLINE</t>
  </si>
  <si>
    <t>ZULEMA CONTRERAS KING</t>
  </si>
  <si>
    <t>DORIS BEUTEL BORTH</t>
  </si>
  <si>
    <t>DIAN ALEXANDER TURNER</t>
  </si>
  <si>
    <t>JACOB DANIEL BELLAMY</t>
  </si>
  <si>
    <t>KATHRYN MARY HANCOCK</t>
  </si>
  <si>
    <t>BRADLEY JAMES KILGORE</t>
  </si>
  <si>
    <t>SUSAN DARLENE MERZ</t>
  </si>
  <si>
    <t>DONALD RAY BARRON</t>
  </si>
  <si>
    <t>DAVID RAY LONG</t>
  </si>
  <si>
    <t>CARA LINDSAY MOORE</t>
  </si>
  <si>
    <t>CHRISTOPHER RON CHAPMAN</t>
  </si>
  <si>
    <t>CRYSTAL MARICELA DUMBECK</t>
  </si>
  <si>
    <t>MICHAEL MAURICE MOUSSETTE</t>
  </si>
  <si>
    <t>IRENE AGUILAR MUNOZ</t>
  </si>
  <si>
    <t>STEVEN CRUZ</t>
  </si>
  <si>
    <t>MICHAEL WAYNE MARTIN</t>
  </si>
  <si>
    <t>MAX RICHARD SEARS</t>
  </si>
  <si>
    <t>ANDRES LEE MARTINEZ</t>
  </si>
  <si>
    <t>CYNTHIA HEPKER</t>
  </si>
  <si>
    <t>ALLAN RAY YOAST</t>
  </si>
  <si>
    <t>SIDNEY SPENCER</t>
  </si>
  <si>
    <t>DENISE DIANE GAINES</t>
  </si>
  <si>
    <t>CYNTHIA LEE NICHOLSON</t>
  </si>
  <si>
    <t>ANNE MATL LAYTON</t>
  </si>
  <si>
    <t>JOEL BENJAMIN SHEPHERD</t>
  </si>
  <si>
    <t>LAUREN ROSE CONTRERAS</t>
  </si>
  <si>
    <t>ALAN MICHAEL MACK</t>
  </si>
  <si>
    <t>PAUL DANIEL SHORT</t>
  </si>
  <si>
    <t>CALEB GARRETT HUDSON</t>
  </si>
  <si>
    <t>MARIE LOUISE FRYER</t>
  </si>
  <si>
    <t>THOMAS LAZARO COLE</t>
  </si>
  <si>
    <t>JOSE ANTHONY JAIMES</t>
  </si>
  <si>
    <t>RENEE DECARLO GRAY</t>
  </si>
  <si>
    <t>BRENDA LEE CANTWELL</t>
  </si>
  <si>
    <t>RICHARD JOSEPH RICHTER</t>
  </si>
  <si>
    <t>TIMOTHY PAUL HAWKINSON</t>
  </si>
  <si>
    <t>DENNIS THOMAS CUNNINGHAM</t>
  </si>
  <si>
    <t>GLEN ARTHUR AMBROSE</t>
  </si>
  <si>
    <t>LEAH LAHELA GANN</t>
  </si>
  <si>
    <t>TAMMY LYNN MILLER</t>
  </si>
  <si>
    <t>MICHAEL JOSEPH REARDON</t>
  </si>
  <si>
    <t>KASSANDRA OLIVIA BURNIAS</t>
  </si>
  <si>
    <t>PRISCILLA GREGORY</t>
  </si>
  <si>
    <t>CRYSTAL YVONNE RODRIGUEZ</t>
  </si>
  <si>
    <t>ANDREW LEE HARPER</t>
  </si>
  <si>
    <t>CONSUELO GUERRERO STRICKEL</t>
  </si>
  <si>
    <t>SOCORRO RODRIGUEZ CADENA</t>
  </si>
  <si>
    <t>KRISTINE MARIE WILHELM</t>
  </si>
  <si>
    <t>DIXIE LOUISE RUSSELL</t>
  </si>
  <si>
    <t>AMY IRENE PAVONE</t>
  </si>
  <si>
    <t>ELISABETH CECELIA LIEBERUM</t>
  </si>
  <si>
    <t>RITA KONZ WHITED</t>
  </si>
  <si>
    <t>TERA LYNN HEINZKE</t>
  </si>
  <si>
    <t>SARAH LEA DEERKOP</t>
  </si>
  <si>
    <t>TWINK HARRISON POTTS</t>
  </si>
  <si>
    <t>MICHAEL EMERSON SCHNEIDER</t>
  </si>
  <si>
    <t>CARL LEE GUTHRIE JR</t>
  </si>
  <si>
    <t>HARRY DEAN SCOTT</t>
  </si>
  <si>
    <t>KIARA ISABEL CASTANEDA</t>
  </si>
  <si>
    <t>TERESA LYNN STURM</t>
  </si>
  <si>
    <t>OLIVIA JARAMILLO</t>
  </si>
  <si>
    <t>BRIAN LAMONT MILLIGAN</t>
  </si>
  <si>
    <t>JANA MARIE MCCANN</t>
  </si>
  <si>
    <t>MONTGOMERY COUNTY CONSTABLE PCT 3</t>
  </si>
  <si>
    <t>MONTGOMERY COUNTY CONSTABLE  PCT4</t>
  </si>
  <si>
    <t>MOTOROLA SOLUTIONS  IN.C</t>
  </si>
  <si>
    <t>EK&amp;R ENTERPRISES  INC</t>
  </si>
  <si>
    <t>MUSTANG MACHINERY COMPANY LTD</t>
  </si>
  <si>
    <t>NACVSO</t>
  </si>
  <si>
    <t>NALCO COMPANY LLC</t>
  </si>
  <si>
    <t>NANCY M. LEWIS</t>
  </si>
  <si>
    <t>NATIONAL FOOD GROUP INC</t>
  </si>
  <si>
    <t>NIECE EQUIPMENT LLC</t>
  </si>
  <si>
    <t>ST DAVID'S HEATHCARE PARTNERSHIP</t>
  </si>
  <si>
    <t>NOTARY PUBLIC UNDERWRITERS</t>
  </si>
  <si>
    <t>O'REILLY AUTOMOTIVE  INC.</t>
  </si>
  <si>
    <t>OFFICE DEPOT</t>
  </si>
  <si>
    <t>ON SITE SERVICES</t>
  </si>
  <si>
    <t>ROGER C. OSBORN</t>
  </si>
  <si>
    <t>P SQUARED EMULSION PLANTS  LLC</t>
  </si>
  <si>
    <t>PAIGE TRACTORS INC</t>
  </si>
  <si>
    <t>PANOLA COUNTY SHERIFF</t>
  </si>
  <si>
    <t>PAPER RETRIEVER OF TEXAS</t>
  </si>
  <si>
    <t>SL PARKER PARTNERSHIP LLC</t>
  </si>
  <si>
    <t>PAROBEK PLUMBING LLC</t>
  </si>
  <si>
    <t>PATTERSON  VETERINARY SUPPLY INC</t>
  </si>
  <si>
    <t>PATTILLO  BROWN &amp; HILL   LLP</t>
  </si>
  <si>
    <t>PAUL GRANADO</t>
  </si>
  <si>
    <t>PFM ASSET MANAGEMENT LLC c/o US BANK</t>
  </si>
  <si>
    <t>PHILIP L HALL</t>
  </si>
  <si>
    <t>PHILIP R DUCLOUX</t>
  </si>
  <si>
    <t>CLYDE HAYWOOD SR</t>
  </si>
  <si>
    <t>JOHN DEERE FINANCIAL f.s.b.</t>
  </si>
  <si>
    <t>POPE PRO ENTERPRISES INC</t>
  </si>
  <si>
    <t>PRODUCTIVITY CENTER INC</t>
  </si>
  <si>
    <t>PROGRESSIVE - RESTITUTION ACCT</t>
  </si>
  <si>
    <t>ELGIN PROVIDENCE LLC</t>
  </si>
  <si>
    <t>PYE-BARKER FIRE &amp; SAFETY LLC</t>
  </si>
  <si>
    <t>QUEST DIAGNOSTICS CLINICAL LABORATORIES</t>
  </si>
  <si>
    <t>REBECA WEATHERLY</t>
  </si>
  <si>
    <t>REBECCA STRNAD</t>
  </si>
  <si>
    <t>NRG ENERGY INC</t>
  </si>
  <si>
    <t>RESERVE ACCOUNT</t>
  </si>
  <si>
    <t>RICHARD ALLAN DICKMAN JR</t>
  </si>
  <si>
    <t>RICOH USA INC</t>
  </si>
  <si>
    <t>CIT TECHNOLOGY FINANCE</t>
  </si>
  <si>
    <t>MIKE DAVIS</t>
  </si>
  <si>
    <t>ROADRUNNER PHARMACY  INC.</t>
  </si>
  <si>
    <t>ROADRUNNER RADIOLOGY EQUIP LLC</t>
  </si>
  <si>
    <t>ROBERT CARVIN</t>
  </si>
  <si>
    <t>ROBERT CLIPPER</t>
  </si>
  <si>
    <t>ROBERT E CANTU M.D. P.A.</t>
  </si>
  <si>
    <t>RUSH AUTOMOTIVE LLC</t>
  </si>
  <si>
    <t>RUSH TRUCK CENTERS OF TEXAS  LP</t>
  </si>
  <si>
    <t>RUTH A. CARROLL</t>
  </si>
  <si>
    <t>SANDY BAHM MD</t>
  </si>
  <si>
    <t>SETON HEALTHCARE SPONSORED PROJECTS</t>
  </si>
  <si>
    <t>SHARON HANCOCK</t>
  </si>
  <si>
    <t>FERRELLGAS  LP</t>
  </si>
  <si>
    <t>SHI GOVERNMENT SOLUTIONS INC.</t>
  </si>
  <si>
    <t>SHRED-IT US HOLDCO  INC</t>
  </si>
  <si>
    <t>RONALD JOHN CALDWELL JR</t>
  </si>
  <si>
    <t>SIMPSON SEPTIC INCORPORATED</t>
  </si>
  <si>
    <t>SINGLETON ASSOCIATES  PA</t>
  </si>
  <si>
    <t>SKILLPATH NATIONAL SEMINARS TRAINING</t>
  </si>
  <si>
    <t>SMITH STORES  INC.</t>
  </si>
  <si>
    <t>SMITHVILLE POLICE DEPT.</t>
  </si>
  <si>
    <t>SOLARWINDS</t>
  </si>
  <si>
    <t>SOUTH CENTRAL PLANNING AND DEVELOPMENT COMMISSION</t>
  </si>
  <si>
    <t>SOUTH TX CO JUDGES' ASSN.</t>
  </si>
  <si>
    <t>SOUTHERN TIRE MART LLC</t>
  </si>
  <si>
    <t>DS WATERS OF AMERICA INC</t>
  </si>
  <si>
    <t>SPECIALTY VETERINARY PHARMACY INC</t>
  </si>
  <si>
    <t>ST DAVID'S HEALTHCARE PARTNERSHIP</t>
  </si>
  <si>
    <t>ST. DAVIDS HEART &amp; VASCULAR  PLLC</t>
  </si>
  <si>
    <t>ST. MARK'S MEDICAL CENTER</t>
  </si>
  <si>
    <t>STAPLES  INC.</t>
  </si>
  <si>
    <t>STATE OF TEXAS</t>
  </si>
  <si>
    <t>STERICYCLE  INC.</t>
  </si>
  <si>
    <t>STEVE GRANADO</t>
  </si>
  <si>
    <t>SUN COAST RESOURCES</t>
  </si>
  <si>
    <t>T&amp;T CONSTRUCTION</t>
  </si>
  <si>
    <t>TAVCO SERVICES INC</t>
  </si>
  <si>
    <t>TEXAS A&amp;M ENGINEERING EXTENSION SERVICE</t>
  </si>
  <si>
    <t>TEJAS ELEVATOR COMPANY</t>
  </si>
  <si>
    <t>TERRA EXCAVATION &amp; CONSTRUCTION LLC</t>
  </si>
  <si>
    <t>AIR RELIEF TECHNOLOGIES  INC</t>
  </si>
  <si>
    <t>TEX-CON OIL CO</t>
  </si>
  <si>
    <t>TEXAN EYE  P.A.</t>
  </si>
  <si>
    <t>TEXAS AGGREGATES  LLC</t>
  </si>
  <si>
    <t>TEXAS ASSOCIATES INSURORS AGENCY</t>
  </si>
  <si>
    <t>TEXAS ASSOCIATION OF COUNTIES</t>
  </si>
  <si>
    <t>TEXAS CRUSHED STONE CO.</t>
  </si>
  <si>
    <t>TEXAS DEPT OF PUBLIC SAFETY</t>
  </si>
  <si>
    <t>TEXAS DISPOSAL SYSTEMS  INC.</t>
  </si>
  <si>
    <t>TEXAS JUSTICE COURT JUDGES ASSOCIATION</t>
  </si>
  <si>
    <t>TEXAS MATERIALS GROUP  INC.</t>
  </si>
  <si>
    <t>TEXAS PARKS &amp; WILDLIFE DEPARTMENT</t>
  </si>
  <si>
    <t>TEXAS POLICE ASSOCIATION</t>
  </si>
  <si>
    <t>TEXAS COMPTROLLER OF PUBLIC ACCOUNTS</t>
  </si>
  <si>
    <t>TEXAS JUSTICE COURT TRAINING CENTER</t>
  </si>
  <si>
    <t>TEXAS STATE UNIVERSITY</t>
  </si>
  <si>
    <t>MADTEX  INC.</t>
  </si>
  <si>
    <t>BUG MASTER EXTERMINATING SERVICES  LTD</t>
  </si>
  <si>
    <t>RICHARD NELSON MOORE</t>
  </si>
  <si>
    <t>THE PRODUCT CENTER</t>
  </si>
  <si>
    <t>WEST PUBLISHING CORPORATION</t>
  </si>
  <si>
    <t>TWE-ADVANCE/NEWHOUSE PARTNERSHIP</t>
  </si>
  <si>
    <t>TELVA D KESLER</t>
  </si>
  <si>
    <t>TOM GREEN COUNTY SHERIFF</t>
  </si>
  <si>
    <t>TRACTOR SUPPLY CREDIT PLAN</t>
  </si>
  <si>
    <t>TRAVIS COUNTY CONSTABLE PCT 5</t>
  </si>
  <si>
    <t>TRAVIS MATERIALS GROUP LTD</t>
  </si>
  <si>
    <t>TRI-COUNTY CLINICAL</t>
  </si>
  <si>
    <t>SETON FAMILY OF DOCTORS</t>
  </si>
  <si>
    <t>TULL FARLEY</t>
  </si>
  <si>
    <t>TWISTED WRENCHES FLEET SERVICE LLC</t>
  </si>
  <si>
    <t>TXMPA</t>
  </si>
  <si>
    <t>SETON FAMILY OF HOSPITALS</t>
  </si>
  <si>
    <t>VERMEER EQUIPMENT OF TEXAS  INC.</t>
  </si>
  <si>
    <t>VETERINARY PROVISIONS  INC</t>
  </si>
  <si>
    <t>VICTORY SUPPLY LLC</t>
  </si>
  <si>
    <t>VINCE KAISER HOMES/VINCENT KAISER</t>
  </si>
  <si>
    <t>US BANK NA</t>
  </si>
  <si>
    <t>VTX COMMUNICATIONS  LLC</t>
  </si>
  <si>
    <t>WASTE CONNECTIONS LONE STAR. INC.</t>
  </si>
  <si>
    <t>WASTE MANAGEMENT OF TEXAS  INC</t>
  </si>
  <si>
    <t>MAO PHARMACY INC</t>
  </si>
  <si>
    <t>WHARTON COUNTY SHERIFF</t>
  </si>
  <si>
    <t>WILLIAMSON COUNTY CONSTABLE PCT 1</t>
  </si>
  <si>
    <t>WILLIAMSON COUNTY CONSTABLE PCT 3</t>
  </si>
  <si>
    <t>WILLIAMSON COUNTY CONSTABLE PCT 4</t>
  </si>
  <si>
    <t>WILLIAMSON COUNTY CONSTABLE PCT 2</t>
  </si>
  <si>
    <t>WILSON 5 LAWN CARE</t>
  </si>
  <si>
    <t>WINZER CORPORATION</t>
  </si>
  <si>
    <t>YVONNE ROCHA</t>
  </si>
  <si>
    <t>ZOETIS US LLC</t>
  </si>
  <si>
    <t>ALAMO  GROUP (TX)  INC</t>
  </si>
  <si>
    <t>AUSTIN GENERATOR SERVICE</t>
  </si>
  <si>
    <t>H2O PARTNERS</t>
  </si>
  <si>
    <t>HALFF ASSOCIATES</t>
  </si>
  <si>
    <t>LEE CONSTRUCTION &amp; MAINTENANCE COMPANY</t>
  </si>
  <si>
    <t>MAASS BUTANE CO. INC.</t>
  </si>
  <si>
    <t>WIND KNOT INCORPORATED</t>
  </si>
  <si>
    <t>ALLSTATE-AMERICAN HERITAGE LIFE INS CO</t>
  </si>
  <si>
    <t>AmWINS Group Benefits  Inc.</t>
  </si>
  <si>
    <t>BASTROP COUNTY ADULT PROBATION</t>
  </si>
  <si>
    <t>COLONIAL LIFE &amp; ACCIDENT INS. CO.</t>
  </si>
  <si>
    <t>GUARDIAN</t>
  </si>
  <si>
    <t>INDIANA STATE CENTRAL COLLECTION UNIT</t>
  </si>
  <si>
    <t>IRS-PAYROLL TAXES</t>
  </si>
  <si>
    <t>GERALD FLORES OLIVO</t>
  </si>
  <si>
    <t>PHI AIR MEDICAL  LLC</t>
  </si>
  <si>
    <t>STERLING HEALTH SERVICES  INC.</t>
  </si>
  <si>
    <t>TAC HEALTH BENEFITS POOL</t>
  </si>
  <si>
    <t>JNT RESOURCE PARTNERS  LP</t>
  </si>
  <si>
    <t>TEXAS ATTY.GENERAL'S OFFICE</t>
  </si>
  <si>
    <t>TEXAS CNTY &amp; DIST RETIREMENT SYS</t>
  </si>
  <si>
    <t>TEXAS LEGAL PROTECTION PLAN INC</t>
  </si>
  <si>
    <t>AUTOZONE PARTS  INC.</t>
  </si>
  <si>
    <t>JIM ATTRA INC</t>
  </si>
  <si>
    <t>MULTI SERVICE TECHNOLOGY SOLUTIONS  INC.</t>
  </si>
  <si>
    <t>CANVA</t>
  </si>
  <si>
    <t>NEW URBAN RESEARCH  INC</t>
  </si>
  <si>
    <t>MUNICIPAL SERVICES BUREAU/GILA GROUP</t>
  </si>
  <si>
    <t>FERGUSON ENTERPRISES  INC.</t>
  </si>
  <si>
    <t>XXVI HOLDINGS INC</t>
  </si>
  <si>
    <t>HARBOR FREIGHT TOOLS USA  INC</t>
  </si>
  <si>
    <t>ARISTO PROPERTY HOLDINGS  INC</t>
  </si>
  <si>
    <t>HOOTSUITE INC</t>
  </si>
  <si>
    <t>LOWE'S</t>
  </si>
  <si>
    <t>MOODY GARDENS HOTEL</t>
  </si>
  <si>
    <t>ENGINEERED PRODUCTS CO  INC</t>
  </si>
  <si>
    <t>POSTMASTER</t>
  </si>
  <si>
    <t>BASTROP CAR WASH SERVICES LLC</t>
  </si>
  <si>
    <t>ROBERT MADDEN INDUSTRIES LTD</t>
  </si>
  <si>
    <t>HAJOCA CORPORATION</t>
  </si>
  <si>
    <t>SHERWIN WILLIAMS CO</t>
  </si>
  <si>
    <t>SHOPPA'S FARM SUPPLY</t>
  </si>
  <si>
    <t>SOCIETY FOR HUMAN RESOURCE MANAGEMENT</t>
  </si>
  <si>
    <t>TEXAS A&amp;M AGRILIFE EXTENSION SERVICE</t>
  </si>
  <si>
    <t>WALMART # 01-1042</t>
  </si>
  <si>
    <t>SILBER HOSPITALITY.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</si>
</sst>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m/dd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3" fontId="2" fillId="0" borderId="0" xfId="1" applyFont="1"/>
    <xf numFmtId="164" fontId="2" fillId="0" borderId="0" xfId="0" applyNumberFormat="1" applyFont="1" applyAlignment="1">
      <alignment horizontal="center"/>
    </xf>
    <xf numFmtId="43" fontId="0" fillId="0" borderId="0" xfId="1" applyFont="1"/>
    <xf numFmtId="164" fontId="0" fillId="0" borderId="0" xfId="0" applyNumberFormat="1" applyAlignment="1">
      <alignment horizontal="center"/>
    </xf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73"/>
  <sheetViews>
    <sheetView tabSelected="1" topLeftCell="A2836" workbookViewId="0"/>
  </sheetViews>
  <sheetFormatPr defaultRowHeight="15" x14ac:dyDescent="0.25"/>
  <cols>
    <col min="1" max="1" width="10.85546875" bestFit="1" customWidth="1"/>
    <col min="2" max="2" width="9.42578125" bestFit="1" customWidth="1"/>
    <col min="3" max="3" width="52.5703125" customWidth="1"/>
    <col min="4" max="4" width="7.7109375" bestFit="1" customWidth="1"/>
    <col min="5" max="5" width="15.42578125" style="4" bestFit="1" customWidth="1"/>
    <col min="6" max="6" width="10.85546875" style="5" bestFit="1" customWidth="1"/>
    <col min="7" max="7" width="18" bestFit="1" customWidth="1"/>
    <col min="8" max="8" width="35" bestFit="1" customWidth="1"/>
    <col min="9" max="9" width="13.28515625" style="4" bestFit="1" customWidth="1"/>
    <col min="10" max="10" width="35.140625" bestFit="1" customWidth="1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2" t="s">
        <v>8</v>
      </c>
      <c r="J1" s="1" t="s">
        <v>9</v>
      </c>
    </row>
    <row r="2" spans="1:10" x14ac:dyDescent="0.25">
      <c r="A2" t="str">
        <f>"01"</f>
        <v>01</v>
      </c>
      <c r="B2" t="str">
        <f>"003799"</f>
        <v>003799</v>
      </c>
      <c r="C2" t="s">
        <v>10</v>
      </c>
      <c r="D2">
        <v>139004</v>
      </c>
      <c r="E2" s="4">
        <v>60</v>
      </c>
      <c r="F2" s="5">
        <v>44606</v>
      </c>
      <c r="G2" t="str">
        <f>"202202088751"</f>
        <v>202202088751</v>
      </c>
      <c r="H2" t="str">
        <f>"REIMBURSE COUPON #24965/27574"</f>
        <v>REIMBURSE COUPON #24965/27574</v>
      </c>
      <c r="I2" s="4">
        <v>60</v>
      </c>
      <c r="J2" t="str">
        <f>"REIMBURSE COUPON #24965/27574"</f>
        <v>REIMBURSE COUPON #24965/27574</v>
      </c>
    </row>
    <row r="3" spans="1:10" x14ac:dyDescent="0.25">
      <c r="A3" t="str">
        <f>"01"</f>
        <v>01</v>
      </c>
      <c r="B3" t="str">
        <f>"001960"</f>
        <v>001960</v>
      </c>
      <c r="C3" t="s">
        <v>11</v>
      </c>
      <c r="D3">
        <v>5750</v>
      </c>
      <c r="E3" s="4">
        <v>142500</v>
      </c>
      <c r="F3" s="5">
        <v>44607</v>
      </c>
      <c r="G3" t="str">
        <f>"202202088819"</f>
        <v>202202088819</v>
      </c>
      <c r="H3" t="str">
        <f>"RFB 21BCP09D - Pay App2"</f>
        <v>RFB 21BCP09D - Pay App2</v>
      </c>
      <c r="I3" s="4">
        <v>142500</v>
      </c>
      <c r="J3" t="str">
        <f>"21BCP09D - Pay App2"</f>
        <v>21BCP09D - Pay App2</v>
      </c>
    </row>
    <row r="4" spans="1:10" x14ac:dyDescent="0.25">
      <c r="A4" t="str">
        <f>"01"</f>
        <v>01</v>
      </c>
      <c r="B4" t="str">
        <f>"000598"</f>
        <v>000598</v>
      </c>
      <c r="C4" t="s">
        <v>12</v>
      </c>
      <c r="D4">
        <v>5745</v>
      </c>
      <c r="E4" s="4">
        <v>22940.55</v>
      </c>
      <c r="F4" s="5">
        <v>44607</v>
      </c>
      <c r="G4" t="str">
        <f>"124266"</f>
        <v>124266</v>
      </c>
      <c r="H4" t="str">
        <f t="shared" ref="H4:H19" si="0">"ACCT#9725-001/PCT#2"</f>
        <v>ACCT#9725-001/PCT#2</v>
      </c>
      <c r="I4" s="4">
        <v>1622.43</v>
      </c>
      <c r="J4" t="str">
        <f t="shared" ref="J4:J19" si="1">"ACCT#9725-001/PCT#2"</f>
        <v>ACCT#9725-001/PCT#2</v>
      </c>
    </row>
    <row r="5" spans="1:10" x14ac:dyDescent="0.25">
      <c r="A5" t="str">
        <f>""</f>
        <v/>
      </c>
      <c r="B5" t="str">
        <f>""</f>
        <v/>
      </c>
      <c r="G5" t="str">
        <f>"124405"</f>
        <v>124405</v>
      </c>
      <c r="H5" t="str">
        <f t="shared" si="0"/>
        <v>ACCT#9725-001/PCT#2</v>
      </c>
      <c r="I5" s="4">
        <v>692.91</v>
      </c>
      <c r="J5" t="str">
        <f t="shared" si="1"/>
        <v>ACCT#9725-001/PCT#2</v>
      </c>
    </row>
    <row r="6" spans="1:10" x14ac:dyDescent="0.25">
      <c r="A6" t="str">
        <f>""</f>
        <v/>
      </c>
      <c r="B6" t="str">
        <f>""</f>
        <v/>
      </c>
      <c r="G6" t="str">
        <f>"124779"</f>
        <v>124779</v>
      </c>
      <c r="H6" t="str">
        <f t="shared" si="0"/>
        <v>ACCT#9725-001/PCT#2</v>
      </c>
      <c r="I6" s="4">
        <v>208.08</v>
      </c>
      <c r="J6" t="str">
        <f t="shared" si="1"/>
        <v>ACCT#9725-001/PCT#2</v>
      </c>
    </row>
    <row r="7" spans="1:10" x14ac:dyDescent="0.25">
      <c r="A7" t="str">
        <f>""</f>
        <v/>
      </c>
      <c r="B7" t="str">
        <f>""</f>
        <v/>
      </c>
      <c r="G7" t="str">
        <f>"124801"</f>
        <v>124801</v>
      </c>
      <c r="H7" t="str">
        <f t="shared" si="0"/>
        <v>ACCT#9725-001/PCT#2</v>
      </c>
      <c r="I7" s="4">
        <v>1783.53</v>
      </c>
      <c r="J7" t="str">
        <f t="shared" si="1"/>
        <v>ACCT#9725-001/PCT#2</v>
      </c>
    </row>
    <row r="8" spans="1:10" x14ac:dyDescent="0.25">
      <c r="A8" t="str">
        <f>""</f>
        <v/>
      </c>
      <c r="B8" t="str">
        <f>""</f>
        <v/>
      </c>
      <c r="G8" t="str">
        <f>"124820"</f>
        <v>124820</v>
      </c>
      <c r="H8" t="str">
        <f t="shared" si="0"/>
        <v>ACCT#9725-001/PCT#2</v>
      </c>
      <c r="I8" s="4">
        <v>208.62</v>
      </c>
      <c r="J8" t="str">
        <f t="shared" si="1"/>
        <v>ACCT#9725-001/PCT#2</v>
      </c>
    </row>
    <row r="9" spans="1:10" x14ac:dyDescent="0.25">
      <c r="A9" t="str">
        <f>""</f>
        <v/>
      </c>
      <c r="B9" t="str">
        <f>""</f>
        <v/>
      </c>
      <c r="G9" t="str">
        <f>"124837"</f>
        <v>124837</v>
      </c>
      <c r="H9" t="str">
        <f t="shared" si="0"/>
        <v>ACCT#9725-001/PCT#2</v>
      </c>
      <c r="I9" s="4">
        <v>412.56</v>
      </c>
      <c r="J9" t="str">
        <f t="shared" si="1"/>
        <v>ACCT#9725-001/PCT#2</v>
      </c>
    </row>
    <row r="10" spans="1:10" x14ac:dyDescent="0.25">
      <c r="A10" t="str">
        <f>""</f>
        <v/>
      </c>
      <c r="B10" t="str">
        <f>""</f>
        <v/>
      </c>
      <c r="G10" t="str">
        <f>"124854"</f>
        <v>124854</v>
      </c>
      <c r="H10" t="str">
        <f t="shared" si="0"/>
        <v>ACCT#9725-001/PCT#2</v>
      </c>
      <c r="I10" s="4">
        <v>1222.1099999999999</v>
      </c>
      <c r="J10" t="str">
        <f t="shared" si="1"/>
        <v>ACCT#9725-001/PCT#2</v>
      </c>
    </row>
    <row r="11" spans="1:10" x14ac:dyDescent="0.25">
      <c r="A11" t="str">
        <f>""</f>
        <v/>
      </c>
      <c r="B11" t="str">
        <f>""</f>
        <v/>
      </c>
      <c r="G11" t="str">
        <f>"124868"</f>
        <v>124868</v>
      </c>
      <c r="H11" t="str">
        <f t="shared" si="0"/>
        <v>ACCT#9725-001/PCT#2</v>
      </c>
      <c r="I11" s="4">
        <v>1022.49</v>
      </c>
      <c r="J11" t="str">
        <f t="shared" si="1"/>
        <v>ACCT#9725-001/PCT#2</v>
      </c>
    </row>
    <row r="12" spans="1:10" x14ac:dyDescent="0.25">
      <c r="A12" t="str">
        <f>""</f>
        <v/>
      </c>
      <c r="B12" t="str">
        <f>""</f>
        <v/>
      </c>
      <c r="G12" t="str">
        <f>"124903"</f>
        <v>124903</v>
      </c>
      <c r="H12" t="str">
        <f t="shared" si="0"/>
        <v>ACCT#9725-001/PCT#2</v>
      </c>
      <c r="I12" s="4">
        <v>1573.83</v>
      </c>
      <c r="J12" t="str">
        <f t="shared" si="1"/>
        <v>ACCT#9725-001/PCT#2</v>
      </c>
    </row>
    <row r="13" spans="1:10" x14ac:dyDescent="0.25">
      <c r="A13" t="str">
        <f>""</f>
        <v/>
      </c>
      <c r="B13" t="str">
        <f>""</f>
        <v/>
      </c>
      <c r="G13" t="str">
        <f>"124919"</f>
        <v>124919</v>
      </c>
      <c r="H13" t="str">
        <f t="shared" si="0"/>
        <v>ACCT#9725-001/PCT#2</v>
      </c>
      <c r="I13" s="4">
        <v>1219.68</v>
      </c>
      <c r="J13" t="str">
        <f t="shared" si="1"/>
        <v>ACCT#9725-001/PCT#2</v>
      </c>
    </row>
    <row r="14" spans="1:10" x14ac:dyDescent="0.25">
      <c r="A14" t="str">
        <f>""</f>
        <v/>
      </c>
      <c r="B14" t="str">
        <f>""</f>
        <v/>
      </c>
      <c r="G14" t="str">
        <f>"124946"</f>
        <v>124946</v>
      </c>
      <c r="H14" t="str">
        <f t="shared" si="0"/>
        <v>ACCT#9725-001/PCT#2</v>
      </c>
      <c r="I14" s="4">
        <v>1554.93</v>
      </c>
      <c r="J14" t="str">
        <f t="shared" si="1"/>
        <v>ACCT#9725-001/PCT#2</v>
      </c>
    </row>
    <row r="15" spans="1:10" x14ac:dyDescent="0.25">
      <c r="A15" t="str">
        <f>""</f>
        <v/>
      </c>
      <c r="B15" t="str">
        <f>""</f>
        <v/>
      </c>
      <c r="G15" t="str">
        <f>"124963"</f>
        <v>124963</v>
      </c>
      <c r="H15" t="str">
        <f t="shared" si="0"/>
        <v>ACCT#9725-001/PCT#2</v>
      </c>
      <c r="I15" s="4">
        <v>2858.4</v>
      </c>
      <c r="J15" t="str">
        <f t="shared" si="1"/>
        <v>ACCT#9725-001/PCT#2</v>
      </c>
    </row>
    <row r="16" spans="1:10" x14ac:dyDescent="0.25">
      <c r="A16" t="str">
        <f>""</f>
        <v/>
      </c>
      <c r="B16" t="str">
        <f>""</f>
        <v/>
      </c>
      <c r="G16" t="str">
        <f>"124986"</f>
        <v>124986</v>
      </c>
      <c r="H16" t="str">
        <f t="shared" si="0"/>
        <v>ACCT#9725-001/PCT#2</v>
      </c>
      <c r="I16" s="4">
        <v>995.13</v>
      </c>
      <c r="J16" t="str">
        <f t="shared" si="1"/>
        <v>ACCT#9725-001/PCT#2</v>
      </c>
    </row>
    <row r="17" spans="1:10" x14ac:dyDescent="0.25">
      <c r="A17" t="str">
        <f>""</f>
        <v/>
      </c>
      <c r="B17" t="str">
        <f>""</f>
        <v/>
      </c>
      <c r="G17" t="str">
        <f>"125009"</f>
        <v>125009</v>
      </c>
      <c r="H17" t="str">
        <f t="shared" si="0"/>
        <v>ACCT#9725-001/PCT#2</v>
      </c>
      <c r="I17" s="4">
        <v>2112.12</v>
      </c>
      <c r="J17" t="str">
        <f t="shared" si="1"/>
        <v>ACCT#9725-001/PCT#2</v>
      </c>
    </row>
    <row r="18" spans="1:10" x14ac:dyDescent="0.25">
      <c r="A18" t="str">
        <f>""</f>
        <v/>
      </c>
      <c r="B18" t="str">
        <f>""</f>
        <v/>
      </c>
      <c r="G18" t="str">
        <f>"125021"</f>
        <v>125021</v>
      </c>
      <c r="H18" t="str">
        <f t="shared" si="0"/>
        <v>ACCT#9725-001/PCT#2</v>
      </c>
      <c r="I18" s="4">
        <v>210.87</v>
      </c>
      <c r="J18" t="str">
        <f t="shared" si="1"/>
        <v>ACCT#9725-001/PCT#2</v>
      </c>
    </row>
    <row r="19" spans="1:10" x14ac:dyDescent="0.25">
      <c r="A19" t="str">
        <f>""</f>
        <v/>
      </c>
      <c r="B19" t="str">
        <f>""</f>
        <v/>
      </c>
      <c r="G19" t="str">
        <f>"125050"</f>
        <v>125050</v>
      </c>
      <c r="H19" t="str">
        <f t="shared" si="0"/>
        <v>ACCT#9725-001/PCT#2</v>
      </c>
      <c r="I19" s="4">
        <v>401.4</v>
      </c>
      <c r="J19" t="str">
        <f t="shared" si="1"/>
        <v>ACCT#9725-001/PCT#2</v>
      </c>
    </row>
    <row r="20" spans="1:10" x14ac:dyDescent="0.25">
      <c r="A20" t="str">
        <f>""</f>
        <v/>
      </c>
      <c r="B20" t="str">
        <f>""</f>
        <v/>
      </c>
      <c r="G20" t="str">
        <f>"125071"</f>
        <v>125071</v>
      </c>
      <c r="H20" t="str">
        <f>"ACCT#9725-001"</f>
        <v>ACCT#9725-001</v>
      </c>
      <c r="I20" s="4">
        <v>986.67</v>
      </c>
      <c r="J20" t="str">
        <f>"ACCT#9725-001"</f>
        <v>ACCT#9725-001</v>
      </c>
    </row>
    <row r="21" spans="1:10" x14ac:dyDescent="0.25">
      <c r="A21" t="str">
        <f>""</f>
        <v/>
      </c>
      <c r="B21" t="str">
        <f>""</f>
        <v/>
      </c>
      <c r="G21" t="str">
        <f>"125111"</f>
        <v>125111</v>
      </c>
      <c r="H21" t="str">
        <f>"ACCT#9725-001/PCT#2"</f>
        <v>ACCT#9725-001/PCT#2</v>
      </c>
      <c r="I21" s="4">
        <v>1002.87</v>
      </c>
      <c r="J21" t="str">
        <f>"ACCT#9725-001/PCT#2"</f>
        <v>ACCT#9725-001/PCT#2</v>
      </c>
    </row>
    <row r="22" spans="1:10" x14ac:dyDescent="0.25">
      <c r="A22" t="str">
        <f>""</f>
        <v/>
      </c>
      <c r="B22" t="str">
        <f>""</f>
        <v/>
      </c>
      <c r="G22" t="str">
        <f>"125128"</f>
        <v>125128</v>
      </c>
      <c r="H22" t="str">
        <f>"ACCT#9725-001/PCT#2"</f>
        <v>ACCT#9725-001/PCT#2</v>
      </c>
      <c r="I22" s="4">
        <v>201.96</v>
      </c>
      <c r="J22" t="str">
        <f>"ACCT#9725-001/PCT#2"</f>
        <v>ACCT#9725-001/PCT#2</v>
      </c>
    </row>
    <row r="23" spans="1:10" x14ac:dyDescent="0.25">
      <c r="A23" t="str">
        <f>""</f>
        <v/>
      </c>
      <c r="B23" t="str">
        <f>""</f>
        <v/>
      </c>
      <c r="G23" t="str">
        <f>"125153"</f>
        <v>125153</v>
      </c>
      <c r="H23" t="str">
        <f>"ACCT#9725-001/PCT#2"</f>
        <v>ACCT#9725-001/PCT#2</v>
      </c>
      <c r="I23" s="4">
        <v>1795.23</v>
      </c>
      <c r="J23" t="str">
        <f>"ACCT#9725-001/PCT#2"</f>
        <v>ACCT#9725-001/PCT#2</v>
      </c>
    </row>
    <row r="24" spans="1:10" x14ac:dyDescent="0.25">
      <c r="A24" t="str">
        <f>""</f>
        <v/>
      </c>
      <c r="B24" t="str">
        <f>""</f>
        <v/>
      </c>
      <c r="G24" t="str">
        <f>"125210"</f>
        <v>125210</v>
      </c>
      <c r="H24" t="str">
        <f>"ACCT#125210-004/PCT#1"</f>
        <v>ACCT#125210-004/PCT#1</v>
      </c>
      <c r="I24" s="4">
        <v>646.83000000000004</v>
      </c>
      <c r="J24" t="str">
        <f>"ACCT#125210-004/PCT#1"</f>
        <v>ACCT#125210-004/PCT#1</v>
      </c>
    </row>
    <row r="25" spans="1:10" x14ac:dyDescent="0.25">
      <c r="A25" t="str">
        <f>""</f>
        <v/>
      </c>
      <c r="B25" t="str">
        <f>""</f>
        <v/>
      </c>
      <c r="G25" t="str">
        <f>"9725-001-125178"</f>
        <v>9725-001-125178</v>
      </c>
      <c r="H25" t="str">
        <f>"ACCT#9725-001/PCT#2"</f>
        <v>ACCT#9725-001/PCT#2</v>
      </c>
      <c r="I25" s="4">
        <v>207.9</v>
      </c>
      <c r="J25" t="str">
        <f>"ACCT#9725-001/PCT#2"</f>
        <v>ACCT#9725-001/PCT#2</v>
      </c>
    </row>
    <row r="26" spans="1:10" x14ac:dyDescent="0.25">
      <c r="A26" t="str">
        <f t="shared" ref="A26:A31" si="2">"01"</f>
        <v>01</v>
      </c>
      <c r="B26" t="str">
        <f>"002656"</f>
        <v>002656</v>
      </c>
      <c r="C26" t="s">
        <v>13</v>
      </c>
      <c r="D26">
        <v>139005</v>
      </c>
      <c r="E26" s="4">
        <v>30</v>
      </c>
      <c r="F26" s="5">
        <v>44606</v>
      </c>
      <c r="G26" t="str">
        <f>"202202088750"</f>
        <v>202202088750</v>
      </c>
      <c r="H26" t="str">
        <f>"REIMBURSE COUPON #24947/24942"</f>
        <v>REIMBURSE COUPON #24947/24942</v>
      </c>
      <c r="I26" s="4">
        <v>30</v>
      </c>
      <c r="J26" t="str">
        <f>"REIMBURSE COUPON #24947/24942"</f>
        <v>REIMBURSE COUPON #24947/24942</v>
      </c>
    </row>
    <row r="27" spans="1:10" x14ac:dyDescent="0.25">
      <c r="A27" t="str">
        <f t="shared" si="2"/>
        <v>01</v>
      </c>
      <c r="B27" t="str">
        <f>"002656"</f>
        <v>002656</v>
      </c>
      <c r="C27" t="s">
        <v>13</v>
      </c>
      <c r="D27">
        <v>139243</v>
      </c>
      <c r="E27" s="4">
        <v>30</v>
      </c>
      <c r="F27" s="5">
        <v>44620</v>
      </c>
      <c r="G27" t="str">
        <f>"202202239328"</f>
        <v>202202239328</v>
      </c>
      <c r="H27" t="str">
        <f>"COUPONS 24950/24954"</f>
        <v>COUPONS 24950/24954</v>
      </c>
      <c r="I27" s="4">
        <v>30</v>
      </c>
      <c r="J27" t="str">
        <f>"COUPONS 24950/24954"</f>
        <v>COUPONS 24950/24954</v>
      </c>
    </row>
    <row r="28" spans="1:10" x14ac:dyDescent="0.25">
      <c r="A28" t="str">
        <f t="shared" si="2"/>
        <v>01</v>
      </c>
      <c r="B28" t="str">
        <f>"ALINE"</f>
        <v>ALINE</v>
      </c>
      <c r="C28" t="s">
        <v>14</v>
      </c>
      <c r="D28">
        <v>139006</v>
      </c>
      <c r="E28" s="4">
        <v>1226.0999999999999</v>
      </c>
      <c r="F28" s="5">
        <v>44606</v>
      </c>
      <c r="G28" t="str">
        <f>"452329"</f>
        <v>452329</v>
      </c>
      <c r="H28" t="str">
        <f>"CUST#16500/PCT#4"</f>
        <v>CUST#16500/PCT#4</v>
      </c>
      <c r="I28" s="4">
        <v>1226.0999999999999</v>
      </c>
      <c r="J28" t="str">
        <f>"CUST#16500/PCT#4"</f>
        <v>CUST#16500/PCT#4</v>
      </c>
    </row>
    <row r="29" spans="1:10" x14ac:dyDescent="0.25">
      <c r="A29" t="str">
        <f t="shared" si="2"/>
        <v>01</v>
      </c>
      <c r="B29" t="str">
        <f>"006160"</f>
        <v>006160</v>
      </c>
      <c r="C29" t="s">
        <v>15</v>
      </c>
      <c r="D29">
        <v>139244</v>
      </c>
      <c r="E29" s="4">
        <v>14.99</v>
      </c>
      <c r="F29" s="5">
        <v>44620</v>
      </c>
      <c r="G29" t="str">
        <f>"202202229304"</f>
        <v>202202229304</v>
      </c>
      <c r="H29" t="str">
        <f>"REIMBURSEMENT"</f>
        <v>REIMBURSEMENT</v>
      </c>
      <c r="I29" s="4">
        <v>14.99</v>
      </c>
      <c r="J29" t="str">
        <f>"REIMBURSEMENT"</f>
        <v>REIMBURSEMENT</v>
      </c>
    </row>
    <row r="30" spans="1:10" x14ac:dyDescent="0.25">
      <c r="A30" t="str">
        <f t="shared" si="2"/>
        <v>01</v>
      </c>
      <c r="B30" t="str">
        <f>"ACE"</f>
        <v>ACE</v>
      </c>
      <c r="C30" t="s">
        <v>16</v>
      </c>
      <c r="D30">
        <v>139007</v>
      </c>
      <c r="E30" s="4">
        <v>179.78</v>
      </c>
      <c r="F30" s="5">
        <v>44606</v>
      </c>
      <c r="G30" t="str">
        <f>"S145445"</f>
        <v>S145445</v>
      </c>
      <c r="H30" t="str">
        <f>"CUST#12581/PCT#1"</f>
        <v>CUST#12581/PCT#1</v>
      </c>
      <c r="I30" s="4">
        <v>179.78</v>
      </c>
      <c r="J30" t="str">
        <f>"CUST#12581/PCT#1"</f>
        <v>CUST#12581/PCT#1</v>
      </c>
    </row>
    <row r="31" spans="1:10" x14ac:dyDescent="0.25">
      <c r="A31" t="str">
        <f t="shared" si="2"/>
        <v>01</v>
      </c>
      <c r="B31" t="str">
        <f>"000954"</f>
        <v>000954</v>
      </c>
      <c r="C31" t="s">
        <v>17</v>
      </c>
      <c r="D31">
        <v>139008</v>
      </c>
      <c r="E31" s="4">
        <v>1718.75</v>
      </c>
      <c r="F31" s="5">
        <v>44606</v>
      </c>
      <c r="G31" t="str">
        <f>"202202088776"</f>
        <v>202202088776</v>
      </c>
      <c r="H31" t="str">
        <f>"21-20742"</f>
        <v>21-20742</v>
      </c>
      <c r="I31" s="4">
        <v>31.25</v>
      </c>
      <c r="J31" t="str">
        <f>"21-20742"</f>
        <v>21-20742</v>
      </c>
    </row>
    <row r="32" spans="1:10" x14ac:dyDescent="0.25">
      <c r="A32" t="str">
        <f>""</f>
        <v/>
      </c>
      <c r="B32" t="str">
        <f>""</f>
        <v/>
      </c>
      <c r="G32" t="str">
        <f>"202202088777"</f>
        <v>202202088777</v>
      </c>
      <c r="H32" t="str">
        <f>"21-20845"</f>
        <v>21-20845</v>
      </c>
      <c r="I32" s="4">
        <v>906.25</v>
      </c>
      <c r="J32" t="str">
        <f>"21-20845"</f>
        <v>21-20845</v>
      </c>
    </row>
    <row r="33" spans="1:10" x14ac:dyDescent="0.25">
      <c r="A33" t="str">
        <f>""</f>
        <v/>
      </c>
      <c r="B33" t="str">
        <f>""</f>
        <v/>
      </c>
      <c r="G33" t="str">
        <f>"202202088778"</f>
        <v>202202088778</v>
      </c>
      <c r="H33" t="str">
        <f>"22-21082"</f>
        <v>22-21082</v>
      </c>
      <c r="I33" s="4">
        <v>187.5</v>
      </c>
      <c r="J33" t="str">
        <f>"22-21082"</f>
        <v>22-21082</v>
      </c>
    </row>
    <row r="34" spans="1:10" x14ac:dyDescent="0.25">
      <c r="A34" t="str">
        <f>""</f>
        <v/>
      </c>
      <c r="B34" t="str">
        <f>""</f>
        <v/>
      </c>
      <c r="G34" t="str">
        <f>"202202088779"</f>
        <v>202202088779</v>
      </c>
      <c r="H34" t="str">
        <f>"22-21105"</f>
        <v>22-21105</v>
      </c>
      <c r="I34" s="4">
        <v>187.5</v>
      </c>
      <c r="J34" t="str">
        <f>"22-21105"</f>
        <v>22-21105</v>
      </c>
    </row>
    <row r="35" spans="1:10" x14ac:dyDescent="0.25">
      <c r="A35" t="str">
        <f>""</f>
        <v/>
      </c>
      <c r="B35" t="str">
        <f>""</f>
        <v/>
      </c>
      <c r="G35" t="str">
        <f>"202202088780"</f>
        <v>202202088780</v>
      </c>
      <c r="H35" t="str">
        <f>"21-20807"</f>
        <v>21-20807</v>
      </c>
      <c r="I35" s="4">
        <v>31.25</v>
      </c>
      <c r="J35" t="str">
        <f>"21-20807"</f>
        <v>21-20807</v>
      </c>
    </row>
    <row r="36" spans="1:10" x14ac:dyDescent="0.25">
      <c r="A36" t="str">
        <f>""</f>
        <v/>
      </c>
      <c r="B36" t="str">
        <f>""</f>
        <v/>
      </c>
      <c r="G36" t="str">
        <f>"202202088781"</f>
        <v>202202088781</v>
      </c>
      <c r="H36" t="str">
        <f>"21-20905"</f>
        <v>21-20905</v>
      </c>
      <c r="I36" s="4">
        <v>93.75</v>
      </c>
      <c r="J36" t="str">
        <f>"21-20905"</f>
        <v>21-20905</v>
      </c>
    </row>
    <row r="37" spans="1:10" x14ac:dyDescent="0.25">
      <c r="A37" t="str">
        <f>""</f>
        <v/>
      </c>
      <c r="B37" t="str">
        <f>""</f>
        <v/>
      </c>
      <c r="G37" t="str">
        <f>"202202088782"</f>
        <v>202202088782</v>
      </c>
      <c r="H37" t="str">
        <f>"20-20321"</f>
        <v>20-20321</v>
      </c>
      <c r="I37" s="4">
        <v>125</v>
      </c>
      <c r="J37" t="str">
        <f>"20-20321"</f>
        <v>20-20321</v>
      </c>
    </row>
    <row r="38" spans="1:10" x14ac:dyDescent="0.25">
      <c r="A38" t="str">
        <f>""</f>
        <v/>
      </c>
      <c r="B38" t="str">
        <f>""</f>
        <v/>
      </c>
      <c r="G38" t="str">
        <f>"202202088783"</f>
        <v>202202088783</v>
      </c>
      <c r="H38" t="str">
        <f>"21-20568"</f>
        <v>21-20568</v>
      </c>
      <c r="I38" s="4">
        <v>62.5</v>
      </c>
      <c r="J38" t="str">
        <f>"21-20568"</f>
        <v>21-20568</v>
      </c>
    </row>
    <row r="39" spans="1:10" x14ac:dyDescent="0.25">
      <c r="A39" t="str">
        <f>""</f>
        <v/>
      </c>
      <c r="B39" t="str">
        <f>""</f>
        <v/>
      </c>
      <c r="G39" t="str">
        <f>"202202088784"</f>
        <v>202202088784</v>
      </c>
      <c r="H39" t="str">
        <f>"20-20077"</f>
        <v>20-20077</v>
      </c>
      <c r="I39" s="4">
        <v>31.25</v>
      </c>
      <c r="J39" t="str">
        <f>"20-20077"</f>
        <v>20-20077</v>
      </c>
    </row>
    <row r="40" spans="1:10" x14ac:dyDescent="0.25">
      <c r="A40" t="str">
        <f>""</f>
        <v/>
      </c>
      <c r="B40" t="str">
        <f>""</f>
        <v/>
      </c>
      <c r="G40" t="str">
        <f>"202202088785"</f>
        <v>202202088785</v>
      </c>
      <c r="H40" t="str">
        <f>"21-20840"</f>
        <v>21-20840</v>
      </c>
      <c r="I40" s="4">
        <v>62.5</v>
      </c>
      <c r="J40" t="str">
        <f>"21-20840"</f>
        <v>21-20840</v>
      </c>
    </row>
    <row r="41" spans="1:10" x14ac:dyDescent="0.25">
      <c r="A41" t="str">
        <f>"01"</f>
        <v>01</v>
      </c>
      <c r="B41" t="str">
        <f>"003117"</f>
        <v>003117</v>
      </c>
      <c r="C41" t="s">
        <v>18</v>
      </c>
      <c r="D41">
        <v>5755</v>
      </c>
      <c r="E41" s="4">
        <v>694.73</v>
      </c>
      <c r="F41" s="5">
        <v>44607</v>
      </c>
      <c r="G41" t="str">
        <f>"202202028737"</f>
        <v>202202028737</v>
      </c>
      <c r="H41" t="str">
        <f>"REIMBURSE/ADENA LEWIS"</f>
        <v>REIMBURSE/ADENA LEWIS</v>
      </c>
      <c r="I41" s="4">
        <v>295</v>
      </c>
      <c r="J41" t="str">
        <f>"REIMBURSE/ADENA LEWIS"</f>
        <v>REIMBURSE/ADENA LEWIS</v>
      </c>
    </row>
    <row r="42" spans="1:10" x14ac:dyDescent="0.25">
      <c r="A42" t="str">
        <f>""</f>
        <v/>
      </c>
      <c r="B42" t="str">
        <f>""</f>
        <v/>
      </c>
      <c r="G42" t="str">
        <f>"202202098849"</f>
        <v>202202098849</v>
      </c>
      <c r="H42" t="str">
        <f>"REIMBURSE/ADENA LEWIS"</f>
        <v>REIMBURSE/ADENA LEWIS</v>
      </c>
      <c r="I42" s="4">
        <v>93.8</v>
      </c>
      <c r="J42" t="str">
        <f>"REIMBURSE/ADENA LEWIS"</f>
        <v>REIMBURSE/ADENA LEWIS</v>
      </c>
    </row>
    <row r="43" spans="1:10" x14ac:dyDescent="0.25">
      <c r="A43" t="str">
        <f>""</f>
        <v/>
      </c>
      <c r="B43" t="str">
        <f>""</f>
        <v/>
      </c>
      <c r="G43" t="str">
        <f>"202202098850"</f>
        <v>202202098850</v>
      </c>
      <c r="H43" t="str">
        <f>"REIMBURSE/ADENA LEWIS"</f>
        <v>REIMBURSE/ADENA LEWIS</v>
      </c>
      <c r="I43" s="4">
        <v>305.93</v>
      </c>
      <c r="J43" t="str">
        <f>"REIMBURSE/ADENA LEWIS"</f>
        <v>REIMBURSE/ADENA LEWIS</v>
      </c>
    </row>
    <row r="44" spans="1:10" x14ac:dyDescent="0.25">
      <c r="A44" t="str">
        <f t="shared" ref="A44:A49" si="3">"01"</f>
        <v>01</v>
      </c>
      <c r="B44" t="str">
        <f>"T6115"</f>
        <v>T6115</v>
      </c>
      <c r="C44" t="s">
        <v>19</v>
      </c>
      <c r="D44">
        <v>139009</v>
      </c>
      <c r="E44" s="4">
        <v>251.84</v>
      </c>
      <c r="F44" s="5">
        <v>44606</v>
      </c>
      <c r="G44" t="str">
        <f>"208428"</f>
        <v>208428</v>
      </c>
      <c r="H44" t="str">
        <f>"INV 208428"</f>
        <v>INV 208428</v>
      </c>
      <c r="I44" s="4">
        <v>251.84</v>
      </c>
      <c r="J44" t="str">
        <f>"INV 208428"</f>
        <v>INV 208428</v>
      </c>
    </row>
    <row r="45" spans="1:10" x14ac:dyDescent="0.25">
      <c r="A45" t="str">
        <f t="shared" si="3"/>
        <v>01</v>
      </c>
      <c r="B45" t="str">
        <f>"006864"</f>
        <v>006864</v>
      </c>
      <c r="C45" t="s">
        <v>20</v>
      </c>
      <c r="D45">
        <v>139010</v>
      </c>
      <c r="E45" s="4">
        <v>279.25</v>
      </c>
      <c r="F45" s="5">
        <v>44606</v>
      </c>
      <c r="G45" t="str">
        <f>"202202098933"</f>
        <v>202202098933</v>
      </c>
      <c r="H45" t="str">
        <f>"ACCT#556850411969495/DA OFFICE"</f>
        <v>ACCT#556850411969495/DA OFFICE</v>
      </c>
      <c r="I45" s="4">
        <v>279.25</v>
      </c>
      <c r="J45" t="str">
        <f>"ACCT#556850411969495/DA OFFICE"</f>
        <v>ACCT#556850411969495/DA OFFICE</v>
      </c>
    </row>
    <row r="46" spans="1:10" x14ac:dyDescent="0.25">
      <c r="A46" t="str">
        <f t="shared" si="3"/>
        <v>01</v>
      </c>
      <c r="B46" t="str">
        <f>"KWS"</f>
        <v>KWS</v>
      </c>
      <c r="C46" t="s">
        <v>21</v>
      </c>
      <c r="D46">
        <v>139011</v>
      </c>
      <c r="E46" s="4">
        <v>193.62</v>
      </c>
      <c r="F46" s="5">
        <v>44606</v>
      </c>
      <c r="G46" t="str">
        <f>"9121563813"</f>
        <v>9121563813</v>
      </c>
      <c r="H46" t="str">
        <f>"ACCT#2278443/PCT#2"</f>
        <v>ACCT#2278443/PCT#2</v>
      </c>
      <c r="I46" s="4">
        <v>193.62</v>
      </c>
      <c r="J46" t="str">
        <f>"ACCT#2278443/PCT#2"</f>
        <v>ACCT#2278443/PCT#2</v>
      </c>
    </row>
    <row r="47" spans="1:10" x14ac:dyDescent="0.25">
      <c r="A47" t="str">
        <f t="shared" si="3"/>
        <v>01</v>
      </c>
      <c r="B47" t="str">
        <f>"KWS"</f>
        <v>KWS</v>
      </c>
      <c r="C47" t="s">
        <v>21</v>
      </c>
      <c r="D47">
        <v>139245</v>
      </c>
      <c r="E47" s="4">
        <v>113.12</v>
      </c>
      <c r="F47" s="5">
        <v>44620</v>
      </c>
      <c r="G47" t="str">
        <f>"9122541759"</f>
        <v>9122541759</v>
      </c>
      <c r="H47" t="str">
        <f>"PAYER#2278443/PCT#2"</f>
        <v>PAYER#2278443/PCT#2</v>
      </c>
      <c r="I47" s="4">
        <v>113.12</v>
      </c>
      <c r="J47" t="str">
        <f>"PAYER#2278443/PCT#2"</f>
        <v>PAYER#2278443/PCT#2</v>
      </c>
    </row>
    <row r="48" spans="1:10" x14ac:dyDescent="0.25">
      <c r="A48" t="str">
        <f t="shared" si="3"/>
        <v>01</v>
      </c>
      <c r="B48" t="str">
        <f>"006050"</f>
        <v>006050</v>
      </c>
      <c r="C48" t="s">
        <v>22</v>
      </c>
      <c r="D48">
        <v>139246</v>
      </c>
      <c r="E48" s="4">
        <v>2795.9</v>
      </c>
      <c r="F48" s="5">
        <v>44620</v>
      </c>
      <c r="G48" t="str">
        <f>"70785"</f>
        <v>70785</v>
      </c>
      <c r="H48" t="str">
        <f>"WO#3551/PCT#3"</f>
        <v>WO#3551/PCT#3</v>
      </c>
      <c r="I48" s="4">
        <v>2795.9</v>
      </c>
      <c r="J48" t="str">
        <f>"WO#3551/PCT#3"</f>
        <v>WO#3551/PCT#3</v>
      </c>
    </row>
    <row r="49" spans="1:10" x14ac:dyDescent="0.25">
      <c r="A49" t="str">
        <f t="shared" si="3"/>
        <v>01</v>
      </c>
      <c r="B49" t="str">
        <f>"NPP"</f>
        <v>NPP</v>
      </c>
      <c r="C49" t="s">
        <v>23</v>
      </c>
      <c r="D49">
        <v>5793</v>
      </c>
      <c r="E49" s="4">
        <v>1250</v>
      </c>
      <c r="F49" s="5">
        <v>44607</v>
      </c>
      <c r="G49" t="str">
        <f>"202201258517"</f>
        <v>202201258517</v>
      </c>
      <c r="H49" t="str">
        <f>"1931-335"</f>
        <v>1931-335</v>
      </c>
      <c r="I49" s="4">
        <v>100</v>
      </c>
      <c r="J49" t="str">
        <f>"1931-335"</f>
        <v>1931-335</v>
      </c>
    </row>
    <row r="50" spans="1:10" x14ac:dyDescent="0.25">
      <c r="A50" t="str">
        <f>""</f>
        <v/>
      </c>
      <c r="B50" t="str">
        <f>""</f>
        <v/>
      </c>
      <c r="G50" t="str">
        <f>"202201258518"</f>
        <v>202201258518</v>
      </c>
      <c r="H50" t="str">
        <f>"423-8126"</f>
        <v>423-8126</v>
      </c>
      <c r="I50" s="4">
        <v>100</v>
      </c>
      <c r="J50" t="str">
        <f>"423-8126"</f>
        <v>423-8126</v>
      </c>
    </row>
    <row r="51" spans="1:10" x14ac:dyDescent="0.25">
      <c r="A51" t="str">
        <f>""</f>
        <v/>
      </c>
      <c r="B51" t="str">
        <f>""</f>
        <v/>
      </c>
      <c r="G51" t="str">
        <f>"202201258519"</f>
        <v>202201258519</v>
      </c>
      <c r="H51" t="str">
        <f>"1985-335"</f>
        <v>1985-335</v>
      </c>
      <c r="I51" s="4">
        <v>100</v>
      </c>
      <c r="J51" t="str">
        <f>"1985-335"</f>
        <v>1985-335</v>
      </c>
    </row>
    <row r="52" spans="1:10" x14ac:dyDescent="0.25">
      <c r="A52" t="str">
        <f>""</f>
        <v/>
      </c>
      <c r="B52" t="str">
        <f>""</f>
        <v/>
      </c>
      <c r="G52" t="str">
        <f>"202201258520"</f>
        <v>202201258520</v>
      </c>
      <c r="H52" t="str">
        <f>"1881-335"</f>
        <v>1881-335</v>
      </c>
      <c r="I52" s="4">
        <v>100</v>
      </c>
      <c r="J52" t="str">
        <f>"1881-335"</f>
        <v>1881-335</v>
      </c>
    </row>
    <row r="53" spans="1:10" x14ac:dyDescent="0.25">
      <c r="A53" t="str">
        <f>""</f>
        <v/>
      </c>
      <c r="B53" t="str">
        <f>""</f>
        <v/>
      </c>
      <c r="G53" t="str">
        <f>"202201258521"</f>
        <v>202201258521</v>
      </c>
      <c r="H53" t="str">
        <f>"1934-335"</f>
        <v>1934-335</v>
      </c>
      <c r="I53" s="4">
        <v>100</v>
      </c>
      <c r="J53" t="str">
        <f>"1934-335"</f>
        <v>1934-335</v>
      </c>
    </row>
    <row r="54" spans="1:10" x14ac:dyDescent="0.25">
      <c r="A54" t="str">
        <f>""</f>
        <v/>
      </c>
      <c r="B54" t="str">
        <f>""</f>
        <v/>
      </c>
      <c r="G54" t="str">
        <f>"202201258522"</f>
        <v>202201258522</v>
      </c>
      <c r="H54" t="str">
        <f>"1927-21"</f>
        <v>1927-21</v>
      </c>
      <c r="I54" s="4">
        <v>100</v>
      </c>
      <c r="J54" t="str">
        <f>"1927-21"</f>
        <v>1927-21</v>
      </c>
    </row>
    <row r="55" spans="1:10" x14ac:dyDescent="0.25">
      <c r="A55" t="str">
        <f>""</f>
        <v/>
      </c>
      <c r="B55" t="str">
        <f>""</f>
        <v/>
      </c>
      <c r="G55" t="str">
        <f>"202201258523"</f>
        <v>202201258523</v>
      </c>
      <c r="H55" t="str">
        <f>"JP10130202B"</f>
        <v>JP10130202B</v>
      </c>
      <c r="I55" s="4">
        <v>250</v>
      </c>
      <c r="J55" t="str">
        <f>"JP10130202B"</f>
        <v>JP10130202B</v>
      </c>
    </row>
    <row r="56" spans="1:10" x14ac:dyDescent="0.25">
      <c r="A56" t="str">
        <f>""</f>
        <v/>
      </c>
      <c r="B56" t="str">
        <f>""</f>
        <v/>
      </c>
      <c r="G56" t="str">
        <f>"202201258524"</f>
        <v>202201258524</v>
      </c>
      <c r="H56" t="str">
        <f>"21-20939"</f>
        <v>21-20939</v>
      </c>
      <c r="I56" s="4">
        <v>100</v>
      </c>
      <c r="J56" t="str">
        <f>"21-20939"</f>
        <v>21-20939</v>
      </c>
    </row>
    <row r="57" spans="1:10" x14ac:dyDescent="0.25">
      <c r="A57" t="str">
        <f>""</f>
        <v/>
      </c>
      <c r="B57" t="str">
        <f>""</f>
        <v/>
      </c>
      <c r="G57" t="str">
        <f>"202201258525"</f>
        <v>202201258525</v>
      </c>
      <c r="H57" t="str">
        <f>"21-20938"</f>
        <v>21-20938</v>
      </c>
      <c r="I57" s="4">
        <v>100</v>
      </c>
      <c r="J57" t="str">
        <f>"21-20938"</f>
        <v>21-20938</v>
      </c>
    </row>
    <row r="58" spans="1:10" x14ac:dyDescent="0.25">
      <c r="A58" t="str">
        <f>""</f>
        <v/>
      </c>
      <c r="B58" t="str">
        <f>""</f>
        <v/>
      </c>
      <c r="G58" t="str">
        <f>"202201318658"</f>
        <v>202201318658</v>
      </c>
      <c r="H58" t="str">
        <f>"423-8243"</f>
        <v>423-8243</v>
      </c>
      <c r="I58" s="4">
        <v>100</v>
      </c>
      <c r="J58" t="str">
        <f>"423-8243"</f>
        <v>423-8243</v>
      </c>
    </row>
    <row r="59" spans="1:10" x14ac:dyDescent="0.25">
      <c r="A59" t="str">
        <f>""</f>
        <v/>
      </c>
      <c r="B59" t="str">
        <f>""</f>
        <v/>
      </c>
      <c r="G59" t="str">
        <f>"202201318659"</f>
        <v>202201318659</v>
      </c>
      <c r="H59" t="str">
        <f>"423-8256"</f>
        <v>423-8256</v>
      </c>
      <c r="I59" s="4">
        <v>100</v>
      </c>
      <c r="J59" t="str">
        <f>"423-8256"</f>
        <v>423-8256</v>
      </c>
    </row>
    <row r="60" spans="1:10" x14ac:dyDescent="0.25">
      <c r="A60" t="str">
        <f>"01"</f>
        <v>01</v>
      </c>
      <c r="B60" t="str">
        <f>"005237"</f>
        <v>005237</v>
      </c>
      <c r="C60" t="s">
        <v>24</v>
      </c>
      <c r="D60">
        <v>5767</v>
      </c>
      <c r="E60" s="4">
        <v>2899.16</v>
      </c>
      <c r="F60" s="5">
        <v>44607</v>
      </c>
      <c r="G60" t="str">
        <f>"202201318603"</f>
        <v>202201318603</v>
      </c>
      <c r="H60" t="str">
        <f>"Amazon Clorox"</f>
        <v>Amazon Clorox</v>
      </c>
      <c r="I60" s="4">
        <v>190.5</v>
      </c>
      <c r="J60" t="str">
        <f>"Clorox Wipes"</f>
        <v>Clorox Wipes</v>
      </c>
    </row>
    <row r="61" spans="1:10" x14ac:dyDescent="0.25">
      <c r="A61" t="str">
        <f>""</f>
        <v/>
      </c>
      <c r="B61" t="str">
        <f>""</f>
        <v/>
      </c>
      <c r="G61" t="str">
        <f>"202201318606"</f>
        <v>202201318606</v>
      </c>
      <c r="H61" t="str">
        <f>"AMAZON CAPITAL SERVICES INC"</f>
        <v>AMAZON CAPITAL SERVICES INC</v>
      </c>
      <c r="I61" s="4">
        <v>22.99</v>
      </c>
      <c r="J61" t="str">
        <f>"Trash Bags"</f>
        <v>Trash Bags</v>
      </c>
    </row>
    <row r="62" spans="1:10" x14ac:dyDescent="0.25">
      <c r="A62" t="str">
        <f>""</f>
        <v/>
      </c>
      <c r="B62" t="str">
        <f>""</f>
        <v/>
      </c>
      <c r="G62" t="str">
        <f>""</f>
        <v/>
      </c>
      <c r="H62" t="str">
        <f>""</f>
        <v/>
      </c>
      <c r="I62" s="4">
        <v>-3.45</v>
      </c>
      <c r="J62" t="str">
        <f>"Deal"</f>
        <v>Deal</v>
      </c>
    </row>
    <row r="63" spans="1:10" x14ac:dyDescent="0.25">
      <c r="A63" t="str">
        <f>""</f>
        <v/>
      </c>
      <c r="B63" t="str">
        <f>""</f>
        <v/>
      </c>
      <c r="G63" t="str">
        <f>""</f>
        <v/>
      </c>
      <c r="H63" t="str">
        <f>""</f>
        <v/>
      </c>
      <c r="I63" s="4">
        <v>5.99</v>
      </c>
      <c r="J63" t="str">
        <f>"Shipping"</f>
        <v>Shipping</v>
      </c>
    </row>
    <row r="64" spans="1:10" x14ac:dyDescent="0.25">
      <c r="A64" t="str">
        <f>""</f>
        <v/>
      </c>
      <c r="B64" t="str">
        <f>""</f>
        <v/>
      </c>
      <c r="G64" t="str">
        <f>"202201318607"</f>
        <v>202201318607</v>
      </c>
      <c r="H64" t="str">
        <f>"Amazon Order"</f>
        <v>Amazon Order</v>
      </c>
      <c r="I64" s="4">
        <v>79.95</v>
      </c>
      <c r="J64" t="str">
        <f>"Cash Drawer"</f>
        <v>Cash Drawer</v>
      </c>
    </row>
    <row r="65" spans="1:10" x14ac:dyDescent="0.25">
      <c r="A65" t="str">
        <f>""</f>
        <v/>
      </c>
      <c r="B65" t="str">
        <f>""</f>
        <v/>
      </c>
      <c r="G65" t="str">
        <f>"202201318612"</f>
        <v>202201318612</v>
      </c>
      <c r="H65" t="str">
        <f>"Docking Station for DA"</f>
        <v>Docking Station for DA</v>
      </c>
      <c r="I65" s="4">
        <v>129.63999999999999</v>
      </c>
      <c r="J65" t="str">
        <f>"Docking Station for DA"</f>
        <v>Docking Station for DA</v>
      </c>
    </row>
    <row r="66" spans="1:10" x14ac:dyDescent="0.25">
      <c r="A66" t="str">
        <f>""</f>
        <v/>
      </c>
      <c r="B66" t="str">
        <f>""</f>
        <v/>
      </c>
      <c r="G66" t="str">
        <f>"202201318615"</f>
        <v>202201318615</v>
      </c>
      <c r="H66" t="str">
        <f>"Amazon Supplies"</f>
        <v>Amazon Supplies</v>
      </c>
      <c r="I66" s="4">
        <v>27.99</v>
      </c>
      <c r="J66" t="str">
        <f>"Banker's Box"</f>
        <v>Banker's Box</v>
      </c>
    </row>
    <row r="67" spans="1:10" x14ac:dyDescent="0.25">
      <c r="A67" t="str">
        <f>""</f>
        <v/>
      </c>
      <c r="B67" t="str">
        <f>""</f>
        <v/>
      </c>
      <c r="G67" t="str">
        <f>""</f>
        <v/>
      </c>
      <c r="H67" t="str">
        <f>""</f>
        <v/>
      </c>
      <c r="I67" s="4">
        <v>14.99</v>
      </c>
      <c r="J67" t="str">
        <f>"Envelopes"</f>
        <v>Envelopes</v>
      </c>
    </row>
    <row r="68" spans="1:10" x14ac:dyDescent="0.25">
      <c r="A68" t="str">
        <f>""</f>
        <v/>
      </c>
      <c r="B68" t="str">
        <f>""</f>
        <v/>
      </c>
      <c r="G68" t="str">
        <f>""</f>
        <v/>
      </c>
      <c r="H68" t="str">
        <f>""</f>
        <v/>
      </c>
      <c r="I68" s="4">
        <v>10.99</v>
      </c>
      <c r="J68" t="str">
        <f>"Whiteout tape"</f>
        <v>Whiteout tape</v>
      </c>
    </row>
    <row r="69" spans="1:10" x14ac:dyDescent="0.25">
      <c r="A69" t="str">
        <f>""</f>
        <v/>
      </c>
      <c r="B69" t="str">
        <f>""</f>
        <v/>
      </c>
      <c r="G69" t="str">
        <f>""</f>
        <v/>
      </c>
      <c r="H69" t="str">
        <f>""</f>
        <v/>
      </c>
      <c r="I69" s="4">
        <v>3.59</v>
      </c>
      <c r="J69" t="str">
        <f>"Shipping Cost"</f>
        <v>Shipping Cost</v>
      </c>
    </row>
    <row r="70" spans="1:10" x14ac:dyDescent="0.25">
      <c r="A70" t="str">
        <f>""</f>
        <v/>
      </c>
      <c r="B70" t="str">
        <f>""</f>
        <v/>
      </c>
      <c r="G70" t="str">
        <f>"202202028745"</f>
        <v>202202028745</v>
      </c>
      <c r="H70" t="str">
        <f>"Amazon Order"</f>
        <v>Amazon Order</v>
      </c>
      <c r="I70" s="4">
        <v>75.3</v>
      </c>
      <c r="J70" t="str">
        <f>"Cardigan (L)"</f>
        <v>Cardigan (L)</v>
      </c>
    </row>
    <row r="71" spans="1:10" x14ac:dyDescent="0.25">
      <c r="A71" t="str">
        <f>""</f>
        <v/>
      </c>
      <c r="B71" t="str">
        <f>""</f>
        <v/>
      </c>
      <c r="G71" t="str">
        <f>""</f>
        <v/>
      </c>
      <c r="H71" t="str">
        <f>""</f>
        <v/>
      </c>
      <c r="I71" s="4">
        <v>25.1</v>
      </c>
      <c r="J71" t="str">
        <f>"Cardigan (M)"</f>
        <v>Cardigan (M)</v>
      </c>
    </row>
    <row r="72" spans="1:10" x14ac:dyDescent="0.25">
      <c r="A72" t="str">
        <f>""</f>
        <v/>
      </c>
      <c r="B72" t="str">
        <f>""</f>
        <v/>
      </c>
      <c r="G72" t="str">
        <f>"202202088816"</f>
        <v>202202088816</v>
      </c>
      <c r="H72" t="str">
        <f>"Amazon Desk"</f>
        <v>Amazon Desk</v>
      </c>
      <c r="I72" s="4">
        <v>302.05</v>
      </c>
      <c r="J72" t="str">
        <f>"Amazon Desk"</f>
        <v>Amazon Desk</v>
      </c>
    </row>
    <row r="73" spans="1:10" x14ac:dyDescent="0.25">
      <c r="A73" t="str">
        <f>""</f>
        <v/>
      </c>
      <c r="B73" t="str">
        <f>""</f>
        <v/>
      </c>
      <c r="G73" t="str">
        <f>"202202088817"</f>
        <v>202202088817</v>
      </c>
      <c r="H73" t="str">
        <f>"Honeywell HT-900"</f>
        <v>Honeywell HT-900</v>
      </c>
      <c r="I73" s="4">
        <v>159.30000000000001</v>
      </c>
      <c r="J73" t="str">
        <f>"Honeywell HT-900 Fan"</f>
        <v>Honeywell HT-900 Fan</v>
      </c>
    </row>
    <row r="74" spans="1:10" x14ac:dyDescent="0.25">
      <c r="A74" t="str">
        <f>""</f>
        <v/>
      </c>
      <c r="B74" t="str">
        <f>""</f>
        <v/>
      </c>
      <c r="G74" t="str">
        <f>"202202098838"</f>
        <v>202202098838</v>
      </c>
      <c r="H74" t="str">
        <f>"Poop Pet Bags"</f>
        <v>Poop Pet Bags</v>
      </c>
      <c r="I74" s="4">
        <v>287.7</v>
      </c>
      <c r="J74" t="str">
        <f>"Poop Pet Bags"</f>
        <v>Poop Pet Bags</v>
      </c>
    </row>
    <row r="75" spans="1:10" x14ac:dyDescent="0.25">
      <c r="A75" t="str">
        <f>""</f>
        <v/>
      </c>
      <c r="B75" t="str">
        <f>""</f>
        <v/>
      </c>
      <c r="G75" t="str">
        <f>"27978"</f>
        <v>27978</v>
      </c>
      <c r="H75" t="str">
        <f>"matcc foam sprayers"</f>
        <v>matcc foam sprayers</v>
      </c>
      <c r="I75" s="4">
        <v>179.35</v>
      </c>
      <c r="J75" t="str">
        <f>"matcc foam sprayers"</f>
        <v>matcc foam sprayers</v>
      </c>
    </row>
    <row r="76" spans="1:10" x14ac:dyDescent="0.25">
      <c r="A76" t="str">
        <f>""</f>
        <v/>
      </c>
      <c r="B76" t="str">
        <f>""</f>
        <v/>
      </c>
      <c r="G76" t="str">
        <f>"28193"</f>
        <v>28193</v>
      </c>
      <c r="H76" t="str">
        <f>"Nikon D5600 Camera"</f>
        <v>Nikon D5600 Camera</v>
      </c>
      <c r="I76" s="4">
        <v>949.99</v>
      </c>
      <c r="J76" t="str">
        <f>"Nikon D5600 Camera"</f>
        <v>Nikon D5600 Camera</v>
      </c>
    </row>
    <row r="77" spans="1:10" x14ac:dyDescent="0.25">
      <c r="A77" t="str">
        <f>""</f>
        <v/>
      </c>
      <c r="B77" t="str">
        <f>""</f>
        <v/>
      </c>
      <c r="G77" t="str">
        <f>"28296"</f>
        <v>28296</v>
      </c>
      <c r="H77" t="str">
        <f>"ANTENAS AND MOUNTS"</f>
        <v>ANTENAS AND MOUNTS</v>
      </c>
      <c r="I77" s="4">
        <v>56.12</v>
      </c>
      <c r="J77" t="str">
        <f>"ANTENAS"</f>
        <v>ANTENAS</v>
      </c>
    </row>
    <row r="78" spans="1:10" x14ac:dyDescent="0.25">
      <c r="A78" t="str">
        <f>""</f>
        <v/>
      </c>
      <c r="B78" t="str">
        <f>""</f>
        <v/>
      </c>
      <c r="G78" t="str">
        <f>""</f>
        <v/>
      </c>
      <c r="H78" t="str">
        <f>""</f>
        <v/>
      </c>
      <c r="I78" s="4">
        <v>79.959999999999994</v>
      </c>
      <c r="J78" t="str">
        <f>"MOUNTS"</f>
        <v>MOUNTS</v>
      </c>
    </row>
    <row r="79" spans="1:10" x14ac:dyDescent="0.25">
      <c r="A79" t="str">
        <f>""</f>
        <v/>
      </c>
      <c r="B79" t="str">
        <f>""</f>
        <v/>
      </c>
      <c r="G79" t="str">
        <f>"28305"</f>
        <v>28305</v>
      </c>
      <c r="H79" t="str">
        <f>"Amazon Light Bulbs"</f>
        <v>Amazon Light Bulbs</v>
      </c>
      <c r="I79" s="4">
        <v>134.75</v>
      </c>
      <c r="J79" t="str">
        <f>"Amazon Light Bulbs"</f>
        <v>Amazon Light Bulbs</v>
      </c>
    </row>
    <row r="80" spans="1:10" x14ac:dyDescent="0.25">
      <c r="A80" t="str">
        <f>""</f>
        <v/>
      </c>
      <c r="B80" t="str">
        <f>""</f>
        <v/>
      </c>
      <c r="G80" t="str">
        <f>"28607"</f>
        <v>28607</v>
      </c>
      <c r="H80" t="str">
        <f>"Desk and Chair HR"</f>
        <v>Desk and Chair HR</v>
      </c>
      <c r="I80" s="4">
        <v>104.38</v>
      </c>
      <c r="J80" t="str">
        <f>"Desk"</f>
        <v>Desk</v>
      </c>
    </row>
    <row r="81" spans="1:10" x14ac:dyDescent="0.25">
      <c r="A81" t="str">
        <f>""</f>
        <v/>
      </c>
      <c r="B81" t="str">
        <f>""</f>
        <v/>
      </c>
      <c r="G81" t="str">
        <f>""</f>
        <v/>
      </c>
      <c r="H81" t="str">
        <f>""</f>
        <v/>
      </c>
      <c r="I81" s="4">
        <v>61.98</v>
      </c>
      <c r="J81" t="str">
        <f>"Chair"</f>
        <v>Chair</v>
      </c>
    </row>
    <row r="82" spans="1:10" x14ac:dyDescent="0.25">
      <c r="A82" t="str">
        <f>"01"</f>
        <v>01</v>
      </c>
      <c r="B82" t="str">
        <f>"002148"</f>
        <v>002148</v>
      </c>
      <c r="C82" t="s">
        <v>25</v>
      </c>
      <c r="D82">
        <v>139012</v>
      </c>
      <c r="E82" s="4">
        <v>188.3</v>
      </c>
      <c r="F82" s="5">
        <v>44606</v>
      </c>
      <c r="G82" t="str">
        <f>"3080665175"</f>
        <v>3080665175</v>
      </c>
      <c r="H82" t="str">
        <f>"INV 3080665175"</f>
        <v>INV 3080665175</v>
      </c>
      <c r="I82" s="4">
        <v>188.3</v>
      </c>
      <c r="J82" t="str">
        <f>"INV 3080665175"</f>
        <v>INV 3080665175</v>
      </c>
    </row>
    <row r="83" spans="1:10" x14ac:dyDescent="0.25">
      <c r="A83" t="str">
        <f>"01"</f>
        <v>01</v>
      </c>
      <c r="B83" t="str">
        <f>"T14545"</f>
        <v>T14545</v>
      </c>
      <c r="C83" t="s">
        <v>26</v>
      </c>
      <c r="D83">
        <v>139013</v>
      </c>
      <c r="E83" s="4">
        <v>563</v>
      </c>
      <c r="F83" s="5">
        <v>44606</v>
      </c>
      <c r="G83" t="str">
        <f>"115215"</f>
        <v>115215</v>
      </c>
      <c r="H83" t="str">
        <f>"VOTER SUPPLIES/ELECTIONS"</f>
        <v>VOTER SUPPLIES/ELECTIONS</v>
      </c>
      <c r="I83" s="4">
        <v>563</v>
      </c>
      <c r="J83" t="str">
        <f>"VOTER SUPPLIES/ELECTIONS"</f>
        <v>VOTER SUPPLIES/ELECTIONS</v>
      </c>
    </row>
    <row r="84" spans="1:10" x14ac:dyDescent="0.25">
      <c r="A84" t="str">
        <f>"01"</f>
        <v>01</v>
      </c>
      <c r="B84" t="str">
        <f>"T14545"</f>
        <v>T14545</v>
      </c>
      <c r="C84" t="s">
        <v>26</v>
      </c>
      <c r="D84">
        <v>139247</v>
      </c>
      <c r="E84" s="4">
        <v>8462.74</v>
      </c>
      <c r="F84" s="5">
        <v>44620</v>
      </c>
      <c r="G84" t="str">
        <f>"115271"</f>
        <v>115271</v>
      </c>
      <c r="H84" t="str">
        <f>"POSTCARD/POSTAGE/ELECTIONS"</f>
        <v>POSTCARD/POSTAGE/ELECTIONS</v>
      </c>
      <c r="I84" s="4">
        <v>7939.97</v>
      </c>
      <c r="J84" t="str">
        <f>"POSTCARD/POSTAGE/ELECTIONS"</f>
        <v>POSTCARD/POSTAGE/ELECTIONS</v>
      </c>
    </row>
    <row r="85" spans="1:10" x14ac:dyDescent="0.25">
      <c r="A85" t="str">
        <f>""</f>
        <v/>
      </c>
      <c r="B85" t="str">
        <f>""</f>
        <v/>
      </c>
      <c r="G85" t="str">
        <f>"115283"</f>
        <v>115283</v>
      </c>
      <c r="H85" t="str">
        <f>"ENVELOPES/ELECTIONS"</f>
        <v>ENVELOPES/ELECTIONS</v>
      </c>
      <c r="I85" s="4">
        <v>172.77</v>
      </c>
      <c r="J85" t="str">
        <f>"ENVELOPES/ELECTIONS"</f>
        <v>ENVELOPES/ELECTIONS</v>
      </c>
    </row>
    <row r="86" spans="1:10" x14ac:dyDescent="0.25">
      <c r="A86" t="str">
        <f>""</f>
        <v/>
      </c>
      <c r="B86" t="str">
        <f>""</f>
        <v/>
      </c>
      <c r="G86" t="str">
        <f>"115369"</f>
        <v>115369</v>
      </c>
      <c r="H86" t="str">
        <f>"BBM/ELECTIONS"</f>
        <v>BBM/ELECTIONS</v>
      </c>
      <c r="I86" s="4">
        <v>350</v>
      </c>
      <c r="J86" t="str">
        <f>"BBM/ELECTIONS"</f>
        <v>BBM/ELECTIONS</v>
      </c>
    </row>
    <row r="87" spans="1:10" x14ac:dyDescent="0.25">
      <c r="A87" t="str">
        <f>"01"</f>
        <v>01</v>
      </c>
      <c r="B87" t="str">
        <f>"T7520"</f>
        <v>T7520</v>
      </c>
      <c r="C87" t="s">
        <v>27</v>
      </c>
      <c r="D87">
        <v>5804</v>
      </c>
      <c r="E87" s="4">
        <v>12751.5</v>
      </c>
      <c r="F87" s="5">
        <v>44607</v>
      </c>
      <c r="G87" t="str">
        <f>"202201258554"</f>
        <v>202201258554</v>
      </c>
      <c r="H87" t="str">
        <f>"21-20868"</f>
        <v>21-20868</v>
      </c>
      <c r="I87" s="4">
        <v>514</v>
      </c>
      <c r="J87" t="str">
        <f>"21-20868"</f>
        <v>21-20868</v>
      </c>
    </row>
    <row r="88" spans="1:10" x14ac:dyDescent="0.25">
      <c r="A88" t="str">
        <f>""</f>
        <v/>
      </c>
      <c r="B88" t="str">
        <f>""</f>
        <v/>
      </c>
      <c r="G88" t="str">
        <f>"202201258555"</f>
        <v>202201258555</v>
      </c>
      <c r="H88" t="str">
        <f>"20-20403"</f>
        <v>20-20403</v>
      </c>
      <c r="I88" s="4">
        <v>375</v>
      </c>
      <c r="J88" t="str">
        <f>"20-20403"</f>
        <v>20-20403</v>
      </c>
    </row>
    <row r="89" spans="1:10" x14ac:dyDescent="0.25">
      <c r="A89" t="str">
        <f>""</f>
        <v/>
      </c>
      <c r="B89" t="str">
        <f>""</f>
        <v/>
      </c>
      <c r="G89" t="str">
        <f>"202201258556"</f>
        <v>202201258556</v>
      </c>
      <c r="H89" t="str">
        <f>"21-20702"</f>
        <v>21-20702</v>
      </c>
      <c r="I89" s="4">
        <v>287.5</v>
      </c>
      <c r="J89" t="str">
        <f>"21-20702"</f>
        <v>21-20702</v>
      </c>
    </row>
    <row r="90" spans="1:10" x14ac:dyDescent="0.25">
      <c r="A90" t="str">
        <f>""</f>
        <v/>
      </c>
      <c r="B90" t="str">
        <f>""</f>
        <v/>
      </c>
      <c r="G90" t="str">
        <f>"202201258557"</f>
        <v>202201258557</v>
      </c>
      <c r="H90" t="str">
        <f>"20-20056"</f>
        <v>20-20056</v>
      </c>
      <c r="I90" s="4">
        <v>375</v>
      </c>
      <c r="J90" t="str">
        <f>"20-20056"</f>
        <v>20-20056</v>
      </c>
    </row>
    <row r="91" spans="1:10" x14ac:dyDescent="0.25">
      <c r="A91" t="str">
        <f>""</f>
        <v/>
      </c>
      <c r="B91" t="str">
        <f>""</f>
        <v/>
      </c>
      <c r="G91" t="str">
        <f>"202201258558"</f>
        <v>202201258558</v>
      </c>
      <c r="H91" t="str">
        <f>"21-20642"</f>
        <v>21-20642</v>
      </c>
      <c r="I91" s="4">
        <v>250</v>
      </c>
      <c r="J91" t="str">
        <f>"21-20642"</f>
        <v>21-20642</v>
      </c>
    </row>
    <row r="92" spans="1:10" x14ac:dyDescent="0.25">
      <c r="A92" t="str">
        <f>""</f>
        <v/>
      </c>
      <c r="B92" t="str">
        <f>""</f>
        <v/>
      </c>
      <c r="G92" t="str">
        <f>"202201318619"</f>
        <v>202201318619</v>
      </c>
      <c r="H92" t="str">
        <f>"17-321"</f>
        <v>17-321</v>
      </c>
      <c r="I92" s="4">
        <v>400</v>
      </c>
      <c r="J92" t="str">
        <f>"17-321"</f>
        <v>17-321</v>
      </c>
    </row>
    <row r="93" spans="1:10" x14ac:dyDescent="0.25">
      <c r="A93" t="str">
        <f>""</f>
        <v/>
      </c>
      <c r="B93" t="str">
        <f>""</f>
        <v/>
      </c>
      <c r="G93" t="str">
        <f>"202201318620"</f>
        <v>202201318620</v>
      </c>
      <c r="H93" t="str">
        <f>"17-523"</f>
        <v>17-523</v>
      </c>
      <c r="I93" s="4">
        <v>400</v>
      </c>
      <c r="J93" t="str">
        <f>"17-523"</f>
        <v>17-523</v>
      </c>
    </row>
    <row r="94" spans="1:10" x14ac:dyDescent="0.25">
      <c r="A94" t="str">
        <f>""</f>
        <v/>
      </c>
      <c r="B94" t="str">
        <f>""</f>
        <v/>
      </c>
      <c r="G94" t="str">
        <f>"202201318621"</f>
        <v>202201318621</v>
      </c>
      <c r="H94" t="str">
        <f>"17-495"</f>
        <v>17-495</v>
      </c>
      <c r="I94" s="4">
        <v>400</v>
      </c>
      <c r="J94" t="str">
        <f>"17-495"</f>
        <v>17-495</v>
      </c>
    </row>
    <row r="95" spans="1:10" x14ac:dyDescent="0.25">
      <c r="A95" t="str">
        <f>""</f>
        <v/>
      </c>
      <c r="B95" t="str">
        <f>""</f>
        <v/>
      </c>
      <c r="G95" t="str">
        <f>"202201318622"</f>
        <v>202201318622</v>
      </c>
      <c r="H95" t="str">
        <f>"423-8060"</f>
        <v>423-8060</v>
      </c>
      <c r="I95" s="4">
        <v>100</v>
      </c>
      <c r="J95" t="str">
        <f>"423-8060"</f>
        <v>423-8060</v>
      </c>
    </row>
    <row r="96" spans="1:10" x14ac:dyDescent="0.25">
      <c r="A96" t="str">
        <f>""</f>
        <v/>
      </c>
      <c r="B96" t="str">
        <f>""</f>
        <v/>
      </c>
      <c r="G96" t="str">
        <f>"202201318623"</f>
        <v>202201318623</v>
      </c>
      <c r="H96" t="str">
        <f>"423-7968"</f>
        <v>423-7968</v>
      </c>
      <c r="I96" s="4">
        <v>100</v>
      </c>
      <c r="J96" t="str">
        <f>"423-7968"</f>
        <v>423-7968</v>
      </c>
    </row>
    <row r="97" spans="1:10" x14ac:dyDescent="0.25">
      <c r="A97" t="str">
        <f>""</f>
        <v/>
      </c>
      <c r="B97" t="str">
        <f>""</f>
        <v/>
      </c>
      <c r="G97" t="str">
        <f>"202201318624"</f>
        <v>202201318624</v>
      </c>
      <c r="H97" t="str">
        <f>"423-8184"</f>
        <v>423-8184</v>
      </c>
      <c r="I97" s="4">
        <v>100</v>
      </c>
      <c r="J97" t="str">
        <f>"423-8184"</f>
        <v>423-8184</v>
      </c>
    </row>
    <row r="98" spans="1:10" x14ac:dyDescent="0.25">
      <c r="A98" t="str">
        <f>""</f>
        <v/>
      </c>
      <c r="B98" t="str">
        <f>""</f>
        <v/>
      </c>
      <c r="G98" t="str">
        <f>"202201318625"</f>
        <v>202201318625</v>
      </c>
      <c r="H98" t="str">
        <f>"1964-21"</f>
        <v>1964-21</v>
      </c>
      <c r="I98" s="4">
        <v>100</v>
      </c>
      <c r="J98" t="str">
        <f>"1964-21"</f>
        <v>1964-21</v>
      </c>
    </row>
    <row r="99" spans="1:10" x14ac:dyDescent="0.25">
      <c r="A99" t="str">
        <f>""</f>
        <v/>
      </c>
      <c r="B99" t="str">
        <f>""</f>
        <v/>
      </c>
      <c r="G99" t="str">
        <f>"202201318626"</f>
        <v>202201318626</v>
      </c>
      <c r="H99" t="str">
        <f>"1938-21"</f>
        <v>1938-21</v>
      </c>
      <c r="I99" s="4">
        <v>100</v>
      </c>
      <c r="J99" t="str">
        <f>"1938-21"</f>
        <v>1938-21</v>
      </c>
    </row>
    <row r="100" spans="1:10" x14ac:dyDescent="0.25">
      <c r="A100" t="str">
        <f>""</f>
        <v/>
      </c>
      <c r="B100" t="str">
        <f>""</f>
        <v/>
      </c>
      <c r="G100" t="str">
        <f>"202201318627"</f>
        <v>202201318627</v>
      </c>
      <c r="H100" t="str">
        <f>"15-883"</f>
        <v>15-883</v>
      </c>
      <c r="I100" s="4">
        <v>800</v>
      </c>
      <c r="J100" t="str">
        <f>"15-883"</f>
        <v>15-883</v>
      </c>
    </row>
    <row r="101" spans="1:10" x14ac:dyDescent="0.25">
      <c r="A101" t="str">
        <f>""</f>
        <v/>
      </c>
      <c r="B101" t="str">
        <f>""</f>
        <v/>
      </c>
      <c r="G101" t="str">
        <f>"202201318630"</f>
        <v>202201318630</v>
      </c>
      <c r="H101" t="str">
        <f>"C190086"</f>
        <v>C190086</v>
      </c>
      <c r="I101" s="4">
        <v>400</v>
      </c>
      <c r="J101" t="str">
        <f>"C190086"</f>
        <v>C190086</v>
      </c>
    </row>
    <row r="102" spans="1:10" x14ac:dyDescent="0.25">
      <c r="A102" t="str">
        <f>""</f>
        <v/>
      </c>
      <c r="B102" t="str">
        <f>""</f>
        <v/>
      </c>
      <c r="G102" t="str">
        <f>"202201318631"</f>
        <v>202201318631</v>
      </c>
      <c r="H102" t="str">
        <f>"02-0509-7"</f>
        <v>02-0509-7</v>
      </c>
      <c r="I102" s="4">
        <v>600</v>
      </c>
      <c r="J102" t="str">
        <f>"02-0509-7"</f>
        <v>02-0509-7</v>
      </c>
    </row>
    <row r="103" spans="1:10" x14ac:dyDescent="0.25">
      <c r="A103" t="str">
        <f>""</f>
        <v/>
      </c>
      <c r="B103" t="str">
        <f>""</f>
        <v/>
      </c>
      <c r="G103" t="str">
        <f>"202201318632"</f>
        <v>202201318632</v>
      </c>
      <c r="H103" t="str">
        <f>"JP103042020E"</f>
        <v>JP103042020E</v>
      </c>
      <c r="I103" s="4">
        <v>400</v>
      </c>
      <c r="J103" t="str">
        <f>"JP103042020E"</f>
        <v>JP103042020E</v>
      </c>
    </row>
    <row r="104" spans="1:10" x14ac:dyDescent="0.25">
      <c r="A104" t="str">
        <f>""</f>
        <v/>
      </c>
      <c r="B104" t="str">
        <f>""</f>
        <v/>
      </c>
      <c r="G104" t="str">
        <f>"202202018660"</f>
        <v>202202018660</v>
      </c>
      <c r="H104" t="str">
        <f>"17-414"</f>
        <v>17-414</v>
      </c>
      <c r="I104" s="4">
        <v>600</v>
      </c>
      <c r="J104" t="str">
        <f>"17-414"</f>
        <v>17-414</v>
      </c>
    </row>
    <row r="105" spans="1:10" x14ac:dyDescent="0.25">
      <c r="A105" t="str">
        <f>""</f>
        <v/>
      </c>
      <c r="B105" t="str">
        <f>""</f>
        <v/>
      </c>
      <c r="G105" t="str">
        <f>"202202018661"</f>
        <v>202202018661</v>
      </c>
      <c r="H105" t="str">
        <f>"17-450"</f>
        <v>17-450</v>
      </c>
      <c r="I105" s="4">
        <v>400</v>
      </c>
      <c r="J105" t="str">
        <f>"17-450"</f>
        <v>17-450</v>
      </c>
    </row>
    <row r="106" spans="1:10" x14ac:dyDescent="0.25">
      <c r="A106" t="str">
        <f>""</f>
        <v/>
      </c>
      <c r="B106" t="str">
        <f>""</f>
        <v/>
      </c>
      <c r="G106" t="str">
        <f>"202202018662"</f>
        <v>202202018662</v>
      </c>
      <c r="H106" t="str">
        <f>"423-7986"</f>
        <v>423-7986</v>
      </c>
      <c r="I106" s="4">
        <v>250</v>
      </c>
      <c r="J106" t="str">
        <f>"423-7986"</f>
        <v>423-7986</v>
      </c>
    </row>
    <row r="107" spans="1:10" x14ac:dyDescent="0.25">
      <c r="A107" t="str">
        <f>""</f>
        <v/>
      </c>
      <c r="B107" t="str">
        <f>""</f>
        <v/>
      </c>
      <c r="G107" t="str">
        <f>"202202018663"</f>
        <v>202202018663</v>
      </c>
      <c r="H107" t="str">
        <f>"JW.CHILD"</f>
        <v>JW.CHILD</v>
      </c>
      <c r="I107" s="4">
        <v>100</v>
      </c>
      <c r="J107" t="str">
        <f>"JW.CHILD"</f>
        <v>JW.CHILD</v>
      </c>
    </row>
    <row r="108" spans="1:10" x14ac:dyDescent="0.25">
      <c r="A108" t="str">
        <f>""</f>
        <v/>
      </c>
      <c r="B108" t="str">
        <f>""</f>
        <v/>
      </c>
      <c r="G108" t="str">
        <f>"202202018668"</f>
        <v>202202018668</v>
      </c>
      <c r="H108" t="str">
        <f>"21-20847/22-221076"</f>
        <v>21-20847/22-221076</v>
      </c>
      <c r="I108" s="4">
        <v>200</v>
      </c>
      <c r="J108" t="str">
        <f>"21-20847/22-221076"</f>
        <v>21-20847/22-221076</v>
      </c>
    </row>
    <row r="109" spans="1:10" x14ac:dyDescent="0.25">
      <c r="A109" t="str">
        <f>""</f>
        <v/>
      </c>
      <c r="B109" t="str">
        <f>""</f>
        <v/>
      </c>
      <c r="G109" t="str">
        <f>"202202018669"</f>
        <v>202202018669</v>
      </c>
      <c r="H109" t="str">
        <f>"21-20850"</f>
        <v>21-20850</v>
      </c>
      <c r="I109" s="4">
        <v>100</v>
      </c>
      <c r="J109" t="str">
        <f>"21-20850"</f>
        <v>21-20850</v>
      </c>
    </row>
    <row r="110" spans="1:10" x14ac:dyDescent="0.25">
      <c r="A110" t="str">
        <f>""</f>
        <v/>
      </c>
      <c r="B110" t="str">
        <f>""</f>
        <v/>
      </c>
      <c r="G110" t="str">
        <f>"202202018670"</f>
        <v>202202018670</v>
      </c>
      <c r="H110" t="str">
        <f>"AC-202110604W"</f>
        <v>AC-202110604W</v>
      </c>
      <c r="I110" s="4">
        <v>250</v>
      </c>
      <c r="J110" t="str">
        <f>"AC-202110604W"</f>
        <v>AC-202110604W</v>
      </c>
    </row>
    <row r="111" spans="1:10" x14ac:dyDescent="0.25">
      <c r="A111" t="str">
        <f>""</f>
        <v/>
      </c>
      <c r="B111" t="str">
        <f>""</f>
        <v/>
      </c>
      <c r="G111" t="str">
        <f>"202202018671"</f>
        <v>202202018671</v>
      </c>
      <c r="H111" t="str">
        <f>"JP101152020C"</f>
        <v>JP101152020C</v>
      </c>
      <c r="I111" s="4">
        <v>250</v>
      </c>
      <c r="J111" t="str">
        <f>"JP101152020C"</f>
        <v>JP101152020C</v>
      </c>
    </row>
    <row r="112" spans="1:10" x14ac:dyDescent="0.25">
      <c r="A112" t="str">
        <f>""</f>
        <v/>
      </c>
      <c r="B112" t="str">
        <f>""</f>
        <v/>
      </c>
      <c r="G112" t="str">
        <f>"202202018672"</f>
        <v>202202018672</v>
      </c>
      <c r="H112" t="str">
        <f>"405289-6"</f>
        <v>405289-6</v>
      </c>
      <c r="I112" s="4">
        <v>250</v>
      </c>
      <c r="J112" t="str">
        <f>"405289-6"</f>
        <v>405289-6</v>
      </c>
    </row>
    <row r="113" spans="1:10" x14ac:dyDescent="0.25">
      <c r="A113" t="str">
        <f>""</f>
        <v/>
      </c>
      <c r="B113" t="str">
        <f>""</f>
        <v/>
      </c>
      <c r="G113" t="str">
        <f>"202202088765"</f>
        <v>202202088765</v>
      </c>
      <c r="H113" t="str">
        <f>"02-1220-1-16"</f>
        <v>02-1220-1-16</v>
      </c>
      <c r="I113" s="4">
        <v>400</v>
      </c>
      <c r="J113" t="str">
        <f>"02-1220-1-16"</f>
        <v>02-1220-1-16</v>
      </c>
    </row>
    <row r="114" spans="1:10" x14ac:dyDescent="0.25">
      <c r="A114" t="str">
        <f>""</f>
        <v/>
      </c>
      <c r="B114" t="str">
        <f>""</f>
        <v/>
      </c>
      <c r="G114" t="str">
        <f>"202202088766"</f>
        <v>202202088766</v>
      </c>
      <c r="H114" t="str">
        <f>"17-512"</f>
        <v>17-512</v>
      </c>
      <c r="I114" s="4">
        <v>300</v>
      </c>
      <c r="J114" t="str">
        <f>"17-512"</f>
        <v>17-512</v>
      </c>
    </row>
    <row r="115" spans="1:10" x14ac:dyDescent="0.25">
      <c r="A115" t="str">
        <f>""</f>
        <v/>
      </c>
      <c r="B115" t="str">
        <f>""</f>
        <v/>
      </c>
      <c r="G115" t="str">
        <f>"202202088767"</f>
        <v>202202088767</v>
      </c>
      <c r="H115" t="str">
        <f>"17-296"</f>
        <v>17-296</v>
      </c>
      <c r="I115" s="4">
        <v>500</v>
      </c>
      <c r="J115" t="str">
        <f>"17-296"</f>
        <v>17-296</v>
      </c>
    </row>
    <row r="116" spans="1:10" x14ac:dyDescent="0.25">
      <c r="A116" t="str">
        <f>""</f>
        <v/>
      </c>
      <c r="B116" t="str">
        <f>""</f>
        <v/>
      </c>
      <c r="G116" t="str">
        <f>"202202088768"</f>
        <v>202202088768</v>
      </c>
      <c r="H116" t="str">
        <f>"17-040"</f>
        <v>17-040</v>
      </c>
      <c r="I116" s="4">
        <v>1000</v>
      </c>
      <c r="J116" t="str">
        <f>"17-040"</f>
        <v>17-040</v>
      </c>
    </row>
    <row r="117" spans="1:10" x14ac:dyDescent="0.25">
      <c r="A117" t="str">
        <f>""</f>
        <v/>
      </c>
      <c r="B117" t="str">
        <f>""</f>
        <v/>
      </c>
      <c r="G117" t="str">
        <f>"202202088769"</f>
        <v>202202088769</v>
      </c>
      <c r="H117" t="str">
        <f>"17-383"</f>
        <v>17-383</v>
      </c>
      <c r="I117" s="4">
        <v>1800</v>
      </c>
      <c r="J117" t="str">
        <f>"17-383"</f>
        <v>17-383</v>
      </c>
    </row>
    <row r="118" spans="1:10" x14ac:dyDescent="0.25">
      <c r="A118" t="str">
        <f>""</f>
        <v/>
      </c>
      <c r="B118" t="str">
        <f>""</f>
        <v/>
      </c>
      <c r="G118" t="str">
        <f>"202202088770"</f>
        <v>202202088770</v>
      </c>
      <c r="H118" t="str">
        <f>"CC20190131B"</f>
        <v>CC20190131B</v>
      </c>
      <c r="I118" s="4">
        <v>400</v>
      </c>
      <c r="J118" t="str">
        <f>"CC20190131B"</f>
        <v>CC20190131B</v>
      </c>
    </row>
    <row r="119" spans="1:10" x14ac:dyDescent="0.25">
      <c r="A119" t="str">
        <f>""</f>
        <v/>
      </c>
      <c r="B119" t="str">
        <f>""</f>
        <v/>
      </c>
      <c r="G119" t="str">
        <f>"202202098860"</f>
        <v>202202098860</v>
      </c>
      <c r="H119" t="str">
        <f>"CC20190131C"</f>
        <v>CC20190131C</v>
      </c>
      <c r="I119" s="4">
        <v>250</v>
      </c>
      <c r="J119" t="str">
        <f>"CC20190131C"</f>
        <v>CC20190131C</v>
      </c>
    </row>
    <row r="120" spans="1:10" x14ac:dyDescent="0.25">
      <c r="A120" t="str">
        <f>"01"</f>
        <v>01</v>
      </c>
      <c r="B120" t="str">
        <f>"002661"</f>
        <v>002661</v>
      </c>
      <c r="C120" t="s">
        <v>28</v>
      </c>
      <c r="D120">
        <v>139014</v>
      </c>
      <c r="E120" s="4">
        <v>291.72000000000003</v>
      </c>
      <c r="F120" s="5">
        <v>44606</v>
      </c>
      <c r="G120" t="str">
        <f>"202202018693"</f>
        <v>202202018693</v>
      </c>
      <c r="H120" t="str">
        <f>"ACCT#3-3053/PCT#2"</f>
        <v>ACCT#3-3053/PCT#2</v>
      </c>
      <c r="I120" s="4">
        <v>291.72000000000003</v>
      </c>
      <c r="J120" t="str">
        <f>"ACCT#3-3053/PCT#2"</f>
        <v>ACCT#3-3053/PCT#2</v>
      </c>
    </row>
    <row r="121" spans="1:10" x14ac:dyDescent="0.25">
      <c r="A121" t="str">
        <f>"01"</f>
        <v>01</v>
      </c>
      <c r="B121" t="str">
        <f>"AQUAB"</f>
        <v>AQUAB</v>
      </c>
      <c r="C121" t="s">
        <v>29</v>
      </c>
      <c r="D121">
        <v>139015</v>
      </c>
      <c r="E121" s="4">
        <v>633.89</v>
      </c>
      <c r="F121" s="5">
        <v>44606</v>
      </c>
      <c r="G121" t="str">
        <f>"202202028725"</f>
        <v>202202028725</v>
      </c>
      <c r="H121" t="str">
        <f>"ACCT#016020/COLLECTIONS"</f>
        <v>ACCT#016020/COLLECTIONS</v>
      </c>
      <c r="I121" s="4">
        <v>9.74</v>
      </c>
      <c r="J121" t="str">
        <f>"ACCT#016020/COLLECTIONS"</f>
        <v>ACCT#016020/COLLECTIONS</v>
      </c>
    </row>
    <row r="122" spans="1:10" x14ac:dyDescent="0.25">
      <c r="A122" t="str">
        <f>""</f>
        <v/>
      </c>
      <c r="B122" t="str">
        <f>""</f>
        <v/>
      </c>
      <c r="G122" t="str">
        <f>"202202028726"</f>
        <v>202202028726</v>
      </c>
      <c r="H122" t="str">
        <f>"ACCT#010057/AUDITOR"</f>
        <v>ACCT#010057/AUDITOR</v>
      </c>
      <c r="I122" s="4">
        <v>31.5</v>
      </c>
      <c r="J122" t="str">
        <f>"ACCT#010057/AUDITOR"</f>
        <v>ACCT#010057/AUDITOR</v>
      </c>
    </row>
    <row r="123" spans="1:10" x14ac:dyDescent="0.25">
      <c r="A123" t="str">
        <f>""</f>
        <v/>
      </c>
      <c r="B123" t="str">
        <f>""</f>
        <v/>
      </c>
      <c r="G123" t="str">
        <f>"202202028727"</f>
        <v>202202028727</v>
      </c>
      <c r="H123" t="str">
        <f>"ACCT#012571/TREASURER"</f>
        <v>ACCT#012571/TREASURER</v>
      </c>
      <c r="I123" s="4">
        <v>9</v>
      </c>
      <c r="J123" t="str">
        <f>"ACCT#012571/TREASURER"</f>
        <v>ACCT#012571/TREASURER</v>
      </c>
    </row>
    <row r="124" spans="1:10" x14ac:dyDescent="0.25">
      <c r="A124" t="str">
        <f>""</f>
        <v/>
      </c>
      <c r="B124" t="str">
        <f>""</f>
        <v/>
      </c>
      <c r="G124" t="str">
        <f>"202202028728"</f>
        <v>202202028728</v>
      </c>
      <c r="H124" t="str">
        <f>"ACCT#013393/HR"</f>
        <v>ACCT#013393/HR</v>
      </c>
      <c r="I124" s="4">
        <v>12</v>
      </c>
      <c r="J124" t="str">
        <f>"ACCT#013393/HR"</f>
        <v>ACCT#013393/HR</v>
      </c>
    </row>
    <row r="125" spans="1:10" x14ac:dyDescent="0.25">
      <c r="A125" t="str">
        <f>""</f>
        <v/>
      </c>
      <c r="B125" t="str">
        <f>""</f>
        <v/>
      </c>
      <c r="G125" t="str">
        <f>"202202028729"</f>
        <v>202202028729</v>
      </c>
      <c r="H125" t="str">
        <f>"ACCT#012803/CO JUDGE"</f>
        <v>ACCT#012803/CO JUDGE</v>
      </c>
      <c r="I125" s="4">
        <v>52.5</v>
      </c>
      <c r="J125" t="str">
        <f>"ACCT#012803/CO JUDGE"</f>
        <v>ACCT#012803/CO JUDGE</v>
      </c>
    </row>
    <row r="126" spans="1:10" x14ac:dyDescent="0.25">
      <c r="A126" t="str">
        <f>""</f>
        <v/>
      </c>
      <c r="B126" t="str">
        <f>""</f>
        <v/>
      </c>
      <c r="G126" t="str">
        <f>"202202028730"</f>
        <v>202202028730</v>
      </c>
      <c r="H126" t="str">
        <f>"ACCT#010311/COUNTY COURT"</f>
        <v>ACCT#010311/COUNTY COURT</v>
      </c>
      <c r="I126" s="4">
        <v>9</v>
      </c>
      <c r="J126" t="str">
        <f>"ACCT#010311/COUNTY COURT"</f>
        <v>ACCT#010311/COUNTY COURT</v>
      </c>
    </row>
    <row r="127" spans="1:10" x14ac:dyDescent="0.25">
      <c r="A127" t="str">
        <f>""</f>
        <v/>
      </c>
      <c r="B127" t="str">
        <f>""</f>
        <v/>
      </c>
      <c r="G127" t="str">
        <f>"202202028731"</f>
        <v>202202028731</v>
      </c>
      <c r="H127" t="str">
        <f>"ACCT#010238/GENERAL SVCS"</f>
        <v>ACCT#010238/GENERAL SVCS</v>
      </c>
      <c r="I127" s="4">
        <v>86.15</v>
      </c>
      <c r="J127" t="str">
        <f>"ACCT#010238/GENERAL SVCS"</f>
        <v>ACCT#010238/GENERAL SVCS</v>
      </c>
    </row>
    <row r="128" spans="1:10" x14ac:dyDescent="0.25">
      <c r="A128" t="str">
        <f>""</f>
        <v/>
      </c>
      <c r="B128" t="str">
        <f>""</f>
        <v/>
      </c>
      <c r="G128" t="str">
        <f>"202202028732"</f>
        <v>202202028732</v>
      </c>
      <c r="H128" t="str">
        <f>"ACCT#015199/JP#1"</f>
        <v>ACCT#015199/JP#1</v>
      </c>
      <c r="I128" s="4">
        <v>9</v>
      </c>
      <c r="J128" t="str">
        <f>"ACCT#015199/JP#1"</f>
        <v>ACCT#015199/JP#1</v>
      </c>
    </row>
    <row r="129" spans="1:10" x14ac:dyDescent="0.25">
      <c r="A129" t="str">
        <f>""</f>
        <v/>
      </c>
      <c r="B129" t="str">
        <f>""</f>
        <v/>
      </c>
      <c r="G129" t="str">
        <f>"202202028733"</f>
        <v>202202028733</v>
      </c>
      <c r="H129" t="str">
        <f>"ACCT#011280/COUNTY CLERK"</f>
        <v>ACCT#011280/COUNTY CLERK</v>
      </c>
      <c r="I129" s="4">
        <v>54</v>
      </c>
      <c r="J129" t="str">
        <f>"ACCT#011280/COUNTY CLERK"</f>
        <v>ACCT#011280/COUNTY CLERK</v>
      </c>
    </row>
    <row r="130" spans="1:10" x14ac:dyDescent="0.25">
      <c r="A130" t="str">
        <f>""</f>
        <v/>
      </c>
      <c r="B130" t="str">
        <f>""</f>
        <v/>
      </c>
      <c r="G130" t="str">
        <f>"202202028743"</f>
        <v>202202028743</v>
      </c>
      <c r="H130" t="str">
        <f>"ACCT#010835/PRECINCT #1"</f>
        <v>ACCT#010835/PRECINCT #1</v>
      </c>
      <c r="I130" s="4">
        <v>61.5</v>
      </c>
      <c r="J130" t="str">
        <f>"ACCT#010835/PRECINCT #1"</f>
        <v>ACCT#010835/PRECINCT #1</v>
      </c>
    </row>
    <row r="131" spans="1:10" x14ac:dyDescent="0.25">
      <c r="A131" t="str">
        <f>""</f>
        <v/>
      </c>
      <c r="B131" t="str">
        <f>""</f>
        <v/>
      </c>
      <c r="G131" t="str">
        <f>"202202088753"</f>
        <v>202202088753</v>
      </c>
      <c r="H131" t="str">
        <f>"ACCT#011474/ELECTIONS"</f>
        <v>ACCT#011474/ELECTIONS</v>
      </c>
      <c r="I131" s="4">
        <v>17.5</v>
      </c>
      <c r="J131" t="str">
        <f>"ACCT#011474/ELECTIONS"</f>
        <v>ACCT#011474/ELECTIONS</v>
      </c>
    </row>
    <row r="132" spans="1:10" x14ac:dyDescent="0.25">
      <c r="A132" t="str">
        <f>""</f>
        <v/>
      </c>
      <c r="B132" t="str">
        <f>""</f>
        <v/>
      </c>
      <c r="G132" t="str">
        <f>"202202088754"</f>
        <v>202202088754</v>
      </c>
      <c r="H132" t="str">
        <f>"ACCT#011033/IT DEPT."</f>
        <v>ACCT#011033/IT DEPT.</v>
      </c>
      <c r="I132" s="4">
        <v>39</v>
      </c>
      <c r="J132" t="str">
        <f>"ACCT#011033/IT DEPT."</f>
        <v>ACCT#011033/IT DEPT.</v>
      </c>
    </row>
    <row r="133" spans="1:10" x14ac:dyDescent="0.25">
      <c r="A133" t="str">
        <f>""</f>
        <v/>
      </c>
      <c r="B133" t="str">
        <f>""</f>
        <v/>
      </c>
      <c r="G133" t="str">
        <f>"202202088755"</f>
        <v>202202088755</v>
      </c>
      <c r="H133" t="str">
        <f>"ACCT#010602/COMMISSIONERS"</f>
        <v>ACCT#010602/COMMISSIONERS</v>
      </c>
      <c r="I133" s="4">
        <v>16.5</v>
      </c>
      <c r="J133" t="str">
        <f>"ACCT#010602/COMMISSIONERS"</f>
        <v>ACCT#010602/COMMISSIONERS</v>
      </c>
    </row>
    <row r="134" spans="1:10" x14ac:dyDescent="0.25">
      <c r="A134" t="str">
        <f>""</f>
        <v/>
      </c>
      <c r="B134" t="str">
        <f>""</f>
        <v/>
      </c>
      <c r="G134" t="str">
        <f>"202202088756"</f>
        <v>202202088756</v>
      </c>
      <c r="H134" t="str">
        <f>"ACCT#012231/DISTRICT JUDGE"</f>
        <v>ACCT#012231/DISTRICT JUDGE</v>
      </c>
      <c r="I134" s="4">
        <v>10</v>
      </c>
      <c r="J134" t="str">
        <f>"ACCT#012231/DISTRICT JUDGE"</f>
        <v>ACCT#012231/DISTRICT JUDGE</v>
      </c>
    </row>
    <row r="135" spans="1:10" x14ac:dyDescent="0.25">
      <c r="A135" t="str">
        <f>""</f>
        <v/>
      </c>
      <c r="B135" t="str">
        <f>""</f>
        <v/>
      </c>
      <c r="G135" t="str">
        <f>"202202088757"</f>
        <v>202202088757</v>
      </c>
      <c r="H135" t="str">
        <f>"ACCT#011955/DISTRICT JUDGE"</f>
        <v>ACCT#011955/DISTRICT JUDGE</v>
      </c>
      <c r="I135" s="4">
        <v>18</v>
      </c>
      <c r="J135" t="str">
        <f>"ACCT#011955/DISTRICT JUDGE"</f>
        <v>ACCT#011955/DISTRICT JUDGE</v>
      </c>
    </row>
    <row r="136" spans="1:10" x14ac:dyDescent="0.25">
      <c r="A136" t="str">
        <f>""</f>
        <v/>
      </c>
      <c r="B136" t="str">
        <f>""</f>
        <v/>
      </c>
      <c r="G136" t="str">
        <f>"202202088758"</f>
        <v>202202088758</v>
      </c>
      <c r="H136" t="str">
        <f>"ACCT#014877/INDIGENT HEALTH"</f>
        <v>ACCT#014877/INDIGENT HEALTH</v>
      </c>
      <c r="I136" s="4">
        <v>24</v>
      </c>
      <c r="J136" t="str">
        <f>"ACCT#014877/INDIGENT HEALTH"</f>
        <v>ACCT#014877/INDIGENT HEALTH</v>
      </c>
    </row>
    <row r="137" spans="1:10" x14ac:dyDescent="0.25">
      <c r="A137" t="str">
        <f>""</f>
        <v/>
      </c>
      <c r="B137" t="str">
        <f>""</f>
        <v/>
      </c>
      <c r="G137" t="str">
        <f>"202202088759"</f>
        <v>202202088759</v>
      </c>
      <c r="H137" t="str">
        <f>"ACCT#012260/DISTRICT ATTNY"</f>
        <v>ACCT#012260/DISTRICT ATTNY</v>
      </c>
      <c r="I137" s="4">
        <v>15</v>
      </c>
      <c r="J137" t="str">
        <f>"ACCT#012260/DISTRICT ATTNY"</f>
        <v>ACCT#012260/DISTRICT ATTNY</v>
      </c>
    </row>
    <row r="138" spans="1:10" x14ac:dyDescent="0.25">
      <c r="A138" t="str">
        <f>""</f>
        <v/>
      </c>
      <c r="B138" t="str">
        <f>""</f>
        <v/>
      </c>
      <c r="G138" t="str">
        <f>"202202088800"</f>
        <v>202202088800</v>
      </c>
      <c r="H138" t="str">
        <f>"ACCT#012259/DISTRICT CLERKS OF"</f>
        <v>ACCT#012259/DISTRICT CLERKS OF</v>
      </c>
      <c r="I138" s="4">
        <v>60</v>
      </c>
      <c r="J138" t="str">
        <f>"ACCT#012259/DISTRICT CLERKS OF"</f>
        <v>ACCT#012259/DISTRICT CLERKS OF</v>
      </c>
    </row>
    <row r="139" spans="1:10" x14ac:dyDescent="0.25">
      <c r="A139" t="str">
        <f>""</f>
        <v/>
      </c>
      <c r="B139" t="str">
        <f>""</f>
        <v/>
      </c>
      <c r="G139" t="str">
        <f>"202202088801"</f>
        <v>202202088801</v>
      </c>
      <c r="H139" t="str">
        <f>"ACCT#015476/PURCHASING"</f>
        <v>ACCT#015476/PURCHASING</v>
      </c>
      <c r="I139" s="4">
        <v>27.5</v>
      </c>
      <c r="J139" t="str">
        <f>"ACCT#015476/PURCHASING"</f>
        <v>ACCT#015476/PURCHASING</v>
      </c>
    </row>
    <row r="140" spans="1:10" x14ac:dyDescent="0.25">
      <c r="A140" t="str">
        <f>""</f>
        <v/>
      </c>
      <c r="B140" t="str">
        <f>""</f>
        <v/>
      </c>
      <c r="G140" t="str">
        <f>"202202088808"</f>
        <v>202202088808</v>
      </c>
      <c r="H140" t="str">
        <f>"ACCT#014737/ANIMAL SVCS"</f>
        <v>ACCT#014737/ANIMAL SVCS</v>
      </c>
      <c r="I140" s="4">
        <v>57</v>
      </c>
      <c r="J140" t="str">
        <f>"ACCT#014737/ANIMAL SVCS"</f>
        <v>ACCT#014737/ANIMAL SVCS</v>
      </c>
    </row>
    <row r="141" spans="1:10" x14ac:dyDescent="0.25">
      <c r="A141" t="str">
        <f>""</f>
        <v/>
      </c>
      <c r="B141" t="str">
        <f>""</f>
        <v/>
      </c>
      <c r="G141" t="str">
        <f>"202202098931"</f>
        <v>202202098931</v>
      </c>
      <c r="H141" t="str">
        <f>"ACCT#010149/TEXAS AGRI LIVE EX"</f>
        <v>ACCT#010149/TEXAS AGRI LIVE EX</v>
      </c>
      <c r="I141" s="4">
        <v>15</v>
      </c>
      <c r="J141" t="str">
        <f>"ACCT#010149/TEXAS AGRI LIVE EX"</f>
        <v>ACCT#010149/TEXAS AGRI LIVE EX</v>
      </c>
    </row>
    <row r="142" spans="1:10" x14ac:dyDescent="0.25">
      <c r="A142" t="str">
        <f>"01"</f>
        <v>01</v>
      </c>
      <c r="B142" t="str">
        <f>"AQUAB"</f>
        <v>AQUAB</v>
      </c>
      <c r="C142" t="s">
        <v>29</v>
      </c>
      <c r="D142">
        <v>139248</v>
      </c>
      <c r="E142" s="4">
        <v>495</v>
      </c>
      <c r="F142" s="5">
        <v>44620</v>
      </c>
      <c r="G142" t="str">
        <f>"202202239315"</f>
        <v>202202239315</v>
      </c>
      <c r="H142" t="str">
        <f>"ACCT#015510/PCT#1"</f>
        <v>ACCT#015510/PCT#1</v>
      </c>
      <c r="I142" s="4">
        <v>495</v>
      </c>
      <c r="J142" t="str">
        <f>"ACCT#015510/PCT#1"</f>
        <v>ACCT#015510/PCT#1</v>
      </c>
    </row>
    <row r="143" spans="1:10" x14ac:dyDescent="0.25">
      <c r="A143" t="str">
        <f>"01"</f>
        <v>01</v>
      </c>
      <c r="B143" t="str">
        <f>"AWS"</f>
        <v>AWS</v>
      </c>
      <c r="C143" t="s">
        <v>30</v>
      </c>
      <c r="D143">
        <v>139016</v>
      </c>
      <c r="E143" s="4">
        <v>369</v>
      </c>
      <c r="F143" s="5">
        <v>44606</v>
      </c>
      <c r="G143" t="str">
        <f>"202202028738"</f>
        <v>202202028738</v>
      </c>
      <c r="H143" t="str">
        <f>"ACCT#7700010027/PCT#4"</f>
        <v>ACCT#7700010027/PCT#4</v>
      </c>
      <c r="I143" s="4">
        <v>194.75</v>
      </c>
      <c r="J143" t="str">
        <f>"ACCT#7700010027/PCT#4"</f>
        <v>ACCT#7700010027/PCT#4</v>
      </c>
    </row>
    <row r="144" spans="1:10" x14ac:dyDescent="0.25">
      <c r="A144" t="str">
        <f>""</f>
        <v/>
      </c>
      <c r="B144" t="str">
        <f>""</f>
        <v/>
      </c>
      <c r="G144" t="str">
        <f>"202202028739"</f>
        <v>202202028739</v>
      </c>
      <c r="H144" t="str">
        <f>"ACCT#7700010026/PCT#3"</f>
        <v>ACCT#7700010026/PCT#3</v>
      </c>
      <c r="I144" s="4">
        <v>143.5</v>
      </c>
      <c r="J144" t="str">
        <f>"ACCT#7700010026/PCT#3"</f>
        <v>ACCT#7700010026/PCT#3</v>
      </c>
    </row>
    <row r="145" spans="1:10" x14ac:dyDescent="0.25">
      <c r="A145" t="str">
        <f>""</f>
        <v/>
      </c>
      <c r="B145" t="str">
        <f>""</f>
        <v/>
      </c>
      <c r="G145" t="str">
        <f>"202202028741"</f>
        <v>202202028741</v>
      </c>
      <c r="H145" t="str">
        <f>"ACCT#7700010025/PCT#2"</f>
        <v>ACCT#7700010025/PCT#2</v>
      </c>
      <c r="I145" s="4">
        <v>30.75</v>
      </c>
      <c r="J145" t="str">
        <f>"ACCT#7700010025/PCT#2"</f>
        <v>ACCT#7700010025/PCT#2</v>
      </c>
    </row>
    <row r="146" spans="1:10" x14ac:dyDescent="0.25">
      <c r="A146" t="str">
        <f>"01"</f>
        <v>01</v>
      </c>
      <c r="B146" t="str">
        <f>"AWS"</f>
        <v>AWS</v>
      </c>
      <c r="C146" t="s">
        <v>30</v>
      </c>
      <c r="D146">
        <v>139233</v>
      </c>
      <c r="E146" s="4">
        <v>92.47</v>
      </c>
      <c r="F146" s="5">
        <v>44609</v>
      </c>
      <c r="G146" t="str">
        <f>"202202179105"</f>
        <v>202202179105</v>
      </c>
      <c r="H146" t="str">
        <f>"ACCT#0201855301/12022021"</f>
        <v>ACCT#0201855301/12022021</v>
      </c>
      <c r="I146" s="4">
        <v>35.33</v>
      </c>
      <c r="J146" t="str">
        <f>"ACCT#0201855301/12022021"</f>
        <v>ACCT#0201855301/12022021</v>
      </c>
    </row>
    <row r="147" spans="1:10" x14ac:dyDescent="0.25">
      <c r="A147" t="str">
        <f>""</f>
        <v/>
      </c>
      <c r="B147" t="str">
        <f>""</f>
        <v/>
      </c>
      <c r="G147" t="str">
        <f>"202202179106"</f>
        <v>202202179106</v>
      </c>
      <c r="H147" t="str">
        <f>"ACCT#0201891401//12022021"</f>
        <v>ACCT#0201891401//12022021</v>
      </c>
      <c r="I147" s="4">
        <v>25.28</v>
      </c>
      <c r="J147" t="str">
        <f>"ACCT#0201891401//12022021"</f>
        <v>ACCT#0201891401//12022021</v>
      </c>
    </row>
    <row r="148" spans="1:10" x14ac:dyDescent="0.25">
      <c r="A148" t="str">
        <f>""</f>
        <v/>
      </c>
      <c r="B148" t="str">
        <f>""</f>
        <v/>
      </c>
      <c r="G148" t="str">
        <f>"202202179107"</f>
        <v>202202179107</v>
      </c>
      <c r="H148" t="str">
        <f>"ACCT#0202496801/12022021"</f>
        <v>ACCT#0202496801/12022021</v>
      </c>
      <c r="I148" s="4">
        <v>31.86</v>
      </c>
      <c r="J148" t="str">
        <f>"ACCT#0202496801/12022021"</f>
        <v>ACCT#0202496801/12022021</v>
      </c>
    </row>
    <row r="149" spans="1:10" x14ac:dyDescent="0.25">
      <c r="A149" t="str">
        <f>"01"</f>
        <v>01</v>
      </c>
      <c r="B149" t="str">
        <f>"AWS"</f>
        <v>AWS</v>
      </c>
      <c r="C149" t="s">
        <v>30</v>
      </c>
      <c r="D149">
        <v>139240</v>
      </c>
      <c r="E149" s="4">
        <v>1162.82</v>
      </c>
      <c r="F149" s="5">
        <v>44617</v>
      </c>
      <c r="G149" t="str">
        <f>"202202259356"</f>
        <v>202202259356</v>
      </c>
      <c r="H149" t="str">
        <f>"ACCT#0102120801 / 02012022"</f>
        <v>ACCT#0102120801 / 02012022</v>
      </c>
      <c r="I149" s="4">
        <v>161.28</v>
      </c>
      <c r="J149" t="str">
        <f>"ACCT#0102120801 / 02012022"</f>
        <v>ACCT#0102120801 / 02012022</v>
      </c>
    </row>
    <row r="150" spans="1:10" x14ac:dyDescent="0.25">
      <c r="A150" t="str">
        <f>""</f>
        <v/>
      </c>
      <c r="B150" t="str">
        <f>""</f>
        <v/>
      </c>
      <c r="G150" t="str">
        <f>"202202259357"</f>
        <v>202202259357</v>
      </c>
      <c r="H150" t="str">
        <f>"ACCT#0400785803 / 02022022"</f>
        <v>ACCT#0400785803 / 02022022</v>
      </c>
      <c r="I150" s="4">
        <v>215.2</v>
      </c>
      <c r="J150" t="str">
        <f>"ACCT#0400785803 / 02022022"</f>
        <v>ACCT#0400785803 / 02022022</v>
      </c>
    </row>
    <row r="151" spans="1:10" x14ac:dyDescent="0.25">
      <c r="A151" t="str">
        <f>""</f>
        <v/>
      </c>
      <c r="B151" t="str">
        <f>""</f>
        <v/>
      </c>
      <c r="G151" t="str">
        <f>"202202259358"</f>
        <v>202202259358</v>
      </c>
      <c r="H151" t="str">
        <f>"ACCT#0401408501 / 02022022"</f>
        <v>ACCT#0401408501 / 02022022</v>
      </c>
      <c r="I151" s="4">
        <v>734.23</v>
      </c>
      <c r="J151" t="str">
        <f>"AQUA WATER SUPPLY CORPORATION"</f>
        <v>AQUA WATER SUPPLY CORPORATION</v>
      </c>
    </row>
    <row r="152" spans="1:10" x14ac:dyDescent="0.25">
      <c r="A152" t="str">
        <f>""</f>
        <v/>
      </c>
      <c r="B152" t="str">
        <f>""</f>
        <v/>
      </c>
      <c r="G152" t="str">
        <f>"202202259359"</f>
        <v>202202259359</v>
      </c>
      <c r="H152" t="str">
        <f>"ACCT#080042801 / 02012022"</f>
        <v>ACCT#080042801 / 02012022</v>
      </c>
      <c r="I152" s="4">
        <v>26.44</v>
      </c>
      <c r="J152" t="str">
        <f>"ACCT#080042801 / 02012022"</f>
        <v>ACCT#080042801 / 02012022</v>
      </c>
    </row>
    <row r="153" spans="1:10" x14ac:dyDescent="0.25">
      <c r="A153" t="str">
        <f>""</f>
        <v/>
      </c>
      <c r="B153" t="str">
        <f>""</f>
        <v/>
      </c>
      <c r="G153" t="str">
        <f>"202202259360"</f>
        <v>202202259360</v>
      </c>
      <c r="H153" t="str">
        <f>"ACCT#0802361501 / 02022022"</f>
        <v>ACCT#0802361501 / 02022022</v>
      </c>
      <c r="I153" s="4">
        <v>25.67</v>
      </c>
      <c r="J153" t="str">
        <f>"ACCT#0802361501 / 02022022"</f>
        <v>ACCT#0802361501 / 02022022</v>
      </c>
    </row>
    <row r="154" spans="1:10" x14ac:dyDescent="0.25">
      <c r="A154" t="str">
        <f>"01"</f>
        <v>01</v>
      </c>
      <c r="B154" t="str">
        <f>"AWS"</f>
        <v>AWS</v>
      </c>
      <c r="C154" t="s">
        <v>30</v>
      </c>
      <c r="D154">
        <v>139249</v>
      </c>
      <c r="E154" s="4">
        <v>481.75</v>
      </c>
      <c r="F154" s="5">
        <v>44620</v>
      </c>
      <c r="G154" t="str">
        <f>"202202179225"</f>
        <v>202202179225</v>
      </c>
      <c r="H154" t="str">
        <f>"ACCT#7700010026/PCT#3"</f>
        <v>ACCT#7700010026/PCT#3</v>
      </c>
      <c r="I154" s="4">
        <v>246</v>
      </c>
      <c r="J154" t="str">
        <f>"ACCT#7700010026/PCT#3"</f>
        <v>ACCT#7700010026/PCT#3</v>
      </c>
    </row>
    <row r="155" spans="1:10" x14ac:dyDescent="0.25">
      <c r="A155" t="str">
        <f>""</f>
        <v/>
      </c>
      <c r="B155" t="str">
        <f>""</f>
        <v/>
      </c>
      <c r="G155" t="str">
        <f>"202202179227"</f>
        <v>202202179227</v>
      </c>
      <c r="H155" t="str">
        <f>"ACCT#7700010027/PCT#4"</f>
        <v>ACCT#7700010027/PCT#4</v>
      </c>
      <c r="I155" s="4">
        <v>235.75</v>
      </c>
      <c r="J155" t="str">
        <f>"ACCT#7700010027/PCT#4"</f>
        <v>ACCT#7700010027/PCT#4</v>
      </c>
    </row>
    <row r="156" spans="1:10" x14ac:dyDescent="0.25">
      <c r="A156" t="str">
        <f>"01"</f>
        <v>01</v>
      </c>
      <c r="B156" t="str">
        <f>"000987"</f>
        <v>000987</v>
      </c>
      <c r="C156" t="s">
        <v>31</v>
      </c>
      <c r="D156">
        <v>139250</v>
      </c>
      <c r="E156" s="4">
        <v>721.46</v>
      </c>
      <c r="F156" s="5">
        <v>44620</v>
      </c>
      <c r="G156" t="str">
        <f>"202202229266"</f>
        <v>202202229266</v>
      </c>
      <c r="H156" t="str">
        <f>"INDIGENT HEALTH"</f>
        <v>INDIGENT HEALTH</v>
      </c>
      <c r="I156" s="4">
        <v>721.46</v>
      </c>
      <c r="J156" t="str">
        <f>"INDIGENT HEALTH"</f>
        <v>INDIGENT HEALTH</v>
      </c>
    </row>
    <row r="157" spans="1:10" x14ac:dyDescent="0.25">
      <c r="A157" t="str">
        <f>"01"</f>
        <v>01</v>
      </c>
      <c r="B157" t="str">
        <f>"006371"</f>
        <v>006371</v>
      </c>
      <c r="C157" t="s">
        <v>32</v>
      </c>
      <c r="D157">
        <v>139251</v>
      </c>
      <c r="E157" s="4">
        <v>6831.76</v>
      </c>
      <c r="F157" s="5">
        <v>44620</v>
      </c>
      <c r="G157" t="str">
        <f>"202202229267"</f>
        <v>202202229267</v>
      </c>
      <c r="H157" t="str">
        <f>"INDIGENT HEALTH"</f>
        <v>INDIGENT HEALTH</v>
      </c>
      <c r="I157" s="4">
        <v>6831.76</v>
      </c>
      <c r="J157" t="str">
        <f>"INDIGENT HEALTH"</f>
        <v>INDIGENT HEALTH</v>
      </c>
    </row>
    <row r="158" spans="1:10" x14ac:dyDescent="0.25">
      <c r="A158" t="str">
        <f>"01"</f>
        <v>01</v>
      </c>
      <c r="B158" t="str">
        <f>"003673"</f>
        <v>003673</v>
      </c>
      <c r="C158" t="s">
        <v>33</v>
      </c>
      <c r="D158">
        <v>139017</v>
      </c>
      <c r="E158" s="4">
        <v>8366.58</v>
      </c>
      <c r="F158" s="5">
        <v>44606</v>
      </c>
      <c r="G158" t="str">
        <f>"202202088761"</f>
        <v>202202088761</v>
      </c>
      <c r="H158" t="str">
        <f>"ACCT#512-3089870530"</f>
        <v>ACCT#512-3089870530</v>
      </c>
      <c r="I158" s="4">
        <v>1596.75</v>
      </c>
      <c r="J158" t="str">
        <f>"ACCT#512-3089870530"</f>
        <v>ACCT#512-3089870530</v>
      </c>
    </row>
    <row r="159" spans="1:10" x14ac:dyDescent="0.25">
      <c r="A159" t="str">
        <f>""</f>
        <v/>
      </c>
      <c r="B159" t="str">
        <f>""</f>
        <v/>
      </c>
      <c r="G159" t="str">
        <f>"202202098929"</f>
        <v>202202098929</v>
      </c>
      <c r="H159" t="str">
        <f>"ACCT#512A49-0048 193 3"</f>
        <v>ACCT#512A49-0048 193 3</v>
      </c>
      <c r="I159" s="4">
        <v>6576.45</v>
      </c>
      <c r="J159" t="str">
        <f>"ACCT#512A49-0048 193 3"</f>
        <v>ACCT#512A49-0048 193 3</v>
      </c>
    </row>
    <row r="160" spans="1:10" x14ac:dyDescent="0.25">
      <c r="A160" t="str">
        <f>""</f>
        <v/>
      </c>
      <c r="B160" t="str">
        <f>""</f>
        <v/>
      </c>
      <c r="G160" t="str">
        <f>""</f>
        <v/>
      </c>
      <c r="H160" t="str">
        <f>""</f>
        <v/>
      </c>
      <c r="I160" s="4">
        <v>53.35</v>
      </c>
      <c r="J160" t="str">
        <f>"ACCT#512A49-0048 193 3"</f>
        <v>ACCT#512A49-0048 193 3</v>
      </c>
    </row>
    <row r="161" spans="1:10" x14ac:dyDescent="0.25">
      <c r="A161" t="str">
        <f>""</f>
        <v/>
      </c>
      <c r="B161" t="str">
        <f>""</f>
        <v/>
      </c>
      <c r="G161" t="str">
        <f>""</f>
        <v/>
      </c>
      <c r="H161" t="str">
        <f>""</f>
        <v/>
      </c>
      <c r="I161" s="4">
        <v>140.03</v>
      </c>
      <c r="J161" t="str">
        <f>"ACCT#512A49-0048 193 3"</f>
        <v>ACCT#512A49-0048 193 3</v>
      </c>
    </row>
    <row r="162" spans="1:10" x14ac:dyDescent="0.25">
      <c r="A162" t="str">
        <f>"01"</f>
        <v>01</v>
      </c>
      <c r="B162" t="str">
        <f>"ATTLO"</f>
        <v>ATTLO</v>
      </c>
      <c r="C162" t="s">
        <v>33</v>
      </c>
      <c r="D162">
        <v>139018</v>
      </c>
      <c r="E162" s="4">
        <v>7389.34</v>
      </c>
      <c r="F162" s="5">
        <v>44606</v>
      </c>
      <c r="G162" t="str">
        <f>"5413028607"</f>
        <v>5413028607</v>
      </c>
      <c r="H162" t="str">
        <f>"ACCT#831-000-7919-623"</f>
        <v>ACCT#831-000-7919-623</v>
      </c>
      <c r="I162" s="4">
        <v>1973.67</v>
      </c>
      <c r="J162" t="str">
        <f>"ACCT#831-000-7919-623"</f>
        <v>ACCT#831-000-7919-623</v>
      </c>
    </row>
    <row r="163" spans="1:10" x14ac:dyDescent="0.25">
      <c r="A163" t="str">
        <f>""</f>
        <v/>
      </c>
      <c r="B163" t="str">
        <f>""</f>
        <v/>
      </c>
      <c r="G163" t="str">
        <f>"6734947609"</f>
        <v>6734947609</v>
      </c>
      <c r="H163" t="str">
        <f>"ACCT#831-000-6084095"</f>
        <v>ACCT#831-000-6084095</v>
      </c>
      <c r="I163" s="4">
        <v>1670.92</v>
      </c>
      <c r="J163" t="str">
        <f>"ACCT#831-000-6084095"</f>
        <v>ACCT#831-000-6084095</v>
      </c>
    </row>
    <row r="164" spans="1:10" x14ac:dyDescent="0.25">
      <c r="A164" t="str">
        <f>""</f>
        <v/>
      </c>
      <c r="B164" t="str">
        <f>""</f>
        <v/>
      </c>
      <c r="G164" t="str">
        <f>"8783487602"</f>
        <v>8783487602</v>
      </c>
      <c r="H164" t="str">
        <f>"ACCT#831-000-9850-451"</f>
        <v>ACCT#831-000-9850-451</v>
      </c>
      <c r="I164" s="4">
        <v>2880.02</v>
      </c>
      <c r="J164" t="str">
        <f>"ACCT#831-000-9850-451"</f>
        <v>ACCT#831-000-9850-451</v>
      </c>
    </row>
    <row r="165" spans="1:10" x14ac:dyDescent="0.25">
      <c r="A165" t="str">
        <f>""</f>
        <v/>
      </c>
      <c r="B165" t="str">
        <f>""</f>
        <v/>
      </c>
      <c r="G165" t="str">
        <f>"9969277601"</f>
        <v>9969277601</v>
      </c>
      <c r="H165" t="str">
        <f>"ACCT#831-000-7218-923"</f>
        <v>ACCT#831-000-7218-923</v>
      </c>
      <c r="I165" s="4">
        <v>864.73</v>
      </c>
      <c r="J165" t="str">
        <f>"ACCT#831-000-7218-923"</f>
        <v>ACCT#831-000-7218-923</v>
      </c>
    </row>
    <row r="166" spans="1:10" x14ac:dyDescent="0.25">
      <c r="A166" t="str">
        <f>"01"</f>
        <v>01</v>
      </c>
      <c r="B166" t="str">
        <f>"ATTMO"</f>
        <v>ATTMO</v>
      </c>
      <c r="C166" t="s">
        <v>34</v>
      </c>
      <c r="D166">
        <v>139019</v>
      </c>
      <c r="E166" s="4">
        <v>3973.03</v>
      </c>
      <c r="F166" s="5">
        <v>44606</v>
      </c>
      <c r="G166" t="str">
        <f>"202202028735"</f>
        <v>202202028735</v>
      </c>
      <c r="H166" t="str">
        <f>"ACCT#287290524359"</f>
        <v>ACCT#287290524359</v>
      </c>
      <c r="I166" s="4">
        <v>108</v>
      </c>
      <c r="J166" t="str">
        <f t="shared" ref="J166:J179" si="4">"ACCT#287290524359"</f>
        <v>ACCT#287290524359</v>
      </c>
    </row>
    <row r="167" spans="1:10" x14ac:dyDescent="0.25">
      <c r="A167" t="str">
        <f>""</f>
        <v/>
      </c>
      <c r="B167" t="str">
        <f>""</f>
        <v/>
      </c>
      <c r="G167" t="str">
        <f>""</f>
        <v/>
      </c>
      <c r="H167" t="str">
        <f>""</f>
        <v/>
      </c>
      <c r="I167" s="4">
        <v>189</v>
      </c>
      <c r="J167" t="str">
        <f t="shared" si="4"/>
        <v>ACCT#287290524359</v>
      </c>
    </row>
    <row r="168" spans="1:10" x14ac:dyDescent="0.25">
      <c r="A168" t="str">
        <f>""</f>
        <v/>
      </c>
      <c r="B168" t="str">
        <f>""</f>
        <v/>
      </c>
      <c r="G168" t="str">
        <f>""</f>
        <v/>
      </c>
      <c r="H168" t="str">
        <f>""</f>
        <v/>
      </c>
      <c r="I168" s="4">
        <v>27</v>
      </c>
      <c r="J168" t="str">
        <f t="shared" si="4"/>
        <v>ACCT#287290524359</v>
      </c>
    </row>
    <row r="169" spans="1:10" x14ac:dyDescent="0.25">
      <c r="A169" t="str">
        <f>""</f>
        <v/>
      </c>
      <c r="B169" t="str">
        <f>""</f>
        <v/>
      </c>
      <c r="G169" t="str">
        <f>""</f>
        <v/>
      </c>
      <c r="H169" t="str">
        <f>""</f>
        <v/>
      </c>
      <c r="I169" s="4">
        <v>27</v>
      </c>
      <c r="J169" t="str">
        <f t="shared" si="4"/>
        <v>ACCT#287290524359</v>
      </c>
    </row>
    <row r="170" spans="1:10" x14ac:dyDescent="0.25">
      <c r="A170" t="str">
        <f>""</f>
        <v/>
      </c>
      <c r="B170" t="str">
        <f>""</f>
        <v/>
      </c>
      <c r="G170" t="str">
        <f>""</f>
        <v/>
      </c>
      <c r="H170" t="str">
        <f>""</f>
        <v/>
      </c>
      <c r="I170" s="4">
        <v>27</v>
      </c>
      <c r="J170" t="str">
        <f t="shared" si="4"/>
        <v>ACCT#287290524359</v>
      </c>
    </row>
    <row r="171" spans="1:10" x14ac:dyDescent="0.25">
      <c r="A171" t="str">
        <f>""</f>
        <v/>
      </c>
      <c r="B171" t="str">
        <f>""</f>
        <v/>
      </c>
      <c r="G171" t="str">
        <f>""</f>
        <v/>
      </c>
      <c r="H171" t="str">
        <f>""</f>
        <v/>
      </c>
      <c r="I171" s="4">
        <v>135</v>
      </c>
      <c r="J171" t="str">
        <f t="shared" si="4"/>
        <v>ACCT#287290524359</v>
      </c>
    </row>
    <row r="172" spans="1:10" x14ac:dyDescent="0.25">
      <c r="A172" t="str">
        <f>""</f>
        <v/>
      </c>
      <c r="B172" t="str">
        <f>""</f>
        <v/>
      </c>
      <c r="G172" t="str">
        <f>""</f>
        <v/>
      </c>
      <c r="H172" t="str">
        <f>""</f>
        <v/>
      </c>
      <c r="I172" s="4">
        <v>27</v>
      </c>
      <c r="J172" t="str">
        <f t="shared" si="4"/>
        <v>ACCT#287290524359</v>
      </c>
    </row>
    <row r="173" spans="1:10" x14ac:dyDescent="0.25">
      <c r="A173" t="str">
        <f>""</f>
        <v/>
      </c>
      <c r="B173" t="str">
        <f>""</f>
        <v/>
      </c>
      <c r="G173" t="str">
        <f>""</f>
        <v/>
      </c>
      <c r="H173" t="str">
        <f>""</f>
        <v/>
      </c>
      <c r="I173" s="4">
        <v>426.3</v>
      </c>
      <c r="J173" t="str">
        <f t="shared" si="4"/>
        <v>ACCT#287290524359</v>
      </c>
    </row>
    <row r="174" spans="1:10" x14ac:dyDescent="0.25">
      <c r="A174" t="str">
        <f>""</f>
        <v/>
      </c>
      <c r="B174" t="str">
        <f>""</f>
        <v/>
      </c>
      <c r="G174" t="str">
        <f>""</f>
        <v/>
      </c>
      <c r="H174" t="str">
        <f>""</f>
        <v/>
      </c>
      <c r="I174" s="4">
        <v>135</v>
      </c>
      <c r="J174" t="str">
        <f t="shared" si="4"/>
        <v>ACCT#287290524359</v>
      </c>
    </row>
    <row r="175" spans="1:10" x14ac:dyDescent="0.25">
      <c r="A175" t="str">
        <f>""</f>
        <v/>
      </c>
      <c r="B175" t="str">
        <f>""</f>
        <v/>
      </c>
      <c r="G175" t="str">
        <f>""</f>
        <v/>
      </c>
      <c r="H175" t="str">
        <f>""</f>
        <v/>
      </c>
      <c r="I175" s="4">
        <v>189</v>
      </c>
      <c r="J175" t="str">
        <f t="shared" si="4"/>
        <v>ACCT#287290524359</v>
      </c>
    </row>
    <row r="176" spans="1:10" x14ac:dyDescent="0.25">
      <c r="A176" t="str">
        <f>""</f>
        <v/>
      </c>
      <c r="B176" t="str">
        <f>""</f>
        <v/>
      </c>
      <c r="G176" t="str">
        <f>""</f>
        <v/>
      </c>
      <c r="H176" t="str">
        <f>""</f>
        <v/>
      </c>
      <c r="I176" s="4">
        <v>27</v>
      </c>
      <c r="J176" t="str">
        <f t="shared" si="4"/>
        <v>ACCT#287290524359</v>
      </c>
    </row>
    <row r="177" spans="1:10" x14ac:dyDescent="0.25">
      <c r="A177" t="str">
        <f>""</f>
        <v/>
      </c>
      <c r="B177" t="str">
        <f>""</f>
        <v/>
      </c>
      <c r="G177" t="str">
        <f>""</f>
        <v/>
      </c>
      <c r="H177" t="str">
        <f>""</f>
        <v/>
      </c>
      <c r="I177" s="4">
        <v>2311.66</v>
      </c>
      <c r="J177" t="str">
        <f t="shared" si="4"/>
        <v>ACCT#287290524359</v>
      </c>
    </row>
    <row r="178" spans="1:10" x14ac:dyDescent="0.25">
      <c r="A178" t="str">
        <f>""</f>
        <v/>
      </c>
      <c r="B178" t="str">
        <f>""</f>
        <v/>
      </c>
      <c r="G178" t="str">
        <f>""</f>
        <v/>
      </c>
      <c r="H178" t="str">
        <f>""</f>
        <v/>
      </c>
      <c r="I178" s="4">
        <v>54</v>
      </c>
      <c r="J178" t="str">
        <f t="shared" si="4"/>
        <v>ACCT#287290524359</v>
      </c>
    </row>
    <row r="179" spans="1:10" x14ac:dyDescent="0.25">
      <c r="A179" t="str">
        <f>""</f>
        <v/>
      </c>
      <c r="B179" t="str">
        <f>""</f>
        <v/>
      </c>
      <c r="G179" t="str">
        <f>""</f>
        <v/>
      </c>
      <c r="H179" t="str">
        <f>""</f>
        <v/>
      </c>
      <c r="I179" s="4">
        <v>27</v>
      </c>
      <c r="J179" t="str">
        <f t="shared" si="4"/>
        <v>ACCT#287290524359</v>
      </c>
    </row>
    <row r="180" spans="1:10" x14ac:dyDescent="0.25">
      <c r="A180" t="str">
        <f>""</f>
        <v/>
      </c>
      <c r="B180" t="str">
        <f>""</f>
        <v/>
      </c>
      <c r="G180" t="str">
        <f>"202202088822"</f>
        <v>202202088822</v>
      </c>
      <c r="H180" t="str">
        <f>"INV 287280903541X01202022"</f>
        <v>INV 287280903541X01202022</v>
      </c>
      <c r="I180" s="4">
        <v>263.07</v>
      </c>
      <c r="J180" t="str">
        <f>"INV 287280903541X01202022"</f>
        <v>INV 287280903541X01202022</v>
      </c>
    </row>
    <row r="181" spans="1:10" x14ac:dyDescent="0.25">
      <c r="A181" t="str">
        <f>"01"</f>
        <v>01</v>
      </c>
      <c r="B181" t="str">
        <f>"ATTMO"</f>
        <v>ATTMO</v>
      </c>
      <c r="C181" t="s">
        <v>34</v>
      </c>
      <c r="D181">
        <v>139252</v>
      </c>
      <c r="E181" s="4">
        <v>2311.84</v>
      </c>
      <c r="F181" s="5">
        <v>44620</v>
      </c>
      <c r="G181" t="str">
        <f>"202202239324"</f>
        <v>202202239324</v>
      </c>
      <c r="H181" t="str">
        <f>"ACCT#287263291654"</f>
        <v>ACCT#287263291654</v>
      </c>
      <c r="I181" s="4">
        <v>75.98</v>
      </c>
      <c r="J181" t="str">
        <f t="shared" ref="J181:J198" si="5">"ACCT#287263291654"</f>
        <v>ACCT#287263291654</v>
      </c>
    </row>
    <row r="182" spans="1:10" x14ac:dyDescent="0.25">
      <c r="A182" t="str">
        <f>""</f>
        <v/>
      </c>
      <c r="B182" t="str">
        <f>""</f>
        <v/>
      </c>
      <c r="G182" t="str">
        <f>""</f>
        <v/>
      </c>
      <c r="H182" t="str">
        <f>""</f>
        <v/>
      </c>
      <c r="I182" s="4">
        <v>113.97</v>
      </c>
      <c r="J182" t="str">
        <f t="shared" si="5"/>
        <v>ACCT#287263291654</v>
      </c>
    </row>
    <row r="183" spans="1:10" x14ac:dyDescent="0.25">
      <c r="A183" t="str">
        <f>""</f>
        <v/>
      </c>
      <c r="B183" t="str">
        <f>""</f>
        <v/>
      </c>
      <c r="G183" t="str">
        <f>""</f>
        <v/>
      </c>
      <c r="H183" t="str">
        <f>""</f>
        <v/>
      </c>
      <c r="I183" s="4">
        <v>36.729999999999997</v>
      </c>
      <c r="J183" t="str">
        <f t="shared" si="5"/>
        <v>ACCT#287263291654</v>
      </c>
    </row>
    <row r="184" spans="1:10" x14ac:dyDescent="0.25">
      <c r="A184" t="str">
        <f>""</f>
        <v/>
      </c>
      <c r="B184" t="str">
        <f>""</f>
        <v/>
      </c>
      <c r="G184" t="str">
        <f>""</f>
        <v/>
      </c>
      <c r="H184" t="str">
        <f>""</f>
        <v/>
      </c>
      <c r="I184" s="4">
        <v>189.95</v>
      </c>
      <c r="J184" t="str">
        <f t="shared" si="5"/>
        <v>ACCT#287263291654</v>
      </c>
    </row>
    <row r="185" spans="1:10" x14ac:dyDescent="0.25">
      <c r="A185" t="str">
        <f>""</f>
        <v/>
      </c>
      <c r="B185" t="str">
        <f>""</f>
        <v/>
      </c>
      <c r="G185" t="str">
        <f>""</f>
        <v/>
      </c>
      <c r="H185" t="str">
        <f>""</f>
        <v/>
      </c>
      <c r="I185" s="4">
        <v>75.98</v>
      </c>
      <c r="J185" t="str">
        <f t="shared" si="5"/>
        <v>ACCT#287263291654</v>
      </c>
    </row>
    <row r="186" spans="1:10" x14ac:dyDescent="0.25">
      <c r="A186" t="str">
        <f>""</f>
        <v/>
      </c>
      <c r="B186" t="str">
        <f>""</f>
        <v/>
      </c>
      <c r="G186" t="str">
        <f>""</f>
        <v/>
      </c>
      <c r="H186" t="str">
        <f>""</f>
        <v/>
      </c>
      <c r="I186" s="4">
        <v>37.99</v>
      </c>
      <c r="J186" t="str">
        <f t="shared" si="5"/>
        <v>ACCT#287263291654</v>
      </c>
    </row>
    <row r="187" spans="1:10" x14ac:dyDescent="0.25">
      <c r="A187" t="str">
        <f>""</f>
        <v/>
      </c>
      <c r="B187" t="str">
        <f>""</f>
        <v/>
      </c>
      <c r="G187" t="str">
        <f>""</f>
        <v/>
      </c>
      <c r="H187" t="str">
        <f>""</f>
        <v/>
      </c>
      <c r="I187" s="4">
        <v>287.61</v>
      </c>
      <c r="J187" t="str">
        <f t="shared" si="5"/>
        <v>ACCT#287263291654</v>
      </c>
    </row>
    <row r="188" spans="1:10" x14ac:dyDescent="0.25">
      <c r="A188" t="str">
        <f>""</f>
        <v/>
      </c>
      <c r="B188" t="str">
        <f>""</f>
        <v/>
      </c>
      <c r="G188" t="str">
        <f>""</f>
        <v/>
      </c>
      <c r="H188" t="str">
        <f>""</f>
        <v/>
      </c>
      <c r="I188" s="4">
        <v>75.98</v>
      </c>
      <c r="J188" t="str">
        <f t="shared" si="5"/>
        <v>ACCT#287263291654</v>
      </c>
    </row>
    <row r="189" spans="1:10" x14ac:dyDescent="0.25">
      <c r="A189" t="str">
        <f>""</f>
        <v/>
      </c>
      <c r="B189" t="str">
        <f>""</f>
        <v/>
      </c>
      <c r="G189" t="str">
        <f>""</f>
        <v/>
      </c>
      <c r="H189" t="str">
        <f>""</f>
        <v/>
      </c>
      <c r="I189" s="4">
        <v>151.96</v>
      </c>
      <c r="J189" t="str">
        <f t="shared" si="5"/>
        <v>ACCT#287263291654</v>
      </c>
    </row>
    <row r="190" spans="1:10" x14ac:dyDescent="0.25">
      <c r="A190" t="str">
        <f>""</f>
        <v/>
      </c>
      <c r="B190" t="str">
        <f>""</f>
        <v/>
      </c>
      <c r="G190" t="str">
        <f>""</f>
        <v/>
      </c>
      <c r="H190" t="str">
        <f>""</f>
        <v/>
      </c>
      <c r="I190" s="4">
        <v>506.95</v>
      </c>
      <c r="J190" t="str">
        <f t="shared" si="5"/>
        <v>ACCT#287263291654</v>
      </c>
    </row>
    <row r="191" spans="1:10" x14ac:dyDescent="0.25">
      <c r="A191" t="str">
        <f>""</f>
        <v/>
      </c>
      <c r="B191" t="str">
        <f>""</f>
        <v/>
      </c>
      <c r="G191" t="str">
        <f>""</f>
        <v/>
      </c>
      <c r="H191" t="str">
        <f>""</f>
        <v/>
      </c>
      <c r="I191" s="4">
        <v>75.98</v>
      </c>
      <c r="J191" t="str">
        <f t="shared" si="5"/>
        <v>ACCT#287263291654</v>
      </c>
    </row>
    <row r="192" spans="1:10" x14ac:dyDescent="0.25">
      <c r="A192" t="str">
        <f>""</f>
        <v/>
      </c>
      <c r="B192" t="str">
        <f>""</f>
        <v/>
      </c>
      <c r="G192" t="str">
        <f>""</f>
        <v/>
      </c>
      <c r="H192" t="str">
        <f>""</f>
        <v/>
      </c>
      <c r="I192" s="4">
        <v>37.99</v>
      </c>
      <c r="J192" t="str">
        <f t="shared" si="5"/>
        <v>ACCT#287263291654</v>
      </c>
    </row>
    <row r="193" spans="1:10" x14ac:dyDescent="0.25">
      <c r="A193" t="str">
        <f>""</f>
        <v/>
      </c>
      <c r="B193" t="str">
        <f>""</f>
        <v/>
      </c>
      <c r="G193" t="str">
        <f>""</f>
        <v/>
      </c>
      <c r="H193" t="str">
        <f>""</f>
        <v/>
      </c>
      <c r="I193" s="4">
        <v>75.98</v>
      </c>
      <c r="J193" t="str">
        <f t="shared" si="5"/>
        <v>ACCT#287263291654</v>
      </c>
    </row>
    <row r="194" spans="1:10" x14ac:dyDescent="0.25">
      <c r="A194" t="str">
        <f>""</f>
        <v/>
      </c>
      <c r="B194" t="str">
        <f>""</f>
        <v/>
      </c>
      <c r="G194" t="str">
        <f>""</f>
        <v/>
      </c>
      <c r="H194" t="str">
        <f>""</f>
        <v/>
      </c>
      <c r="I194" s="4">
        <v>37.99</v>
      </c>
      <c r="J194" t="str">
        <f t="shared" si="5"/>
        <v>ACCT#287263291654</v>
      </c>
    </row>
    <row r="195" spans="1:10" x14ac:dyDescent="0.25">
      <c r="A195" t="str">
        <f>""</f>
        <v/>
      </c>
      <c r="B195" t="str">
        <f>""</f>
        <v/>
      </c>
      <c r="G195" t="str">
        <f>""</f>
        <v/>
      </c>
      <c r="H195" t="str">
        <f>""</f>
        <v/>
      </c>
      <c r="I195" s="4">
        <v>37.99</v>
      </c>
      <c r="J195" t="str">
        <f t="shared" si="5"/>
        <v>ACCT#287263291654</v>
      </c>
    </row>
    <row r="196" spans="1:10" x14ac:dyDescent="0.25">
      <c r="A196" t="str">
        <f>""</f>
        <v/>
      </c>
      <c r="B196" t="str">
        <f>""</f>
        <v/>
      </c>
      <c r="G196" t="str">
        <f>""</f>
        <v/>
      </c>
      <c r="H196" t="str">
        <f>""</f>
        <v/>
      </c>
      <c r="I196" s="4">
        <v>38.19</v>
      </c>
      <c r="J196" t="str">
        <f t="shared" si="5"/>
        <v>ACCT#287263291654</v>
      </c>
    </row>
    <row r="197" spans="1:10" x14ac:dyDescent="0.25">
      <c r="A197" t="str">
        <f>""</f>
        <v/>
      </c>
      <c r="B197" t="str">
        <f>""</f>
        <v/>
      </c>
      <c r="G197" t="str">
        <f>""</f>
        <v/>
      </c>
      <c r="H197" t="str">
        <f>""</f>
        <v/>
      </c>
      <c r="I197" s="4">
        <v>37.99</v>
      </c>
      <c r="J197" t="str">
        <f t="shared" si="5"/>
        <v>ACCT#287263291654</v>
      </c>
    </row>
    <row r="198" spans="1:10" x14ac:dyDescent="0.25">
      <c r="A198" t="str">
        <f>""</f>
        <v/>
      </c>
      <c r="B198" t="str">
        <f>""</f>
        <v/>
      </c>
      <c r="G198" t="str">
        <f>""</f>
        <v/>
      </c>
      <c r="H198" t="str">
        <f>""</f>
        <v/>
      </c>
      <c r="I198" s="4">
        <v>153.56</v>
      </c>
      <c r="J198" t="str">
        <f t="shared" si="5"/>
        <v>ACCT#287263291654</v>
      </c>
    </row>
    <row r="199" spans="1:10" x14ac:dyDescent="0.25">
      <c r="A199" t="str">
        <f>""</f>
        <v/>
      </c>
      <c r="B199" t="str">
        <f>""</f>
        <v/>
      </c>
      <c r="G199" t="str">
        <f>"287280903541"</f>
        <v>287280903541</v>
      </c>
      <c r="H199" t="str">
        <f>"INV 287280903541X02202022"</f>
        <v>INV 287280903541X02202022</v>
      </c>
      <c r="I199" s="4">
        <v>263.07</v>
      </c>
      <c r="J199" t="str">
        <f>"INV 287280903541X02202022"</f>
        <v>INV 287280903541X02202022</v>
      </c>
    </row>
    <row r="200" spans="1:10" x14ac:dyDescent="0.25">
      <c r="A200" t="str">
        <f>"01"</f>
        <v>01</v>
      </c>
      <c r="B200" t="str">
        <f>"T1251"</f>
        <v>T1251</v>
      </c>
      <c r="C200" t="s">
        <v>35</v>
      </c>
      <c r="D200">
        <v>139253</v>
      </c>
      <c r="E200" s="4">
        <v>39.56</v>
      </c>
      <c r="F200" s="5">
        <v>44620</v>
      </c>
      <c r="G200" t="str">
        <f>"202202229269"</f>
        <v>202202229269</v>
      </c>
      <c r="H200" t="str">
        <f>"INDIGENT HEALTH"</f>
        <v>INDIGENT HEALTH</v>
      </c>
      <c r="I200" s="4">
        <v>39.56</v>
      </c>
      <c r="J200" t="str">
        <f>"INDIGENT HEALTH"</f>
        <v>INDIGENT HEALTH</v>
      </c>
    </row>
    <row r="201" spans="1:10" x14ac:dyDescent="0.25">
      <c r="A201" t="str">
        <f>"01"</f>
        <v>01</v>
      </c>
      <c r="B201" t="str">
        <f>"T7107"</f>
        <v>T7107</v>
      </c>
      <c r="C201" t="s">
        <v>36</v>
      </c>
      <c r="D201">
        <v>139020</v>
      </c>
      <c r="E201" s="4">
        <v>1426.88</v>
      </c>
      <c r="F201" s="5">
        <v>44606</v>
      </c>
      <c r="G201" t="str">
        <f>"202202098843"</f>
        <v>202202098843</v>
      </c>
      <c r="H201" t="str">
        <f>"JAIL MEDICAL"</f>
        <v>JAIL MEDICAL</v>
      </c>
      <c r="I201" s="4">
        <v>1426.88</v>
      </c>
      <c r="J201" t="str">
        <f>"JAIL MEDICAL"</f>
        <v>JAIL MEDICAL</v>
      </c>
    </row>
    <row r="202" spans="1:10" x14ac:dyDescent="0.25">
      <c r="A202" t="str">
        <f>"01"</f>
        <v>01</v>
      </c>
      <c r="B202" t="str">
        <f>"006648"</f>
        <v>006648</v>
      </c>
      <c r="C202" t="s">
        <v>37</v>
      </c>
      <c r="D202">
        <v>139021</v>
      </c>
      <c r="E202" s="4">
        <v>3.92</v>
      </c>
      <c r="F202" s="5">
        <v>44606</v>
      </c>
      <c r="G202" t="str">
        <f>"202202088793"</f>
        <v>202202088793</v>
      </c>
      <c r="H202" t="str">
        <f>"CUST#083005/PCT#4"</f>
        <v>CUST#083005/PCT#4</v>
      </c>
      <c r="I202" s="4">
        <v>3.92</v>
      </c>
      <c r="J202" t="str">
        <f>"CUST#083005/PCT#4"</f>
        <v>CUST#083005/PCT#4</v>
      </c>
    </row>
    <row r="203" spans="1:10" x14ac:dyDescent="0.25">
      <c r="A203" t="str">
        <f>"01"</f>
        <v>01</v>
      </c>
      <c r="B203" t="str">
        <f>"BTW"</f>
        <v>BTW</v>
      </c>
      <c r="C203" t="s">
        <v>38</v>
      </c>
      <c r="D203">
        <v>5779</v>
      </c>
      <c r="E203" s="4">
        <v>329.99</v>
      </c>
      <c r="F203" s="5">
        <v>44607</v>
      </c>
      <c r="G203" t="str">
        <f>"202202098862"</f>
        <v>202202098862</v>
      </c>
      <c r="H203" t="str">
        <f>"CUST#0009/PCT#1"</f>
        <v>CUST#0009/PCT#1</v>
      </c>
      <c r="I203" s="4">
        <v>214.49</v>
      </c>
      <c r="J203" t="str">
        <f>"CUST#0009/PCT#1"</f>
        <v>CUST#0009/PCT#1</v>
      </c>
    </row>
    <row r="204" spans="1:10" x14ac:dyDescent="0.25">
      <c r="A204" t="str">
        <f>""</f>
        <v/>
      </c>
      <c r="B204" t="str">
        <f>""</f>
        <v/>
      </c>
      <c r="G204" t="str">
        <f>"202202098863"</f>
        <v>202202098863</v>
      </c>
      <c r="H204" t="str">
        <f>"CUST#0010/PCT#2"</f>
        <v>CUST#0010/PCT#2</v>
      </c>
      <c r="I204" s="4">
        <v>115.5</v>
      </c>
      <c r="J204" t="str">
        <f>"CUST#0010/PCT#2"</f>
        <v>CUST#0010/PCT#2</v>
      </c>
    </row>
    <row r="205" spans="1:10" x14ac:dyDescent="0.25">
      <c r="A205" t="str">
        <f>"01"</f>
        <v>01</v>
      </c>
      <c r="B205" t="str">
        <f>"001769"</f>
        <v>001769</v>
      </c>
      <c r="C205" t="s">
        <v>39</v>
      </c>
      <c r="D205">
        <v>5748</v>
      </c>
      <c r="E205" s="4">
        <v>3695.2</v>
      </c>
      <c r="F205" s="5">
        <v>44607</v>
      </c>
      <c r="G205" t="str">
        <f>"1656"</f>
        <v>1656</v>
      </c>
      <c r="H205" t="str">
        <f>"RIP/RAP RIVERSIDE/PCT#1"</f>
        <v>RIP/RAP RIVERSIDE/PCT#1</v>
      </c>
      <c r="I205" s="4">
        <v>1600</v>
      </c>
      <c r="J205" t="str">
        <f>"RIP/RAP RIVERSIDE/PCT#1"</f>
        <v>RIP/RAP RIVERSIDE/PCT#1</v>
      </c>
    </row>
    <row r="206" spans="1:10" x14ac:dyDescent="0.25">
      <c r="A206" t="str">
        <f>""</f>
        <v/>
      </c>
      <c r="B206" t="str">
        <f>""</f>
        <v/>
      </c>
      <c r="G206" t="str">
        <f>"559612"</f>
        <v>559612</v>
      </c>
      <c r="H206" t="str">
        <f>"BRUNDAGE BONE BILL/PCT#1"</f>
        <v>BRUNDAGE BONE BILL/PCT#1</v>
      </c>
      <c r="I206" s="4">
        <v>2095.1999999999998</v>
      </c>
      <c r="J206" t="str">
        <f>"BRUNDAGE BONE BILL/PCT#1"</f>
        <v>BRUNDAGE BONE BILL/PCT#1</v>
      </c>
    </row>
    <row r="207" spans="1:10" x14ac:dyDescent="0.25">
      <c r="A207" t="str">
        <f>"01"</f>
        <v>01</v>
      </c>
      <c r="B207" t="str">
        <f>"T10989"</f>
        <v>T10989</v>
      </c>
      <c r="C207" t="s">
        <v>40</v>
      </c>
      <c r="D207">
        <v>139022</v>
      </c>
      <c r="E207" s="4">
        <v>112396</v>
      </c>
      <c r="F207" s="5">
        <v>44606</v>
      </c>
      <c r="G207" t="str">
        <f>"BC10012021"</f>
        <v>BC10012021</v>
      </c>
      <c r="H207" t="str">
        <f>"BOOTCAMP FY 21-22"</f>
        <v>BOOTCAMP FY 21-22</v>
      </c>
      <c r="I207" s="4">
        <v>112396</v>
      </c>
      <c r="J207" t="str">
        <f>"BOOTCAMP FY 21-22"</f>
        <v>BOOTCAMP FY 21-22</v>
      </c>
    </row>
    <row r="208" spans="1:10" x14ac:dyDescent="0.25">
      <c r="A208" t="str">
        <f>"01"</f>
        <v>01</v>
      </c>
      <c r="B208" t="str">
        <f>"T1636"</f>
        <v>T1636</v>
      </c>
      <c r="C208" t="s">
        <v>41</v>
      </c>
      <c r="D208">
        <v>139023</v>
      </c>
      <c r="E208" s="4">
        <v>3724</v>
      </c>
      <c r="F208" s="5">
        <v>44606</v>
      </c>
      <c r="G208" t="str">
        <f>"12242"</f>
        <v>12242</v>
      </c>
      <c r="H208" t="str">
        <f t="shared" ref="H208:H254" si="6">"SERVICE"</f>
        <v>SERVICE</v>
      </c>
      <c r="I208" s="4">
        <v>275</v>
      </c>
      <c r="J208" t="str">
        <f t="shared" ref="J208:J254" si="7">"SERVICE"</f>
        <v>SERVICE</v>
      </c>
    </row>
    <row r="209" spans="1:10" x14ac:dyDescent="0.25">
      <c r="A209" t="str">
        <f>""</f>
        <v/>
      </c>
      <c r="B209" t="str">
        <f>""</f>
        <v/>
      </c>
      <c r="G209" t="str">
        <f>"12264"</f>
        <v>12264</v>
      </c>
      <c r="H209" t="str">
        <f t="shared" si="6"/>
        <v>SERVICE</v>
      </c>
      <c r="I209" s="4">
        <v>275</v>
      </c>
      <c r="J209" t="str">
        <f t="shared" si="7"/>
        <v>SERVICE</v>
      </c>
    </row>
    <row r="210" spans="1:10" x14ac:dyDescent="0.25">
      <c r="A210" t="str">
        <f>""</f>
        <v/>
      </c>
      <c r="B210" t="str">
        <f>""</f>
        <v/>
      </c>
      <c r="G210" t="str">
        <f>"12273"</f>
        <v>12273</v>
      </c>
      <c r="H210" t="str">
        <f t="shared" si="6"/>
        <v>SERVICE</v>
      </c>
      <c r="I210" s="4">
        <v>275</v>
      </c>
      <c r="J210" t="str">
        <f t="shared" si="7"/>
        <v>SERVICE</v>
      </c>
    </row>
    <row r="211" spans="1:10" x14ac:dyDescent="0.25">
      <c r="A211" t="str">
        <f>""</f>
        <v/>
      </c>
      <c r="B211" t="str">
        <f>""</f>
        <v/>
      </c>
      <c r="G211" t="str">
        <f>"12276"</f>
        <v>12276</v>
      </c>
      <c r="H211" t="str">
        <f t="shared" si="6"/>
        <v>SERVICE</v>
      </c>
      <c r="I211" s="4">
        <v>325</v>
      </c>
      <c r="J211" t="str">
        <f t="shared" si="7"/>
        <v>SERVICE</v>
      </c>
    </row>
    <row r="212" spans="1:10" x14ac:dyDescent="0.25">
      <c r="A212" t="str">
        <f>""</f>
        <v/>
      </c>
      <c r="B212" t="str">
        <f>""</f>
        <v/>
      </c>
      <c r="G212" t="str">
        <f>"12313"</f>
        <v>12313</v>
      </c>
      <c r="H212" t="str">
        <f t="shared" si="6"/>
        <v>SERVICE</v>
      </c>
      <c r="I212" s="4">
        <v>350</v>
      </c>
      <c r="J212" t="str">
        <f t="shared" si="7"/>
        <v>SERVICE</v>
      </c>
    </row>
    <row r="213" spans="1:10" x14ac:dyDescent="0.25">
      <c r="A213" t="str">
        <f>""</f>
        <v/>
      </c>
      <c r="B213" t="str">
        <f>""</f>
        <v/>
      </c>
      <c r="G213" t="str">
        <f>"12454"</f>
        <v>12454</v>
      </c>
      <c r="H213" t="str">
        <f t="shared" si="6"/>
        <v>SERVICE</v>
      </c>
      <c r="I213" s="4">
        <v>325</v>
      </c>
      <c r="J213" t="str">
        <f t="shared" si="7"/>
        <v>SERVICE</v>
      </c>
    </row>
    <row r="214" spans="1:10" x14ac:dyDescent="0.25">
      <c r="A214" t="str">
        <f>""</f>
        <v/>
      </c>
      <c r="B214" t="str">
        <f>""</f>
        <v/>
      </c>
      <c r="G214" t="str">
        <f>"12498"</f>
        <v>12498</v>
      </c>
      <c r="H214" t="str">
        <f t="shared" si="6"/>
        <v>SERVICE</v>
      </c>
      <c r="I214" s="4">
        <v>200</v>
      </c>
      <c r="J214" t="str">
        <f t="shared" si="7"/>
        <v>SERVICE</v>
      </c>
    </row>
    <row r="215" spans="1:10" x14ac:dyDescent="0.25">
      <c r="A215" t="str">
        <f>""</f>
        <v/>
      </c>
      <c r="B215" t="str">
        <f>""</f>
        <v/>
      </c>
      <c r="G215" t="str">
        <f>"12518"</f>
        <v>12518</v>
      </c>
      <c r="H215" t="str">
        <f t="shared" si="6"/>
        <v>SERVICE</v>
      </c>
      <c r="I215" s="4">
        <v>250</v>
      </c>
      <c r="J215" t="str">
        <f t="shared" si="7"/>
        <v>SERVICE</v>
      </c>
    </row>
    <row r="216" spans="1:10" x14ac:dyDescent="0.25">
      <c r="A216" t="str">
        <f>""</f>
        <v/>
      </c>
      <c r="B216" t="str">
        <f>""</f>
        <v/>
      </c>
      <c r="G216" t="str">
        <f>"12534"</f>
        <v>12534</v>
      </c>
      <c r="H216" t="str">
        <f t="shared" si="6"/>
        <v>SERVICE</v>
      </c>
      <c r="I216" s="4">
        <v>325</v>
      </c>
      <c r="J216" t="str">
        <f t="shared" si="7"/>
        <v>SERVICE</v>
      </c>
    </row>
    <row r="217" spans="1:10" x14ac:dyDescent="0.25">
      <c r="A217" t="str">
        <f>""</f>
        <v/>
      </c>
      <c r="B217" t="str">
        <f>""</f>
        <v/>
      </c>
      <c r="G217" t="str">
        <f>"12897"</f>
        <v>12897</v>
      </c>
      <c r="H217" t="str">
        <f t="shared" si="6"/>
        <v>SERVICE</v>
      </c>
      <c r="I217" s="4">
        <v>325</v>
      </c>
      <c r="J217" t="str">
        <f t="shared" si="7"/>
        <v>SERVICE</v>
      </c>
    </row>
    <row r="218" spans="1:10" x14ac:dyDescent="0.25">
      <c r="A218" t="str">
        <f>""</f>
        <v/>
      </c>
      <c r="B218" t="str">
        <f>""</f>
        <v/>
      </c>
      <c r="G218" t="str">
        <f>"12906"</f>
        <v>12906</v>
      </c>
      <c r="H218" t="str">
        <f t="shared" si="6"/>
        <v>SERVICE</v>
      </c>
      <c r="I218" s="4">
        <v>325</v>
      </c>
      <c r="J218" t="str">
        <f t="shared" si="7"/>
        <v>SERVICE</v>
      </c>
    </row>
    <row r="219" spans="1:10" x14ac:dyDescent="0.25">
      <c r="A219" t="str">
        <f>""</f>
        <v/>
      </c>
      <c r="B219" t="str">
        <f>""</f>
        <v/>
      </c>
      <c r="G219" t="str">
        <f>"13042"</f>
        <v>13042</v>
      </c>
      <c r="H219" t="str">
        <f t="shared" si="6"/>
        <v>SERVICE</v>
      </c>
      <c r="I219" s="4">
        <v>325</v>
      </c>
      <c r="J219" t="str">
        <f t="shared" si="7"/>
        <v>SERVICE</v>
      </c>
    </row>
    <row r="220" spans="1:10" x14ac:dyDescent="0.25">
      <c r="A220" t="str">
        <f>""</f>
        <v/>
      </c>
      <c r="B220" t="str">
        <f>""</f>
        <v/>
      </c>
      <c r="G220" t="str">
        <f>"13582 11/14/21"</f>
        <v>13582 11/14/21</v>
      </c>
      <c r="H220" t="str">
        <f t="shared" si="6"/>
        <v>SERVICE</v>
      </c>
      <c r="I220" s="4">
        <v>25</v>
      </c>
      <c r="J220" t="str">
        <f t="shared" si="7"/>
        <v>SERVICE</v>
      </c>
    </row>
    <row r="221" spans="1:10" x14ac:dyDescent="0.25">
      <c r="A221" t="str">
        <f>""</f>
        <v/>
      </c>
      <c r="B221" t="str">
        <f>""</f>
        <v/>
      </c>
      <c r="G221" t="str">
        <f>"13620"</f>
        <v>13620</v>
      </c>
      <c r="H221" t="str">
        <f t="shared" si="6"/>
        <v>SERVICE</v>
      </c>
      <c r="I221" s="4">
        <v>75</v>
      </c>
      <c r="J221" t="str">
        <f t="shared" si="7"/>
        <v>SERVICE</v>
      </c>
    </row>
    <row r="222" spans="1:10" x14ac:dyDescent="0.25">
      <c r="A222" t="str">
        <f>""</f>
        <v/>
      </c>
      <c r="B222" t="str">
        <f>""</f>
        <v/>
      </c>
      <c r="G222" t="str">
        <f>"13833"</f>
        <v>13833</v>
      </c>
      <c r="H222" t="str">
        <f t="shared" si="6"/>
        <v>SERVICE</v>
      </c>
      <c r="I222" s="4">
        <v>49</v>
      </c>
      <c r="J222" t="str">
        <f t="shared" si="7"/>
        <v>SERVICE</v>
      </c>
    </row>
    <row r="223" spans="1:10" x14ac:dyDescent="0.25">
      <c r="A223" t="str">
        <f>"01"</f>
        <v>01</v>
      </c>
      <c r="B223" t="str">
        <f>"T1636"</f>
        <v>T1636</v>
      </c>
      <c r="C223" t="s">
        <v>41</v>
      </c>
      <c r="D223">
        <v>139254</v>
      </c>
      <c r="E223" s="4">
        <v>8435</v>
      </c>
      <c r="F223" s="5">
        <v>44620</v>
      </c>
      <c r="G223" t="str">
        <f>"12225"</f>
        <v>12225</v>
      </c>
      <c r="H223" t="str">
        <f t="shared" si="6"/>
        <v>SERVICE</v>
      </c>
      <c r="I223" s="4">
        <v>190</v>
      </c>
      <c r="J223" t="str">
        <f t="shared" si="7"/>
        <v>SERVICE</v>
      </c>
    </row>
    <row r="224" spans="1:10" x14ac:dyDescent="0.25">
      <c r="A224" t="str">
        <f>""</f>
        <v/>
      </c>
      <c r="B224" t="str">
        <f>""</f>
        <v/>
      </c>
      <c r="G224" t="str">
        <f>"12506"</f>
        <v>12506</v>
      </c>
      <c r="H224" t="str">
        <f t="shared" si="6"/>
        <v>SERVICE</v>
      </c>
      <c r="I224" s="4">
        <v>250</v>
      </c>
      <c r="J224" t="str">
        <f t="shared" si="7"/>
        <v>SERVICE</v>
      </c>
    </row>
    <row r="225" spans="1:10" x14ac:dyDescent="0.25">
      <c r="A225" t="str">
        <f>""</f>
        <v/>
      </c>
      <c r="B225" t="str">
        <f>""</f>
        <v/>
      </c>
      <c r="G225" t="str">
        <f>"12527"</f>
        <v>12527</v>
      </c>
      <c r="H225" t="str">
        <f t="shared" si="6"/>
        <v>SERVICE</v>
      </c>
      <c r="I225" s="4">
        <v>325</v>
      </c>
      <c r="J225" t="str">
        <f t="shared" si="7"/>
        <v>SERVICE</v>
      </c>
    </row>
    <row r="226" spans="1:10" x14ac:dyDescent="0.25">
      <c r="A226" t="str">
        <f>""</f>
        <v/>
      </c>
      <c r="B226" t="str">
        <f>""</f>
        <v/>
      </c>
      <c r="G226" t="str">
        <f>"12934"</f>
        <v>12934</v>
      </c>
      <c r="H226" t="str">
        <f t="shared" si="6"/>
        <v>SERVICE</v>
      </c>
      <c r="I226" s="4">
        <v>475</v>
      </c>
      <c r="J226" t="str">
        <f t="shared" si="7"/>
        <v>SERVICE</v>
      </c>
    </row>
    <row r="227" spans="1:10" x14ac:dyDescent="0.25">
      <c r="A227" t="str">
        <f>""</f>
        <v/>
      </c>
      <c r="B227" t="str">
        <f>""</f>
        <v/>
      </c>
      <c r="G227" t="str">
        <f>"13028"</f>
        <v>13028</v>
      </c>
      <c r="H227" t="str">
        <f t="shared" si="6"/>
        <v>SERVICE</v>
      </c>
      <c r="I227" s="4">
        <v>250</v>
      </c>
      <c r="J227" t="str">
        <f t="shared" si="7"/>
        <v>SERVICE</v>
      </c>
    </row>
    <row r="228" spans="1:10" x14ac:dyDescent="0.25">
      <c r="A228" t="str">
        <f>""</f>
        <v/>
      </c>
      <c r="B228" t="str">
        <f>""</f>
        <v/>
      </c>
      <c r="G228" t="str">
        <f>"13141"</f>
        <v>13141</v>
      </c>
      <c r="H228" t="str">
        <f t="shared" si="6"/>
        <v>SERVICE</v>
      </c>
      <c r="I228" s="4">
        <v>325</v>
      </c>
      <c r="J228" t="str">
        <f t="shared" si="7"/>
        <v>SERVICE</v>
      </c>
    </row>
    <row r="229" spans="1:10" x14ac:dyDescent="0.25">
      <c r="A229" t="str">
        <f>""</f>
        <v/>
      </c>
      <c r="B229" t="str">
        <f>""</f>
        <v/>
      </c>
      <c r="G229" t="str">
        <f>"13147"</f>
        <v>13147</v>
      </c>
      <c r="H229" t="str">
        <f t="shared" si="6"/>
        <v>SERVICE</v>
      </c>
      <c r="I229" s="4">
        <v>250</v>
      </c>
      <c r="J229" t="str">
        <f t="shared" si="7"/>
        <v>SERVICE</v>
      </c>
    </row>
    <row r="230" spans="1:10" x14ac:dyDescent="0.25">
      <c r="A230" t="str">
        <f>""</f>
        <v/>
      </c>
      <c r="B230" t="str">
        <f>""</f>
        <v/>
      </c>
      <c r="G230" t="str">
        <f>"13179 -11-16/21"</f>
        <v>13179 -11-16/21</v>
      </c>
      <c r="H230" t="str">
        <f t="shared" si="6"/>
        <v>SERVICE</v>
      </c>
      <c r="I230" s="4">
        <v>150</v>
      </c>
      <c r="J230" t="str">
        <f t="shared" si="7"/>
        <v>SERVICE</v>
      </c>
    </row>
    <row r="231" spans="1:10" x14ac:dyDescent="0.25">
      <c r="A231" t="str">
        <f>""</f>
        <v/>
      </c>
      <c r="B231" t="str">
        <f>""</f>
        <v/>
      </c>
      <c r="G231" t="str">
        <f>"13181"</f>
        <v>13181</v>
      </c>
      <c r="H231" t="str">
        <f t="shared" si="6"/>
        <v>SERVICE</v>
      </c>
      <c r="I231" s="4">
        <v>400</v>
      </c>
      <c r="J231" t="str">
        <f t="shared" si="7"/>
        <v>SERVICE</v>
      </c>
    </row>
    <row r="232" spans="1:10" x14ac:dyDescent="0.25">
      <c r="A232" t="str">
        <f>""</f>
        <v/>
      </c>
      <c r="B232" t="str">
        <f>""</f>
        <v/>
      </c>
      <c r="G232" t="str">
        <f>"13208"</f>
        <v>13208</v>
      </c>
      <c r="H232" t="str">
        <f t="shared" si="6"/>
        <v>SERVICE</v>
      </c>
      <c r="I232" s="4">
        <v>325</v>
      </c>
      <c r="J232" t="str">
        <f t="shared" si="7"/>
        <v>SERVICE</v>
      </c>
    </row>
    <row r="233" spans="1:10" x14ac:dyDescent="0.25">
      <c r="A233" t="str">
        <f>""</f>
        <v/>
      </c>
      <c r="B233" t="str">
        <f>""</f>
        <v/>
      </c>
      <c r="G233" t="str">
        <f>"13234"</f>
        <v>13234</v>
      </c>
      <c r="H233" t="str">
        <f t="shared" si="6"/>
        <v>SERVICE</v>
      </c>
      <c r="I233" s="4">
        <v>475</v>
      </c>
      <c r="J233" t="str">
        <f t="shared" si="7"/>
        <v>SERVICE</v>
      </c>
    </row>
    <row r="234" spans="1:10" x14ac:dyDescent="0.25">
      <c r="A234" t="str">
        <f>""</f>
        <v/>
      </c>
      <c r="B234" t="str">
        <f>""</f>
        <v/>
      </c>
      <c r="G234" t="str">
        <f>"13251"</f>
        <v>13251</v>
      </c>
      <c r="H234" t="str">
        <f t="shared" si="6"/>
        <v>SERVICE</v>
      </c>
      <c r="I234" s="4">
        <v>325</v>
      </c>
      <c r="J234" t="str">
        <f t="shared" si="7"/>
        <v>SERVICE</v>
      </c>
    </row>
    <row r="235" spans="1:10" x14ac:dyDescent="0.25">
      <c r="A235" t="str">
        <f>""</f>
        <v/>
      </c>
      <c r="B235" t="str">
        <f>""</f>
        <v/>
      </c>
      <c r="G235" t="str">
        <f>"13253"</f>
        <v>13253</v>
      </c>
      <c r="H235" t="str">
        <f t="shared" si="6"/>
        <v>SERVICE</v>
      </c>
      <c r="I235" s="4">
        <v>250</v>
      </c>
      <c r="J235" t="str">
        <f t="shared" si="7"/>
        <v>SERVICE</v>
      </c>
    </row>
    <row r="236" spans="1:10" x14ac:dyDescent="0.25">
      <c r="A236" t="str">
        <f>""</f>
        <v/>
      </c>
      <c r="B236" t="str">
        <f>""</f>
        <v/>
      </c>
      <c r="G236" t="str">
        <f>"13273"</f>
        <v>13273</v>
      </c>
      <c r="H236" t="str">
        <f t="shared" si="6"/>
        <v>SERVICE</v>
      </c>
      <c r="I236" s="4">
        <v>400</v>
      </c>
      <c r="J236" t="str">
        <f t="shared" si="7"/>
        <v>SERVICE</v>
      </c>
    </row>
    <row r="237" spans="1:10" x14ac:dyDescent="0.25">
      <c r="A237" t="str">
        <f>""</f>
        <v/>
      </c>
      <c r="B237" t="str">
        <f>""</f>
        <v/>
      </c>
      <c r="G237" t="str">
        <f>"13281"</f>
        <v>13281</v>
      </c>
      <c r="H237" t="str">
        <f t="shared" si="6"/>
        <v>SERVICE</v>
      </c>
      <c r="I237" s="4">
        <v>320</v>
      </c>
      <c r="J237" t="str">
        <f t="shared" si="7"/>
        <v>SERVICE</v>
      </c>
    </row>
    <row r="238" spans="1:10" x14ac:dyDescent="0.25">
      <c r="A238" t="str">
        <f>""</f>
        <v/>
      </c>
      <c r="B238" t="str">
        <f>""</f>
        <v/>
      </c>
      <c r="G238" t="str">
        <f>"13290"</f>
        <v>13290</v>
      </c>
      <c r="H238" t="str">
        <f t="shared" si="6"/>
        <v>SERVICE</v>
      </c>
      <c r="I238" s="4">
        <v>250</v>
      </c>
      <c r="J238" t="str">
        <f t="shared" si="7"/>
        <v>SERVICE</v>
      </c>
    </row>
    <row r="239" spans="1:10" x14ac:dyDescent="0.25">
      <c r="A239" t="str">
        <f>""</f>
        <v/>
      </c>
      <c r="B239" t="str">
        <f>""</f>
        <v/>
      </c>
      <c r="G239" t="str">
        <f>"13304"</f>
        <v>13304</v>
      </c>
      <c r="H239" t="str">
        <f t="shared" si="6"/>
        <v>SERVICE</v>
      </c>
      <c r="I239" s="4">
        <v>325</v>
      </c>
      <c r="J239" t="str">
        <f t="shared" si="7"/>
        <v>SERVICE</v>
      </c>
    </row>
    <row r="240" spans="1:10" x14ac:dyDescent="0.25">
      <c r="A240" t="str">
        <f>""</f>
        <v/>
      </c>
      <c r="B240" t="str">
        <f>""</f>
        <v/>
      </c>
      <c r="G240" t="str">
        <f>"13338"</f>
        <v>13338</v>
      </c>
      <c r="H240" t="str">
        <f t="shared" si="6"/>
        <v>SERVICE</v>
      </c>
      <c r="I240" s="4">
        <v>250</v>
      </c>
      <c r="J240" t="str">
        <f t="shared" si="7"/>
        <v>SERVICE</v>
      </c>
    </row>
    <row r="241" spans="1:10" x14ac:dyDescent="0.25">
      <c r="A241" t="str">
        <f>""</f>
        <v/>
      </c>
      <c r="B241" t="str">
        <f>""</f>
        <v/>
      </c>
      <c r="G241" t="str">
        <f>"13339"</f>
        <v>13339</v>
      </c>
      <c r="H241" t="str">
        <f t="shared" si="6"/>
        <v>SERVICE</v>
      </c>
      <c r="I241" s="4">
        <v>250</v>
      </c>
      <c r="J241" t="str">
        <f t="shared" si="7"/>
        <v>SERVICE</v>
      </c>
    </row>
    <row r="242" spans="1:10" x14ac:dyDescent="0.25">
      <c r="A242" t="str">
        <f>""</f>
        <v/>
      </c>
      <c r="B242" t="str">
        <f>""</f>
        <v/>
      </c>
      <c r="G242" t="str">
        <f>"13376"</f>
        <v>13376</v>
      </c>
      <c r="H242" t="str">
        <f t="shared" si="6"/>
        <v>SERVICE</v>
      </c>
      <c r="I242" s="4">
        <v>250</v>
      </c>
      <c r="J242" t="str">
        <f t="shared" si="7"/>
        <v>SERVICE</v>
      </c>
    </row>
    <row r="243" spans="1:10" x14ac:dyDescent="0.25">
      <c r="A243" t="str">
        <f>""</f>
        <v/>
      </c>
      <c r="B243" t="str">
        <f>""</f>
        <v/>
      </c>
      <c r="G243" t="str">
        <f>"13452"</f>
        <v>13452</v>
      </c>
      <c r="H243" t="str">
        <f t="shared" si="6"/>
        <v>SERVICE</v>
      </c>
      <c r="I243" s="4">
        <v>250</v>
      </c>
      <c r="J243" t="str">
        <f t="shared" si="7"/>
        <v>SERVICE</v>
      </c>
    </row>
    <row r="244" spans="1:10" x14ac:dyDescent="0.25">
      <c r="A244" t="str">
        <f>""</f>
        <v/>
      </c>
      <c r="B244" t="str">
        <f>""</f>
        <v/>
      </c>
      <c r="G244" t="str">
        <f>"13497"</f>
        <v>13497</v>
      </c>
      <c r="H244" t="str">
        <f t="shared" si="6"/>
        <v>SERVICE</v>
      </c>
      <c r="I244" s="4">
        <v>250</v>
      </c>
      <c r="J244" t="str">
        <f t="shared" si="7"/>
        <v>SERVICE</v>
      </c>
    </row>
    <row r="245" spans="1:10" x14ac:dyDescent="0.25">
      <c r="A245" t="str">
        <f>""</f>
        <v/>
      </c>
      <c r="B245" t="str">
        <f>""</f>
        <v/>
      </c>
      <c r="G245" t="str">
        <f>"13498"</f>
        <v>13498</v>
      </c>
      <c r="H245" t="str">
        <f t="shared" si="6"/>
        <v>SERVICE</v>
      </c>
      <c r="I245" s="4">
        <v>250</v>
      </c>
      <c r="J245" t="str">
        <f t="shared" si="7"/>
        <v>SERVICE</v>
      </c>
    </row>
    <row r="246" spans="1:10" x14ac:dyDescent="0.25">
      <c r="A246" t="str">
        <f>""</f>
        <v/>
      </c>
      <c r="B246" t="str">
        <f>""</f>
        <v/>
      </c>
      <c r="G246" t="str">
        <f>"13505"</f>
        <v>13505</v>
      </c>
      <c r="H246" t="str">
        <f t="shared" si="6"/>
        <v>SERVICE</v>
      </c>
      <c r="I246" s="4">
        <v>250</v>
      </c>
      <c r="J246" t="str">
        <f t="shared" si="7"/>
        <v>SERVICE</v>
      </c>
    </row>
    <row r="247" spans="1:10" x14ac:dyDescent="0.25">
      <c r="A247" t="str">
        <f>""</f>
        <v/>
      </c>
      <c r="B247" t="str">
        <f>""</f>
        <v/>
      </c>
      <c r="G247" t="str">
        <f>"13514"</f>
        <v>13514</v>
      </c>
      <c r="H247" t="str">
        <f t="shared" si="6"/>
        <v>SERVICE</v>
      </c>
      <c r="I247" s="4">
        <v>250</v>
      </c>
      <c r="J247" t="str">
        <f t="shared" si="7"/>
        <v>SERVICE</v>
      </c>
    </row>
    <row r="248" spans="1:10" x14ac:dyDescent="0.25">
      <c r="A248" t="str">
        <f>""</f>
        <v/>
      </c>
      <c r="B248" t="str">
        <f>""</f>
        <v/>
      </c>
      <c r="G248" t="str">
        <f>"13516"</f>
        <v>13516</v>
      </c>
      <c r="H248" t="str">
        <f t="shared" si="6"/>
        <v>SERVICE</v>
      </c>
      <c r="I248" s="4">
        <v>250</v>
      </c>
      <c r="J248" t="str">
        <f t="shared" si="7"/>
        <v>SERVICE</v>
      </c>
    </row>
    <row r="249" spans="1:10" x14ac:dyDescent="0.25">
      <c r="A249" t="str">
        <f>""</f>
        <v/>
      </c>
      <c r="B249" t="str">
        <f>""</f>
        <v/>
      </c>
      <c r="G249" t="str">
        <f>"13582/1"</f>
        <v>13582/1</v>
      </c>
      <c r="H249" t="str">
        <f t="shared" si="6"/>
        <v>SERVICE</v>
      </c>
      <c r="I249" s="4">
        <v>25</v>
      </c>
      <c r="J249" t="str">
        <f t="shared" si="7"/>
        <v>SERVICE</v>
      </c>
    </row>
    <row r="250" spans="1:10" x14ac:dyDescent="0.25">
      <c r="A250" t="str">
        <f>""</f>
        <v/>
      </c>
      <c r="B250" t="str">
        <f>""</f>
        <v/>
      </c>
      <c r="G250" t="str">
        <f>"13784"</f>
        <v>13784</v>
      </c>
      <c r="H250" t="str">
        <f t="shared" si="6"/>
        <v>SERVICE</v>
      </c>
      <c r="I250" s="4">
        <v>75</v>
      </c>
      <c r="J250" t="str">
        <f t="shared" si="7"/>
        <v>SERVICE</v>
      </c>
    </row>
    <row r="251" spans="1:10" x14ac:dyDescent="0.25">
      <c r="A251" t="str">
        <f>""</f>
        <v/>
      </c>
      <c r="B251" t="str">
        <f>""</f>
        <v/>
      </c>
      <c r="G251" t="str">
        <f>"13787"</f>
        <v>13787</v>
      </c>
      <c r="H251" t="str">
        <f t="shared" si="6"/>
        <v>SERVICE</v>
      </c>
      <c r="I251" s="4">
        <v>150</v>
      </c>
      <c r="J251" t="str">
        <f t="shared" si="7"/>
        <v>SERVICE</v>
      </c>
    </row>
    <row r="252" spans="1:10" x14ac:dyDescent="0.25">
      <c r="A252" t="str">
        <f>""</f>
        <v/>
      </c>
      <c r="B252" t="str">
        <f>""</f>
        <v/>
      </c>
      <c r="G252" t="str">
        <f>"13799"</f>
        <v>13799</v>
      </c>
      <c r="H252" t="str">
        <f t="shared" si="6"/>
        <v>SERVICE</v>
      </c>
      <c r="I252" s="4">
        <v>325</v>
      </c>
      <c r="J252" t="str">
        <f t="shared" si="7"/>
        <v>SERVICE</v>
      </c>
    </row>
    <row r="253" spans="1:10" x14ac:dyDescent="0.25">
      <c r="A253" t="str">
        <f>""</f>
        <v/>
      </c>
      <c r="B253" t="str">
        <f>""</f>
        <v/>
      </c>
      <c r="G253" t="str">
        <f>"13847"</f>
        <v>13847</v>
      </c>
      <c r="H253" t="str">
        <f t="shared" si="6"/>
        <v>SERVICE</v>
      </c>
      <c r="I253" s="4">
        <v>75</v>
      </c>
      <c r="J253" t="str">
        <f t="shared" si="7"/>
        <v>SERVICE</v>
      </c>
    </row>
    <row r="254" spans="1:10" x14ac:dyDescent="0.25">
      <c r="A254" t="str">
        <f>""</f>
        <v/>
      </c>
      <c r="B254" t="str">
        <f>""</f>
        <v/>
      </c>
      <c r="G254" t="str">
        <f>"860-21 11/16/21"</f>
        <v>860-21 11/16/21</v>
      </c>
      <c r="H254" t="str">
        <f t="shared" si="6"/>
        <v>SERVICE</v>
      </c>
      <c r="I254" s="4">
        <v>250</v>
      </c>
      <c r="J254" t="str">
        <f t="shared" si="7"/>
        <v>SERVICE</v>
      </c>
    </row>
    <row r="255" spans="1:10" x14ac:dyDescent="0.25">
      <c r="A255" t="str">
        <f>"01"</f>
        <v>01</v>
      </c>
      <c r="B255" t="str">
        <f>"BASCO"</f>
        <v>BASCO</v>
      </c>
      <c r="C255" t="s">
        <v>42</v>
      </c>
      <c r="D255">
        <v>139255</v>
      </c>
      <c r="E255" s="4">
        <v>168.02</v>
      </c>
      <c r="F255" s="5">
        <v>44620</v>
      </c>
      <c r="G255" t="str">
        <f>"202202179220"</f>
        <v>202202179220</v>
      </c>
      <c r="H255" t="str">
        <f>"ACCT#BC01"</f>
        <v>ACCT#BC01</v>
      </c>
      <c r="I255" s="4">
        <v>19.16</v>
      </c>
      <c r="J255" t="str">
        <f t="shared" ref="J255:J260" si="8">"ACCT#BC01"</f>
        <v>ACCT#BC01</v>
      </c>
    </row>
    <row r="256" spans="1:10" x14ac:dyDescent="0.25">
      <c r="A256" t="str">
        <f>""</f>
        <v/>
      </c>
      <c r="B256" t="str">
        <f>""</f>
        <v/>
      </c>
      <c r="G256" t="str">
        <f>""</f>
        <v/>
      </c>
      <c r="H256" t="str">
        <f>""</f>
        <v/>
      </c>
      <c r="I256" s="4">
        <v>19</v>
      </c>
      <c r="J256" t="str">
        <f t="shared" si="8"/>
        <v>ACCT#BC01</v>
      </c>
    </row>
    <row r="257" spans="1:10" x14ac:dyDescent="0.25">
      <c r="A257" t="str">
        <f>""</f>
        <v/>
      </c>
      <c r="B257" t="str">
        <f>""</f>
        <v/>
      </c>
      <c r="G257" t="str">
        <f>""</f>
        <v/>
      </c>
      <c r="H257" t="str">
        <f>""</f>
        <v/>
      </c>
      <c r="I257" s="4">
        <v>18</v>
      </c>
      <c r="J257" t="str">
        <f t="shared" si="8"/>
        <v>ACCT#BC01</v>
      </c>
    </row>
    <row r="258" spans="1:10" x14ac:dyDescent="0.25">
      <c r="A258" t="str">
        <f>""</f>
        <v/>
      </c>
      <c r="B258" t="str">
        <f>""</f>
        <v/>
      </c>
      <c r="G258" t="str">
        <f>""</f>
        <v/>
      </c>
      <c r="H258" t="str">
        <f>""</f>
        <v/>
      </c>
      <c r="I258" s="4">
        <v>68</v>
      </c>
      <c r="J258" t="str">
        <f t="shared" si="8"/>
        <v>ACCT#BC01</v>
      </c>
    </row>
    <row r="259" spans="1:10" x14ac:dyDescent="0.25">
      <c r="A259" t="str">
        <f>""</f>
        <v/>
      </c>
      <c r="B259" t="str">
        <f>""</f>
        <v/>
      </c>
      <c r="G259" t="str">
        <f>""</f>
        <v/>
      </c>
      <c r="H259" t="str">
        <f>""</f>
        <v/>
      </c>
      <c r="I259" s="4">
        <v>18</v>
      </c>
      <c r="J259" t="str">
        <f t="shared" si="8"/>
        <v>ACCT#BC01</v>
      </c>
    </row>
    <row r="260" spans="1:10" x14ac:dyDescent="0.25">
      <c r="A260" t="str">
        <f>""</f>
        <v/>
      </c>
      <c r="B260" t="str">
        <f>""</f>
        <v/>
      </c>
      <c r="G260" t="str">
        <f>""</f>
        <v/>
      </c>
      <c r="H260" t="str">
        <f>""</f>
        <v/>
      </c>
      <c r="I260" s="4">
        <v>25.86</v>
      </c>
      <c r="J260" t="str">
        <f t="shared" si="8"/>
        <v>ACCT#BC01</v>
      </c>
    </row>
    <row r="261" spans="1:10" x14ac:dyDescent="0.25">
      <c r="A261" t="str">
        <f>"01"</f>
        <v>01</v>
      </c>
      <c r="B261" t="str">
        <f>"T11113"</f>
        <v>T11113</v>
      </c>
      <c r="C261" t="s">
        <v>43</v>
      </c>
      <c r="D261">
        <v>5796</v>
      </c>
      <c r="E261" s="4">
        <v>135</v>
      </c>
      <c r="F261" s="5">
        <v>44607</v>
      </c>
      <c r="G261" t="str">
        <f>"202202028736"</f>
        <v>202202028736</v>
      </c>
      <c r="H261" t="str">
        <f>"VEHICLE REGISTRATIONS JAN 2022"</f>
        <v>VEHICLE REGISTRATIONS JAN 2022</v>
      </c>
      <c r="I261" s="4">
        <v>82.5</v>
      </c>
      <c r="J261" t="str">
        <f>"VEHICLE REGISTRATIONS JAN 2022"</f>
        <v>VEHICLE REGISTRATIONS JAN 2022</v>
      </c>
    </row>
    <row r="262" spans="1:10" x14ac:dyDescent="0.25">
      <c r="A262" t="str">
        <f>""</f>
        <v/>
      </c>
      <c r="B262" t="str">
        <f>""</f>
        <v/>
      </c>
      <c r="G262" t="str">
        <f>""</f>
        <v/>
      </c>
      <c r="H262" t="str">
        <f>""</f>
        <v/>
      </c>
      <c r="I262" s="4">
        <v>7.5</v>
      </c>
      <c r="J262" t="str">
        <f>"VEHICLE REGISTRATIONS JAN 2022"</f>
        <v>VEHICLE REGISTRATIONS JAN 2022</v>
      </c>
    </row>
    <row r="263" spans="1:10" x14ac:dyDescent="0.25">
      <c r="A263" t="str">
        <f>""</f>
        <v/>
      </c>
      <c r="B263" t="str">
        <f>""</f>
        <v/>
      </c>
      <c r="G263" t="str">
        <f>""</f>
        <v/>
      </c>
      <c r="H263" t="str">
        <f>""</f>
        <v/>
      </c>
      <c r="I263" s="4">
        <v>7.5</v>
      </c>
      <c r="J263" t="str">
        <f>"VEHICLE REGISTRATIONS JAN 2022"</f>
        <v>VEHICLE REGISTRATIONS JAN 2022</v>
      </c>
    </row>
    <row r="264" spans="1:10" x14ac:dyDescent="0.25">
      <c r="A264" t="str">
        <f>""</f>
        <v/>
      </c>
      <c r="B264" t="str">
        <f>""</f>
        <v/>
      </c>
      <c r="G264" t="str">
        <f>""</f>
        <v/>
      </c>
      <c r="H264" t="str">
        <f>""</f>
        <v/>
      </c>
      <c r="I264" s="4">
        <v>15</v>
      </c>
      <c r="J264" t="str">
        <f>"VEHICLE REGISTRATIONS JAN 2022"</f>
        <v>VEHICLE REGISTRATIONS JAN 2022</v>
      </c>
    </row>
    <row r="265" spans="1:10" x14ac:dyDescent="0.25">
      <c r="A265" t="str">
        <f>""</f>
        <v/>
      </c>
      <c r="B265" t="str">
        <f>""</f>
        <v/>
      </c>
      <c r="G265" t="str">
        <f>""</f>
        <v/>
      </c>
      <c r="H265" t="str">
        <f>""</f>
        <v/>
      </c>
      <c r="I265" s="4">
        <v>22.5</v>
      </c>
      <c r="J265" t="str">
        <f>"VEHICLE REGISTRATIONS JAN 2022"</f>
        <v>VEHICLE REGISTRATIONS JAN 2022</v>
      </c>
    </row>
    <row r="266" spans="1:10" x14ac:dyDescent="0.25">
      <c r="A266" t="str">
        <f t="shared" ref="A266:A272" si="9">"01"</f>
        <v>01</v>
      </c>
      <c r="B266" t="str">
        <f>"001551"</f>
        <v>001551</v>
      </c>
      <c r="C266" t="s">
        <v>44</v>
      </c>
      <c r="D266">
        <v>139024</v>
      </c>
      <c r="E266" s="4">
        <v>3500</v>
      </c>
      <c r="F266" s="5">
        <v>44606</v>
      </c>
      <c r="G266" t="str">
        <f>"202202028724"</f>
        <v>202202028724</v>
      </c>
      <c r="H266" t="str">
        <f>"CHILD WELFARE BOARD/2021-22"</f>
        <v>CHILD WELFARE BOARD/2021-22</v>
      </c>
      <c r="I266" s="4">
        <v>3500</v>
      </c>
      <c r="J266" t="str">
        <f>"CHILD WELFARE BOARD/2021-22"</f>
        <v>CHILD WELFARE BOARD/2021-22</v>
      </c>
    </row>
    <row r="267" spans="1:10" x14ac:dyDescent="0.25">
      <c r="A267" t="str">
        <f t="shared" si="9"/>
        <v>01</v>
      </c>
      <c r="B267" t="str">
        <f>"004991"</f>
        <v>004991</v>
      </c>
      <c r="C267" t="s">
        <v>45</v>
      </c>
      <c r="D267">
        <v>139025</v>
      </c>
      <c r="E267" s="4">
        <v>492</v>
      </c>
      <c r="F267" s="5">
        <v>44606</v>
      </c>
      <c r="G267" t="str">
        <f>"202202098932"</f>
        <v>202202098932</v>
      </c>
      <c r="H267" t="str">
        <f>"LPHCP RECORDING FEES"</f>
        <v>LPHCP RECORDING FEES</v>
      </c>
      <c r="I267" s="4">
        <v>492</v>
      </c>
      <c r="J267" t="str">
        <f>"LPHCP RECORDING FEES"</f>
        <v>LPHCP RECORDING FEES</v>
      </c>
    </row>
    <row r="268" spans="1:10" x14ac:dyDescent="0.25">
      <c r="A268" t="str">
        <f t="shared" si="9"/>
        <v>01</v>
      </c>
      <c r="B268" t="str">
        <f>"PT1113"</f>
        <v>PT1113</v>
      </c>
      <c r="C268" t="s">
        <v>46</v>
      </c>
      <c r="D268">
        <v>139026</v>
      </c>
      <c r="E268" s="4">
        <v>299.77999999999997</v>
      </c>
      <c r="F268" s="5">
        <v>44606</v>
      </c>
      <c r="G268" t="str">
        <f>"202202028699"</f>
        <v>202202028699</v>
      </c>
      <c r="H268" t="str">
        <f>"ACCT#188664/CHECKS"</f>
        <v>ACCT#188664/CHECKS</v>
      </c>
      <c r="I268" s="4">
        <v>299.77999999999997</v>
      </c>
      <c r="J268" t="str">
        <f>"ACCT#188664/CHECKS"</f>
        <v>ACCT#188664/CHECKS</v>
      </c>
    </row>
    <row r="269" spans="1:10" x14ac:dyDescent="0.25">
      <c r="A269" t="str">
        <f t="shared" si="9"/>
        <v>01</v>
      </c>
      <c r="B269" t="str">
        <f>"004991"</f>
        <v>004991</v>
      </c>
      <c r="C269" t="s">
        <v>45</v>
      </c>
      <c r="D269">
        <v>139256</v>
      </c>
      <c r="E269" s="4">
        <v>652</v>
      </c>
      <c r="F269" s="5">
        <v>44620</v>
      </c>
      <c r="G269" t="str">
        <f>"202202239325"</f>
        <v>202202239325</v>
      </c>
      <c r="H269" t="str">
        <f>"LPHCP RECORDING FEES"</f>
        <v>LPHCP RECORDING FEES</v>
      </c>
      <c r="I269" s="4">
        <v>652</v>
      </c>
      <c r="J269" t="str">
        <f>"LPHCP RECORDING FEES"</f>
        <v>LPHCP RECORDING FEES</v>
      </c>
    </row>
    <row r="270" spans="1:10" x14ac:dyDescent="0.25">
      <c r="A270" t="str">
        <f t="shared" si="9"/>
        <v>01</v>
      </c>
      <c r="B270" t="str">
        <f>"PT1113"</f>
        <v>PT1113</v>
      </c>
      <c r="C270" t="s">
        <v>46</v>
      </c>
      <c r="D270">
        <v>139257</v>
      </c>
      <c r="E270" s="4">
        <v>299.77999999999997</v>
      </c>
      <c r="F270" s="5">
        <v>44620</v>
      </c>
      <c r="G270" t="str">
        <f>"202202179222"</f>
        <v>202202179222</v>
      </c>
      <c r="H270" t="str">
        <f>"ACCT#188664/DEPOSIT SLIPS"</f>
        <v>ACCT#188664/DEPOSIT SLIPS</v>
      </c>
      <c r="I270" s="4">
        <v>299.77999999999997</v>
      </c>
      <c r="J270" t="str">
        <f>"ACCT#188664/DEPOSIT SLIPS"</f>
        <v>ACCT#188664/DEPOSIT SLIPS</v>
      </c>
    </row>
    <row r="271" spans="1:10" x14ac:dyDescent="0.25">
      <c r="A271" t="str">
        <f t="shared" si="9"/>
        <v>01</v>
      </c>
      <c r="B271" t="str">
        <f>"BVH"</f>
        <v>BVH</v>
      </c>
      <c r="C271" t="s">
        <v>47</v>
      </c>
      <c r="D271">
        <v>139027</v>
      </c>
      <c r="E271" s="4">
        <v>186.5</v>
      </c>
      <c r="F271" s="5">
        <v>44606</v>
      </c>
      <c r="G271" t="str">
        <f>"1203973"</f>
        <v>1203973</v>
      </c>
      <c r="H271" t="str">
        <f>"CLIENT ID#5495160A/ANIMAL SHEL"</f>
        <v>CLIENT ID#5495160A/ANIMAL SHEL</v>
      </c>
      <c r="I271" s="4">
        <v>186.5</v>
      </c>
      <c r="J271" t="str">
        <f>"CLIENT ID#5495160A/ANIMAL SHEL"</f>
        <v>CLIENT ID#5495160A/ANIMAL SHEL</v>
      </c>
    </row>
    <row r="272" spans="1:10" x14ac:dyDescent="0.25">
      <c r="A272" t="str">
        <f t="shared" si="9"/>
        <v>01</v>
      </c>
      <c r="B272" t="str">
        <f>"000110"</f>
        <v>000110</v>
      </c>
      <c r="C272" t="s">
        <v>48</v>
      </c>
      <c r="D272">
        <v>5741</v>
      </c>
      <c r="E272" s="4">
        <v>1310.26</v>
      </c>
      <c r="F272" s="5">
        <v>44607</v>
      </c>
      <c r="G272" t="str">
        <f>"202202028698"</f>
        <v>202202028698</v>
      </c>
      <c r="H272" t="str">
        <f>"BACKGROUND/JAN 2022"</f>
        <v>BACKGROUND/JAN 2022</v>
      </c>
      <c r="I272" s="4">
        <v>315</v>
      </c>
      <c r="J272" t="str">
        <f>"BACKGROUND/JAN 2022"</f>
        <v>BACKGROUND/JAN 2022</v>
      </c>
    </row>
    <row r="273" spans="1:10" x14ac:dyDescent="0.25">
      <c r="A273" t="str">
        <f>""</f>
        <v/>
      </c>
      <c r="B273" t="str">
        <f>""</f>
        <v/>
      </c>
      <c r="G273" t="str">
        <f>"202202088821"</f>
        <v>202202088821</v>
      </c>
      <c r="H273" t="str">
        <f>"INVESTIGATIONS - JANUARY"</f>
        <v>INVESTIGATIONS - JANUARY</v>
      </c>
      <c r="I273" s="4">
        <v>470.26</v>
      </c>
      <c r="J273" t="str">
        <f>"BACKGROUNDS - LE"</f>
        <v>BACKGROUNDS - LE</v>
      </c>
    </row>
    <row r="274" spans="1:10" x14ac:dyDescent="0.25">
      <c r="A274" t="str">
        <f>""</f>
        <v/>
      </c>
      <c r="B274" t="str">
        <f>""</f>
        <v/>
      </c>
      <c r="G274" t="str">
        <f>""</f>
        <v/>
      </c>
      <c r="H274" t="str">
        <f>""</f>
        <v/>
      </c>
      <c r="I274" s="4">
        <v>525</v>
      </c>
      <c r="J274" t="str">
        <f>"BACKGROUND - JAIL"</f>
        <v>BACKGROUND - JAIL</v>
      </c>
    </row>
    <row r="275" spans="1:10" x14ac:dyDescent="0.25">
      <c r="A275" t="str">
        <f>"01"</f>
        <v>01</v>
      </c>
      <c r="B275" t="str">
        <f>"005724"</f>
        <v>005724</v>
      </c>
      <c r="C275" t="s">
        <v>49</v>
      </c>
      <c r="D275">
        <v>139028</v>
      </c>
      <c r="E275" s="4">
        <v>660</v>
      </c>
      <c r="F275" s="5">
        <v>44606</v>
      </c>
      <c r="G275" t="str">
        <f>"22CMI00013"</f>
        <v>22CMI00013</v>
      </c>
      <c r="H275" t="str">
        <f>"MENTAL HEALTH SVC- L. JONES"</f>
        <v>MENTAL HEALTH SVC- L. JONES</v>
      </c>
      <c r="I275" s="4">
        <v>660</v>
      </c>
      <c r="J275" t="str">
        <f>"MENTAL HEALTH SVC- L. JONES"</f>
        <v>MENTAL HEALTH SVC- L. JONES</v>
      </c>
    </row>
    <row r="276" spans="1:10" x14ac:dyDescent="0.25">
      <c r="A276" t="str">
        <f>"01"</f>
        <v>01</v>
      </c>
      <c r="B276" t="str">
        <f>"002543"</f>
        <v>002543</v>
      </c>
      <c r="C276" t="s">
        <v>50</v>
      </c>
      <c r="D276">
        <v>139029</v>
      </c>
      <c r="E276" s="4">
        <v>70</v>
      </c>
      <c r="F276" s="5">
        <v>44606</v>
      </c>
      <c r="G276" t="str">
        <f>"13042"</f>
        <v>13042</v>
      </c>
      <c r="H276" t="str">
        <f>"SERVICE"</f>
        <v>SERVICE</v>
      </c>
      <c r="I276" s="4">
        <v>70</v>
      </c>
      <c r="J276" t="str">
        <f>"SERVICE"</f>
        <v>SERVICE</v>
      </c>
    </row>
    <row r="277" spans="1:10" x14ac:dyDescent="0.25">
      <c r="A277" t="str">
        <f>"01"</f>
        <v>01</v>
      </c>
      <c r="B277" t="str">
        <f>"KEITH"</f>
        <v>KEITH</v>
      </c>
      <c r="C277" t="s">
        <v>51</v>
      </c>
      <c r="D277">
        <v>139030</v>
      </c>
      <c r="E277" s="4">
        <v>2537.52</v>
      </c>
      <c r="F277" s="5">
        <v>44606</v>
      </c>
      <c r="G277" t="str">
        <f>"76288543"</f>
        <v>76288543</v>
      </c>
      <c r="H277" t="str">
        <f>"INV 76288543  76297611  7"</f>
        <v>INV 76288543  76297611  7</v>
      </c>
      <c r="I277" s="4">
        <v>1019.07</v>
      </c>
      <c r="J277" t="str">
        <f>"INV 76288543"</f>
        <v>INV 76288543</v>
      </c>
    </row>
    <row r="278" spans="1:10" x14ac:dyDescent="0.25">
      <c r="A278" t="str">
        <f>""</f>
        <v/>
      </c>
      <c r="B278" t="str">
        <f>""</f>
        <v/>
      </c>
      <c r="G278" t="str">
        <f>""</f>
        <v/>
      </c>
      <c r="H278" t="str">
        <f>""</f>
        <v/>
      </c>
      <c r="I278" s="4">
        <v>641.78</v>
      </c>
      <c r="J278" t="str">
        <f>"INV 76297611"</f>
        <v>INV 76297611</v>
      </c>
    </row>
    <row r="279" spans="1:10" x14ac:dyDescent="0.25">
      <c r="A279" t="str">
        <f>""</f>
        <v/>
      </c>
      <c r="B279" t="str">
        <f>""</f>
        <v/>
      </c>
      <c r="G279" t="str">
        <f>""</f>
        <v/>
      </c>
      <c r="H279" t="str">
        <f>""</f>
        <v/>
      </c>
      <c r="I279" s="4">
        <v>876.67</v>
      </c>
      <c r="J279" t="str">
        <f>"INV 76306880"</f>
        <v>INV 76306880</v>
      </c>
    </row>
    <row r="280" spans="1:10" x14ac:dyDescent="0.25">
      <c r="A280" t="str">
        <f>"01"</f>
        <v>01</v>
      </c>
      <c r="B280" t="str">
        <f>"KEITH"</f>
        <v>KEITH</v>
      </c>
      <c r="C280" t="s">
        <v>51</v>
      </c>
      <c r="D280">
        <v>139258</v>
      </c>
      <c r="E280" s="4">
        <v>1701.64</v>
      </c>
      <c r="F280" s="5">
        <v>44620</v>
      </c>
      <c r="G280" t="str">
        <f>"7615868"</f>
        <v>7615868</v>
      </c>
      <c r="H280" t="str">
        <f>"INV 76315868  76324196"</f>
        <v>INV 76315868  76324196</v>
      </c>
      <c r="I280" s="4">
        <v>939.46</v>
      </c>
      <c r="J280" t="str">
        <f>"INV 76315868"</f>
        <v>INV 76315868</v>
      </c>
    </row>
    <row r="281" spans="1:10" x14ac:dyDescent="0.25">
      <c r="A281" t="str">
        <f>""</f>
        <v/>
      </c>
      <c r="B281" t="str">
        <f>""</f>
        <v/>
      </c>
      <c r="G281" t="str">
        <f>""</f>
        <v/>
      </c>
      <c r="H281" t="str">
        <f>""</f>
        <v/>
      </c>
      <c r="I281" s="4">
        <v>762.18</v>
      </c>
      <c r="J281" t="str">
        <f>"INV 76324196"</f>
        <v>INV 76324196</v>
      </c>
    </row>
    <row r="282" spans="1:10" x14ac:dyDescent="0.25">
      <c r="A282" t="str">
        <f>"01"</f>
        <v>01</v>
      </c>
      <c r="B282" t="str">
        <f>"T11119"</f>
        <v>T11119</v>
      </c>
      <c r="C282" t="s">
        <v>52</v>
      </c>
      <c r="D282">
        <v>5797</v>
      </c>
      <c r="E282" s="4">
        <v>6562.47</v>
      </c>
      <c r="F282" s="5">
        <v>44607</v>
      </c>
      <c r="G282" t="str">
        <f>"25656"</f>
        <v>25656</v>
      </c>
      <c r="H282" t="str">
        <f>"INV 25656"</f>
        <v>INV 25656</v>
      </c>
      <c r="I282" s="4">
        <v>6562.47</v>
      </c>
      <c r="J282" t="str">
        <f>"INV 25656"</f>
        <v>INV 25656</v>
      </c>
    </row>
    <row r="283" spans="1:10" x14ac:dyDescent="0.25">
      <c r="A283" t="str">
        <f>"01"</f>
        <v>01</v>
      </c>
      <c r="B283" t="str">
        <f>"006878"</f>
        <v>006878</v>
      </c>
      <c r="C283" t="s">
        <v>53</v>
      </c>
      <c r="D283">
        <v>139237</v>
      </c>
      <c r="E283" s="4">
        <v>242</v>
      </c>
      <c r="F283" s="5">
        <v>44615</v>
      </c>
      <c r="G283" t="str">
        <f>"202202239322"</f>
        <v>202202239322</v>
      </c>
      <c r="H283" t="str">
        <f>"UNIFORMS"</f>
        <v>UNIFORMS</v>
      </c>
      <c r="I283" s="4">
        <v>242</v>
      </c>
      <c r="J283" t="str">
        <f>"UNIFORMS"</f>
        <v>UNIFORMS</v>
      </c>
    </row>
    <row r="284" spans="1:10" x14ac:dyDescent="0.25">
      <c r="A284" t="str">
        <f>"01"</f>
        <v>01</v>
      </c>
      <c r="B284" t="str">
        <f>"006871"</f>
        <v>006871</v>
      </c>
      <c r="C284" t="s">
        <v>54</v>
      </c>
      <c r="D284">
        <v>139259</v>
      </c>
      <c r="E284" s="4">
        <v>85</v>
      </c>
      <c r="F284" s="5">
        <v>44620</v>
      </c>
      <c r="G284" t="str">
        <f>"13836"</f>
        <v>13836</v>
      </c>
      <c r="H284" t="str">
        <f>"SERVICE"</f>
        <v>SERVICE</v>
      </c>
      <c r="I284" s="4">
        <v>85</v>
      </c>
      <c r="J284" t="str">
        <f>"SERVICE"</f>
        <v>SERVICE</v>
      </c>
    </row>
    <row r="285" spans="1:10" x14ac:dyDescent="0.25">
      <c r="A285" t="str">
        <f>"01"</f>
        <v>01</v>
      </c>
      <c r="B285" t="str">
        <f>"006504"</f>
        <v>006504</v>
      </c>
      <c r="C285" t="s">
        <v>55</v>
      </c>
      <c r="D285">
        <v>139031</v>
      </c>
      <c r="E285" s="4">
        <v>13467.51</v>
      </c>
      <c r="F285" s="5">
        <v>44606</v>
      </c>
      <c r="G285" t="str">
        <f>"51290958"</f>
        <v>51290958</v>
      </c>
      <c r="H285" t="str">
        <f>"CUST#C27986/PCT#4"</f>
        <v>CUST#C27986/PCT#4</v>
      </c>
      <c r="I285" s="4">
        <v>805.86</v>
      </c>
      <c r="J285" t="str">
        <f>"CUST#C27986/PCT#4"</f>
        <v>CUST#C27986/PCT#4</v>
      </c>
    </row>
    <row r="286" spans="1:10" x14ac:dyDescent="0.25">
      <c r="A286" t="str">
        <f>""</f>
        <v/>
      </c>
      <c r="B286" t="str">
        <f>""</f>
        <v/>
      </c>
      <c r="G286" t="str">
        <f>"51291671"</f>
        <v>51291671</v>
      </c>
      <c r="H286" t="str">
        <f>"CUST#C27986/PCT#4"</f>
        <v>CUST#C27986/PCT#4</v>
      </c>
      <c r="I286" s="4">
        <v>12661.65</v>
      </c>
      <c r="J286" t="str">
        <f>"CUST#C27986/PCT#4"</f>
        <v>CUST#C27986/PCT#4</v>
      </c>
    </row>
    <row r="287" spans="1:10" x14ac:dyDescent="0.25">
      <c r="A287" t="str">
        <f>"01"</f>
        <v>01</v>
      </c>
      <c r="B287" t="str">
        <f>"006504"</f>
        <v>006504</v>
      </c>
      <c r="C287" t="s">
        <v>55</v>
      </c>
      <c r="D287">
        <v>139260</v>
      </c>
      <c r="E287" s="4">
        <v>5620.5</v>
      </c>
      <c r="F287" s="5">
        <v>44620</v>
      </c>
      <c r="G287" t="str">
        <f>"51292851"</f>
        <v>51292851</v>
      </c>
      <c r="H287" t="str">
        <f>"CUST#C27986/PCT#4"</f>
        <v>CUST#C27986/PCT#4</v>
      </c>
      <c r="I287" s="4">
        <v>3647.25</v>
      </c>
      <c r="J287" t="str">
        <f>"CUST#C27986/PCT#4"</f>
        <v>CUST#C27986/PCT#4</v>
      </c>
    </row>
    <row r="288" spans="1:10" x14ac:dyDescent="0.25">
      <c r="A288" t="str">
        <f>""</f>
        <v/>
      </c>
      <c r="B288" t="str">
        <f>""</f>
        <v/>
      </c>
      <c r="G288" t="str">
        <f>"51293641"</f>
        <v>51293641</v>
      </c>
      <c r="H288" t="str">
        <f>"CUST#C27986/PCT#4"</f>
        <v>CUST#C27986/PCT#4</v>
      </c>
      <c r="I288" s="4">
        <v>1973.25</v>
      </c>
      <c r="J288" t="str">
        <f>"CUST#C27986/PCT#4"</f>
        <v>CUST#C27986/PCT#4</v>
      </c>
    </row>
    <row r="289" spans="1:10" x14ac:dyDescent="0.25">
      <c r="A289" t="str">
        <f>"01"</f>
        <v>01</v>
      </c>
      <c r="B289" t="str">
        <f>"006873"</f>
        <v>006873</v>
      </c>
      <c r="C289" t="s">
        <v>56</v>
      </c>
      <c r="D289">
        <v>139261</v>
      </c>
      <c r="E289" s="4">
        <v>302</v>
      </c>
      <c r="F289" s="5">
        <v>44620</v>
      </c>
      <c r="G289" t="str">
        <f>"59458"</f>
        <v>59458</v>
      </c>
      <c r="H289" t="str">
        <f>"INV 59458"</f>
        <v>INV 59458</v>
      </c>
      <c r="I289" s="4">
        <v>302</v>
      </c>
      <c r="J289" t="str">
        <f>"INV 59458"</f>
        <v>INV 59458</v>
      </c>
    </row>
    <row r="290" spans="1:10" x14ac:dyDescent="0.25">
      <c r="A290" t="str">
        <f>"01"</f>
        <v>01</v>
      </c>
      <c r="B290" t="str">
        <f>"004147"</f>
        <v>004147</v>
      </c>
      <c r="C290" t="s">
        <v>57</v>
      </c>
      <c r="D290">
        <v>5762</v>
      </c>
      <c r="E290" s="4">
        <v>333.36</v>
      </c>
      <c r="F290" s="5">
        <v>44607</v>
      </c>
      <c r="G290" t="str">
        <f>"6624"</f>
        <v>6624</v>
      </c>
      <c r="H290" t="str">
        <f>"7400 CUMMINS/PCT#1"</f>
        <v>7400 CUMMINS/PCT#1</v>
      </c>
      <c r="I290" s="4">
        <v>333.36</v>
      </c>
      <c r="J290" t="str">
        <f>"7400 CUMMINS/PCT#1"</f>
        <v>7400 CUMMINS/PCT#1</v>
      </c>
    </row>
    <row r="291" spans="1:10" x14ac:dyDescent="0.25">
      <c r="A291" t="str">
        <f>"01"</f>
        <v>01</v>
      </c>
      <c r="B291" t="str">
        <f>"000309"</f>
        <v>000309</v>
      </c>
      <c r="C291" t="s">
        <v>58</v>
      </c>
      <c r="D291">
        <v>5742</v>
      </c>
      <c r="E291" s="4">
        <v>332.78</v>
      </c>
      <c r="F291" s="5">
        <v>44607</v>
      </c>
      <c r="G291" t="str">
        <f>"202201318657"</f>
        <v>202201318657</v>
      </c>
      <c r="H291" t="str">
        <f>"423-5734"</f>
        <v>423-5734</v>
      </c>
      <c r="I291" s="4">
        <v>332.78</v>
      </c>
      <c r="J291" t="str">
        <f>"423-5734"</f>
        <v>423-5734</v>
      </c>
    </row>
    <row r="292" spans="1:10" x14ac:dyDescent="0.25">
      <c r="A292" t="str">
        <f>"01"</f>
        <v>01</v>
      </c>
      <c r="B292" t="str">
        <f>"000593"</f>
        <v>000593</v>
      </c>
      <c r="C292" t="s">
        <v>59</v>
      </c>
      <c r="D292">
        <v>139032</v>
      </c>
      <c r="E292" s="4">
        <v>547</v>
      </c>
      <c r="F292" s="5">
        <v>44606</v>
      </c>
      <c r="G292" t="str">
        <f>"84048401987"</f>
        <v>84048401987</v>
      </c>
      <c r="H292" t="str">
        <f>"INV 84048401987  84048402"</f>
        <v>INV 84048401987  84048402</v>
      </c>
      <c r="I292" s="4">
        <v>229.56</v>
      </c>
      <c r="J292" t="str">
        <f>"INV 84048401987"</f>
        <v>INV 84048401987</v>
      </c>
    </row>
    <row r="293" spans="1:10" x14ac:dyDescent="0.25">
      <c r="A293" t="str">
        <f>""</f>
        <v/>
      </c>
      <c r="B293" t="str">
        <f>""</f>
        <v/>
      </c>
      <c r="G293" t="str">
        <f>""</f>
        <v/>
      </c>
      <c r="H293" t="str">
        <f>""</f>
        <v/>
      </c>
      <c r="I293" s="4">
        <v>158.72</v>
      </c>
      <c r="J293" t="str">
        <f>"INV 84048402049"</f>
        <v>INV 84048402049</v>
      </c>
    </row>
    <row r="294" spans="1:10" x14ac:dyDescent="0.25">
      <c r="A294" t="str">
        <f>""</f>
        <v/>
      </c>
      <c r="B294" t="str">
        <f>""</f>
        <v/>
      </c>
      <c r="G294" t="str">
        <f>""</f>
        <v/>
      </c>
      <c r="H294" t="str">
        <f>""</f>
        <v/>
      </c>
      <c r="I294" s="4">
        <v>158.72</v>
      </c>
      <c r="J294" t="str">
        <f>"INV 84048402130"</f>
        <v>INV 84048402130</v>
      </c>
    </row>
    <row r="295" spans="1:10" x14ac:dyDescent="0.25">
      <c r="A295" t="str">
        <f>"01"</f>
        <v>01</v>
      </c>
      <c r="B295" t="str">
        <f>"000593"</f>
        <v>000593</v>
      </c>
      <c r="C295" t="s">
        <v>59</v>
      </c>
      <c r="D295">
        <v>139262</v>
      </c>
      <c r="E295" s="4">
        <v>803.82</v>
      </c>
      <c r="F295" s="5">
        <v>44620</v>
      </c>
      <c r="G295" t="str">
        <f>"8404840275"</f>
        <v>8404840275</v>
      </c>
      <c r="H295" t="str">
        <f>"INV 84048402175  84048402"</f>
        <v>INV 84048402175  84048402</v>
      </c>
      <c r="I295" s="4">
        <v>406.72</v>
      </c>
      <c r="J295" t="str">
        <f>"INV 84048402175"</f>
        <v>INV 84048402175</v>
      </c>
    </row>
    <row r="296" spans="1:10" x14ac:dyDescent="0.25">
      <c r="A296" t="str">
        <f>""</f>
        <v/>
      </c>
      <c r="B296" t="str">
        <f>""</f>
        <v/>
      </c>
      <c r="G296" t="str">
        <f>""</f>
        <v/>
      </c>
      <c r="H296" t="str">
        <f>""</f>
        <v/>
      </c>
      <c r="I296" s="4">
        <v>397.1</v>
      </c>
      <c r="J296" t="str">
        <f>"INV 84048402254"</f>
        <v>INV 84048402254</v>
      </c>
    </row>
    <row r="297" spans="1:10" x14ac:dyDescent="0.25">
      <c r="A297" t="str">
        <f>"01"</f>
        <v>01</v>
      </c>
      <c r="B297" t="str">
        <f>"BEC"</f>
        <v>BEC</v>
      </c>
      <c r="C297" t="s">
        <v>60</v>
      </c>
      <c r="D297">
        <v>139234</v>
      </c>
      <c r="E297" s="4">
        <v>3030.32</v>
      </c>
      <c r="F297" s="5">
        <v>44609</v>
      </c>
      <c r="G297" t="str">
        <f>"202202179102"</f>
        <v>202202179102</v>
      </c>
      <c r="H297" t="str">
        <f>"ACCT#5500090397/ 02022022"</f>
        <v>ACCT#5500090397/ 02022022</v>
      </c>
      <c r="I297" s="4">
        <v>185.62</v>
      </c>
      <c r="J297" t="str">
        <f>"ACCT#5500090397/ 02022022"</f>
        <v>ACCT#5500090397/ 02022022</v>
      </c>
    </row>
    <row r="298" spans="1:10" x14ac:dyDescent="0.25">
      <c r="A298" t="str">
        <f>""</f>
        <v/>
      </c>
      <c r="B298" t="str">
        <f>""</f>
        <v/>
      </c>
      <c r="G298" t="str">
        <f>"202202179103"</f>
        <v>202202179103</v>
      </c>
      <c r="H298" t="str">
        <f>"ACCT#5000057374/02022022"</f>
        <v>ACCT#5000057374/02022022</v>
      </c>
      <c r="I298" s="4">
        <v>817.78</v>
      </c>
      <c r="J298" t="str">
        <f>"ACCT#5000057374/02022022"</f>
        <v>ACCT#5000057374/02022022</v>
      </c>
    </row>
    <row r="299" spans="1:10" x14ac:dyDescent="0.25">
      <c r="A299" t="str">
        <f>""</f>
        <v/>
      </c>
      <c r="B299" t="str">
        <f>""</f>
        <v/>
      </c>
      <c r="G299" t="str">
        <f>""</f>
        <v/>
      </c>
      <c r="H299" t="str">
        <f>""</f>
        <v/>
      </c>
      <c r="I299" s="4">
        <v>1453.88</v>
      </c>
      <c r="J299" t="str">
        <f>"ACCT#5000057374/02022022"</f>
        <v>ACCT#5000057374/02022022</v>
      </c>
    </row>
    <row r="300" spans="1:10" x14ac:dyDescent="0.25">
      <c r="A300" t="str">
        <f>""</f>
        <v/>
      </c>
      <c r="B300" t="str">
        <f>""</f>
        <v/>
      </c>
      <c r="G300" t="str">
        <f>""</f>
        <v/>
      </c>
      <c r="H300" t="str">
        <f>""</f>
        <v/>
      </c>
      <c r="I300" s="4">
        <v>252.34</v>
      </c>
      <c r="J300" t="str">
        <f>"ACCT#5000057374/02022022"</f>
        <v>ACCT#5000057374/02022022</v>
      </c>
    </row>
    <row r="301" spans="1:10" x14ac:dyDescent="0.25">
      <c r="A301" t="str">
        <f>""</f>
        <v/>
      </c>
      <c r="B301" t="str">
        <f>""</f>
        <v/>
      </c>
      <c r="G301" t="str">
        <f>""</f>
        <v/>
      </c>
      <c r="H301" t="str">
        <f>""</f>
        <v/>
      </c>
      <c r="I301" s="4">
        <v>320.7</v>
      </c>
      <c r="J301" t="str">
        <f>"ACCT#5000057374/02022022"</f>
        <v>ACCT#5000057374/02022022</v>
      </c>
    </row>
    <row r="302" spans="1:10" x14ac:dyDescent="0.25">
      <c r="A302" t="str">
        <f>"01"</f>
        <v>01</v>
      </c>
      <c r="B302" t="str">
        <f>"001367"</f>
        <v>001367</v>
      </c>
      <c r="C302" t="s">
        <v>61</v>
      </c>
      <c r="D302">
        <v>139033</v>
      </c>
      <c r="E302" s="4">
        <v>299.85000000000002</v>
      </c>
      <c r="F302" s="5">
        <v>44606</v>
      </c>
      <c r="G302" t="str">
        <f>"19398"</f>
        <v>19398</v>
      </c>
      <c r="H302" t="str">
        <f>"REPAIR ORDER 19398"</f>
        <v>REPAIR ORDER 19398</v>
      </c>
      <c r="I302" s="4">
        <v>269.89999999999998</v>
      </c>
      <c r="J302" t="str">
        <f>"REPAIR ORDER 19398"</f>
        <v>REPAIR ORDER 19398</v>
      </c>
    </row>
    <row r="303" spans="1:10" x14ac:dyDescent="0.25">
      <c r="A303" t="str">
        <f>""</f>
        <v/>
      </c>
      <c r="B303" t="str">
        <f>""</f>
        <v/>
      </c>
      <c r="G303" t="str">
        <f>""</f>
        <v/>
      </c>
      <c r="H303" t="str">
        <f>""</f>
        <v/>
      </c>
      <c r="I303" s="4">
        <v>29.95</v>
      </c>
      <c r="J303" t="str">
        <f>"LABOR"</f>
        <v>LABOR</v>
      </c>
    </row>
    <row r="304" spans="1:10" x14ac:dyDescent="0.25">
      <c r="A304" t="str">
        <f>"01"</f>
        <v>01</v>
      </c>
      <c r="B304" t="str">
        <f>"005576"</f>
        <v>005576</v>
      </c>
      <c r="C304" t="s">
        <v>62</v>
      </c>
      <c r="D304">
        <v>139034</v>
      </c>
      <c r="E304" s="4">
        <v>343.28</v>
      </c>
      <c r="F304" s="5">
        <v>44606</v>
      </c>
      <c r="G304" t="str">
        <f>"CT203401"</f>
        <v>CT203401</v>
      </c>
      <c r="H304" t="str">
        <f>"ACCT#B02137/PCT#3"</f>
        <v>ACCT#B02137/PCT#3</v>
      </c>
      <c r="I304" s="4">
        <v>343.28</v>
      </c>
      <c r="J304" t="str">
        <f>"ACCT#B02137/PCT#3"</f>
        <v>ACCT#B02137/PCT#3</v>
      </c>
    </row>
    <row r="305" spans="1:10" x14ac:dyDescent="0.25">
      <c r="A305" t="str">
        <f>"01"</f>
        <v>01</v>
      </c>
      <c r="B305" t="str">
        <f>"005576"</f>
        <v>005576</v>
      </c>
      <c r="C305" t="s">
        <v>62</v>
      </c>
      <c r="D305">
        <v>139263</v>
      </c>
      <c r="E305" s="4">
        <v>41.16</v>
      </c>
      <c r="F305" s="5">
        <v>44620</v>
      </c>
      <c r="G305" t="str">
        <f>"CT203736"</f>
        <v>CT203736</v>
      </c>
      <c r="H305" t="str">
        <f>"ACCT#B02137/PCT#3"</f>
        <v>ACCT#B02137/PCT#3</v>
      </c>
      <c r="I305" s="4">
        <v>41.16</v>
      </c>
      <c r="J305" t="str">
        <f>"ACCT#B02137/PCT#3"</f>
        <v>ACCT#B02137/PCT#3</v>
      </c>
    </row>
    <row r="306" spans="1:10" x14ac:dyDescent="0.25">
      <c r="A306" t="str">
        <f>"01"</f>
        <v>01</v>
      </c>
      <c r="B306" t="str">
        <f>"006048"</f>
        <v>006048</v>
      </c>
      <c r="C306" t="s">
        <v>63</v>
      </c>
      <c r="D306">
        <v>139035</v>
      </c>
      <c r="E306" s="4">
        <v>649.66</v>
      </c>
      <c r="F306" s="5">
        <v>44606</v>
      </c>
      <c r="G306" t="str">
        <f>"14014081"</f>
        <v>14014081</v>
      </c>
      <c r="H306" t="str">
        <f>"CUST#300362/ANIMAL SHELTER"</f>
        <v>CUST#300362/ANIMAL SHELTER</v>
      </c>
      <c r="I306" s="4">
        <v>649.66</v>
      </c>
      <c r="J306" t="str">
        <f>"CUST#300362/ANIMAL SHELTER"</f>
        <v>CUST#300362/ANIMAL SHELTER</v>
      </c>
    </row>
    <row r="307" spans="1:10" x14ac:dyDescent="0.25">
      <c r="A307" t="str">
        <f>"01"</f>
        <v>01</v>
      </c>
      <c r="B307" t="str">
        <f>"004069"</f>
        <v>004069</v>
      </c>
      <c r="C307" t="s">
        <v>64</v>
      </c>
      <c r="D307">
        <v>139036</v>
      </c>
      <c r="E307" s="4">
        <v>11597.66</v>
      </c>
      <c r="F307" s="5">
        <v>44606</v>
      </c>
      <c r="G307" t="str">
        <f>"131811"</f>
        <v>131811</v>
      </c>
      <c r="H307" t="str">
        <f t="shared" ref="H307:H312" si="10">"ACCT#1268/PCT#3"</f>
        <v>ACCT#1268/PCT#3</v>
      </c>
      <c r="I307" s="4">
        <v>4272.21</v>
      </c>
      <c r="J307" t="str">
        <f t="shared" ref="J307:J312" si="11">"ACCT#1268/PCT#3"</f>
        <v>ACCT#1268/PCT#3</v>
      </c>
    </row>
    <row r="308" spans="1:10" x14ac:dyDescent="0.25">
      <c r="A308" t="str">
        <f>""</f>
        <v/>
      </c>
      <c r="B308" t="str">
        <f>""</f>
        <v/>
      </c>
      <c r="G308" t="str">
        <f>"132077"</f>
        <v>132077</v>
      </c>
      <c r="H308" t="str">
        <f t="shared" si="10"/>
        <v>ACCT#1268/PCT#3</v>
      </c>
      <c r="I308" s="4">
        <v>4727.4799999999996</v>
      </c>
      <c r="J308" t="str">
        <f t="shared" si="11"/>
        <v>ACCT#1268/PCT#3</v>
      </c>
    </row>
    <row r="309" spans="1:10" x14ac:dyDescent="0.25">
      <c r="A309" t="str">
        <f>""</f>
        <v/>
      </c>
      <c r="B309" t="str">
        <f>""</f>
        <v/>
      </c>
      <c r="G309" t="str">
        <f>"132240"</f>
        <v>132240</v>
      </c>
      <c r="H309" t="str">
        <f t="shared" si="10"/>
        <v>ACCT#1268/PCT#3</v>
      </c>
      <c r="I309" s="4">
        <v>2215.63</v>
      </c>
      <c r="J309" t="str">
        <f t="shared" si="11"/>
        <v>ACCT#1268/PCT#3</v>
      </c>
    </row>
    <row r="310" spans="1:10" x14ac:dyDescent="0.25">
      <c r="A310" t="str">
        <f>""</f>
        <v/>
      </c>
      <c r="B310" t="str">
        <f>""</f>
        <v/>
      </c>
      <c r="G310" t="str">
        <f>"132435"</f>
        <v>132435</v>
      </c>
      <c r="H310" t="str">
        <f t="shared" si="10"/>
        <v>ACCT#1268/PCT#3</v>
      </c>
      <c r="I310" s="4">
        <v>382.34</v>
      </c>
      <c r="J310" t="str">
        <f t="shared" si="11"/>
        <v>ACCT#1268/PCT#3</v>
      </c>
    </row>
    <row r="311" spans="1:10" x14ac:dyDescent="0.25">
      <c r="A311" t="str">
        <f>"01"</f>
        <v>01</v>
      </c>
      <c r="B311" t="str">
        <f>"004069"</f>
        <v>004069</v>
      </c>
      <c r="C311" t="s">
        <v>64</v>
      </c>
      <c r="D311">
        <v>139264</v>
      </c>
      <c r="E311" s="4">
        <v>6091.01</v>
      </c>
      <c r="F311" s="5">
        <v>44620</v>
      </c>
      <c r="G311" t="str">
        <f>"132586"</f>
        <v>132586</v>
      </c>
      <c r="H311" t="str">
        <f t="shared" si="10"/>
        <v>ACCT#1268/PCT#3</v>
      </c>
      <c r="I311" s="4">
        <v>3550.73</v>
      </c>
      <c r="J311" t="str">
        <f t="shared" si="11"/>
        <v>ACCT#1268/PCT#3</v>
      </c>
    </row>
    <row r="312" spans="1:10" x14ac:dyDescent="0.25">
      <c r="A312" t="str">
        <f>""</f>
        <v/>
      </c>
      <c r="B312" t="str">
        <f>""</f>
        <v/>
      </c>
      <c r="G312" t="str">
        <f>"132907"</f>
        <v>132907</v>
      </c>
      <c r="H312" t="str">
        <f t="shared" si="10"/>
        <v>ACCT#1268/PCT#3</v>
      </c>
      <c r="I312" s="4">
        <v>2540.2800000000002</v>
      </c>
      <c r="J312" t="str">
        <f t="shared" si="11"/>
        <v>ACCT#1268/PCT#3</v>
      </c>
    </row>
    <row r="313" spans="1:10" x14ac:dyDescent="0.25">
      <c r="A313" t="str">
        <f>"01"</f>
        <v>01</v>
      </c>
      <c r="B313" t="str">
        <f>"T9216"</f>
        <v>T9216</v>
      </c>
      <c r="C313" t="s">
        <v>65</v>
      </c>
      <c r="D313">
        <v>5808</v>
      </c>
      <c r="E313" s="4">
        <v>250</v>
      </c>
      <c r="F313" s="5">
        <v>44607</v>
      </c>
      <c r="G313" t="str">
        <f>"202202018692"</f>
        <v>202202018692</v>
      </c>
      <c r="H313" t="str">
        <f>"JP11062021A"</f>
        <v>JP11062021A</v>
      </c>
      <c r="I313" s="4">
        <v>250</v>
      </c>
      <c r="J313" t="str">
        <f>"JP11062021A"</f>
        <v>JP11062021A</v>
      </c>
    </row>
    <row r="314" spans="1:10" x14ac:dyDescent="0.25">
      <c r="A314" t="str">
        <f>"01"</f>
        <v>01</v>
      </c>
      <c r="B314" t="str">
        <f>"002356"</f>
        <v>002356</v>
      </c>
      <c r="C314" t="s">
        <v>66</v>
      </c>
      <c r="D314">
        <v>139265</v>
      </c>
      <c r="E314" s="4">
        <v>15</v>
      </c>
      <c r="F314" s="5">
        <v>44620</v>
      </c>
      <c r="G314" t="str">
        <f>"423-8251"</f>
        <v>423-8251</v>
      </c>
      <c r="H314" t="str">
        <f>"CENTRAL ADOPTION"</f>
        <v>CENTRAL ADOPTION</v>
      </c>
      <c r="I314" s="4">
        <v>15</v>
      </c>
      <c r="J314" t="str">
        <f>"CENTRAL ADOPTION"</f>
        <v>CENTRAL ADOPTION</v>
      </c>
    </row>
    <row r="315" spans="1:10" x14ac:dyDescent="0.25">
      <c r="A315" t="str">
        <f>"01"</f>
        <v>01</v>
      </c>
      <c r="B315" t="str">
        <f>"006608"</f>
        <v>006608</v>
      </c>
      <c r="C315" t="s">
        <v>67</v>
      </c>
      <c r="D315">
        <v>139037</v>
      </c>
      <c r="E315" s="4">
        <v>232.96</v>
      </c>
      <c r="F315" s="5">
        <v>44606</v>
      </c>
      <c r="G315" t="str">
        <f>"N505704"</f>
        <v>N505704</v>
      </c>
      <c r="H315" t="str">
        <f>"CUST#28062/UNIFORMS"</f>
        <v>CUST#28062/UNIFORMS</v>
      </c>
      <c r="I315" s="4">
        <v>232.96</v>
      </c>
      <c r="J315" t="str">
        <f>"CUST#28062/UNIFORMS"</f>
        <v>CUST#28062/UNIFORMS</v>
      </c>
    </row>
    <row r="316" spans="1:10" x14ac:dyDescent="0.25">
      <c r="A316" t="str">
        <f>"01"</f>
        <v>01</v>
      </c>
      <c r="B316" t="str">
        <f>"000629"</f>
        <v>000629</v>
      </c>
      <c r="C316" t="s">
        <v>68</v>
      </c>
      <c r="D316">
        <v>139038</v>
      </c>
      <c r="E316" s="4">
        <v>47315</v>
      </c>
      <c r="F316" s="5">
        <v>44606</v>
      </c>
      <c r="G316" t="str">
        <f>"202201318605"</f>
        <v>202201318605</v>
      </c>
      <c r="H316" t="str">
        <f>"CALDWELL AUTOMOTIVE PARTNERS L"</f>
        <v>CALDWELL AUTOMOTIVE PARTNERS L</v>
      </c>
      <c r="I316" s="4">
        <v>47315</v>
      </c>
      <c r="J316" t="str">
        <f>"2022 Chev Silverado"</f>
        <v>2022 Chev Silverado</v>
      </c>
    </row>
    <row r="317" spans="1:10" x14ac:dyDescent="0.25">
      <c r="A317" t="str">
        <f>"01"</f>
        <v>01</v>
      </c>
      <c r="B317" t="str">
        <f>"002687"</f>
        <v>002687</v>
      </c>
      <c r="C317" t="s">
        <v>69</v>
      </c>
      <c r="D317">
        <v>139266</v>
      </c>
      <c r="E317" s="4">
        <v>160</v>
      </c>
      <c r="F317" s="5">
        <v>44620</v>
      </c>
      <c r="G317" t="str">
        <f>"13147"</f>
        <v>13147</v>
      </c>
      <c r="H317" t="str">
        <f>"SERVICE"</f>
        <v>SERVICE</v>
      </c>
      <c r="I317" s="4">
        <v>80</v>
      </c>
      <c r="J317" t="str">
        <f>"SERVICE"</f>
        <v>SERVICE</v>
      </c>
    </row>
    <row r="318" spans="1:10" x14ac:dyDescent="0.25">
      <c r="A318" t="str">
        <f>""</f>
        <v/>
      </c>
      <c r="B318" t="str">
        <f>""</f>
        <v/>
      </c>
      <c r="G318" t="str">
        <f>"13847"</f>
        <v>13847</v>
      </c>
      <c r="H318" t="str">
        <f>"SERVICE"</f>
        <v>SERVICE</v>
      </c>
      <c r="I318" s="4">
        <v>80</v>
      </c>
      <c r="J318" t="str">
        <f>"SERVICE"</f>
        <v>SERVICE</v>
      </c>
    </row>
    <row r="319" spans="1:10" x14ac:dyDescent="0.25">
      <c r="A319" t="str">
        <f>"01"</f>
        <v>01</v>
      </c>
      <c r="B319" t="str">
        <f>"006750"</f>
        <v>006750</v>
      </c>
      <c r="C319" t="s">
        <v>70</v>
      </c>
      <c r="D319">
        <v>139039</v>
      </c>
      <c r="E319" s="4">
        <v>2351.84</v>
      </c>
      <c r="F319" s="5">
        <v>44606</v>
      </c>
      <c r="G319" t="str">
        <f>"202201318609"</f>
        <v>202201318609</v>
      </c>
      <c r="H319" t="str">
        <f>"Cambridge Seals"</f>
        <v>Cambridge Seals</v>
      </c>
      <c r="I319" s="4">
        <v>2139</v>
      </c>
      <c r="J319" t="str">
        <f>"YELLOW"</f>
        <v>YELLOW</v>
      </c>
    </row>
    <row r="320" spans="1:10" x14ac:dyDescent="0.25">
      <c r="A320" t="str">
        <f>""</f>
        <v/>
      </c>
      <c r="B320" t="str">
        <f>""</f>
        <v/>
      </c>
      <c r="G320" t="str">
        <f>""</f>
        <v/>
      </c>
      <c r="H320" t="str">
        <f>""</f>
        <v/>
      </c>
      <c r="I320" s="4">
        <v>189.74</v>
      </c>
      <c r="J320" t="str">
        <f>"SHIPPING COST YELLOW"</f>
        <v>SHIPPING COST YELLOW</v>
      </c>
    </row>
    <row r="321" spans="1:10" x14ac:dyDescent="0.25">
      <c r="A321" t="str">
        <f>""</f>
        <v/>
      </c>
      <c r="B321" t="str">
        <f>""</f>
        <v/>
      </c>
      <c r="G321" t="str">
        <f>""</f>
        <v/>
      </c>
      <c r="H321" t="str">
        <f>""</f>
        <v/>
      </c>
      <c r="I321" s="4">
        <v>23.1</v>
      </c>
      <c r="J321" t="str">
        <f>"RED SHIPPING COST"</f>
        <v>RED SHIPPING COST</v>
      </c>
    </row>
    <row r="322" spans="1:10" x14ac:dyDescent="0.25">
      <c r="A322" t="str">
        <f>"01"</f>
        <v>01</v>
      </c>
      <c r="B322" t="str">
        <f>"006719"</f>
        <v>006719</v>
      </c>
      <c r="C322" t="s">
        <v>71</v>
      </c>
      <c r="D322">
        <v>139267</v>
      </c>
      <c r="E322" s="4">
        <v>135</v>
      </c>
      <c r="F322" s="5">
        <v>44620</v>
      </c>
      <c r="G322" t="str">
        <f>"202202229302"</f>
        <v>202202229302</v>
      </c>
      <c r="H322" t="str">
        <f>"PER DIEM"</f>
        <v>PER DIEM</v>
      </c>
      <c r="I322" s="4">
        <v>135</v>
      </c>
      <c r="J322" t="str">
        <f>"PER DIEM"</f>
        <v>PER DIEM</v>
      </c>
    </row>
    <row r="323" spans="1:10" x14ac:dyDescent="0.25">
      <c r="A323" t="str">
        <f>"01"</f>
        <v>01</v>
      </c>
      <c r="B323" t="str">
        <f>"T12518"</f>
        <v>T12518</v>
      </c>
      <c r="C323" t="s">
        <v>72</v>
      </c>
      <c r="D323">
        <v>139040</v>
      </c>
      <c r="E323" s="4">
        <v>50</v>
      </c>
      <c r="F323" s="5">
        <v>44606</v>
      </c>
      <c r="G323" t="str">
        <f>"32936"</f>
        <v>32936</v>
      </c>
      <c r="H323" t="str">
        <f>"TRAINING/CONNIE RABEL"</f>
        <v>TRAINING/CONNIE RABEL</v>
      </c>
      <c r="I323" s="4">
        <v>50</v>
      </c>
      <c r="J323" t="str">
        <f>"TRAINING/CONNIE RABEL"</f>
        <v>TRAINING/CONNIE RABEL</v>
      </c>
    </row>
    <row r="324" spans="1:10" x14ac:dyDescent="0.25">
      <c r="A324" t="str">
        <f>"01"</f>
        <v>01</v>
      </c>
      <c r="B324" t="str">
        <f>"T6103"</f>
        <v>T6103</v>
      </c>
      <c r="C324" t="s">
        <v>73</v>
      </c>
      <c r="D324">
        <v>139238</v>
      </c>
      <c r="E324" s="4">
        <v>2500</v>
      </c>
      <c r="F324" s="5">
        <v>44615</v>
      </c>
      <c r="G324" t="str">
        <f>"202202239317"</f>
        <v>202202239317</v>
      </c>
      <c r="H324" t="str">
        <f>"TUITION - NICHOLAS RAZO"</f>
        <v>TUITION - NICHOLAS RAZO</v>
      </c>
      <c r="I324" s="4">
        <v>2500</v>
      </c>
      <c r="J324" t="str">
        <f>"TUITION - NICHOLAS RAZO"</f>
        <v>TUITION - NICHOLAS RAZO</v>
      </c>
    </row>
    <row r="325" spans="1:10" x14ac:dyDescent="0.25">
      <c r="A325" t="str">
        <f>"01"</f>
        <v>01</v>
      </c>
      <c r="B325" t="str">
        <f>"CBOA"</f>
        <v>CBOA</v>
      </c>
      <c r="C325" t="s">
        <v>74</v>
      </c>
      <c r="D325">
        <v>5780</v>
      </c>
      <c r="E325" s="4">
        <v>17.46</v>
      </c>
      <c r="F325" s="5">
        <v>44607</v>
      </c>
      <c r="G325" t="str">
        <f>"01829667"</f>
        <v>01829667</v>
      </c>
      <c r="H325" t="str">
        <f>"ACCT#000690/PCT#3"</f>
        <v>ACCT#000690/PCT#3</v>
      </c>
      <c r="I325" s="4">
        <v>17.46</v>
      </c>
      <c r="J325" t="str">
        <f>"ACCT#000690/PCT#3"</f>
        <v>ACCT#000690/PCT#3</v>
      </c>
    </row>
    <row r="326" spans="1:10" x14ac:dyDescent="0.25">
      <c r="A326" t="str">
        <f>"01"</f>
        <v>01</v>
      </c>
      <c r="B326" t="str">
        <f>"002726"</f>
        <v>002726</v>
      </c>
      <c r="C326" t="s">
        <v>75</v>
      </c>
      <c r="D326">
        <v>1602</v>
      </c>
      <c r="E326" s="4">
        <v>1167.92</v>
      </c>
      <c r="F326" s="5">
        <v>44606</v>
      </c>
      <c r="G326" t="str">
        <f>"202202098837"</f>
        <v>202202098837</v>
      </c>
      <c r="H326" t="str">
        <f>"01.21"</f>
        <v>01.21</v>
      </c>
      <c r="I326" s="4">
        <v>240</v>
      </c>
      <c r="J326" t="str">
        <f>"emat"</f>
        <v>emat</v>
      </c>
    </row>
    <row r="327" spans="1:10" x14ac:dyDescent="0.25">
      <c r="A327" t="str">
        <f>""</f>
        <v/>
      </c>
      <c r="B327" t="str">
        <f>""</f>
        <v/>
      </c>
      <c r="G327" t="str">
        <f>""</f>
        <v/>
      </c>
      <c r="H327" t="str">
        <f>""</f>
        <v/>
      </c>
      <c r="I327" s="4">
        <v>240</v>
      </c>
      <c r="J327" t="str">
        <f>"emat"</f>
        <v>emat</v>
      </c>
    </row>
    <row r="328" spans="1:10" x14ac:dyDescent="0.25">
      <c r="A328" t="str">
        <f>""</f>
        <v/>
      </c>
      <c r="B328" t="str">
        <f>""</f>
        <v/>
      </c>
      <c r="G328" t="str">
        <f>""</f>
        <v/>
      </c>
      <c r="H328" t="str">
        <f>""</f>
        <v/>
      </c>
      <c r="I328" s="4">
        <v>18.02</v>
      </c>
      <c r="J328" t="str">
        <f>"fwb"</f>
        <v>fwb</v>
      </c>
    </row>
    <row r="329" spans="1:10" x14ac:dyDescent="0.25">
      <c r="A329" t="str">
        <f>""</f>
        <v/>
      </c>
      <c r="B329" t="str">
        <f>""</f>
        <v/>
      </c>
      <c r="G329" t="str">
        <f>""</f>
        <v/>
      </c>
      <c r="H329" t="str">
        <f>""</f>
        <v/>
      </c>
      <c r="I329" s="4">
        <v>18</v>
      </c>
      <c r="J329" t="str">
        <f>"maudies"</f>
        <v>maudies</v>
      </c>
    </row>
    <row r="330" spans="1:10" x14ac:dyDescent="0.25">
      <c r="A330" t="str">
        <f>""</f>
        <v/>
      </c>
      <c r="B330" t="str">
        <f>""</f>
        <v/>
      </c>
      <c r="G330" t="str">
        <f>""</f>
        <v/>
      </c>
      <c r="H330" t="str">
        <f>""</f>
        <v/>
      </c>
      <c r="I330" s="4">
        <v>139.97</v>
      </c>
      <c r="J330" t="str">
        <f>"academy"</f>
        <v>academy</v>
      </c>
    </row>
    <row r="331" spans="1:10" x14ac:dyDescent="0.25">
      <c r="A331" t="str">
        <f>""</f>
        <v/>
      </c>
      <c r="B331" t="str">
        <f>""</f>
        <v/>
      </c>
      <c r="G331" t="str">
        <f>""</f>
        <v/>
      </c>
      <c r="H331" t="str">
        <f>""</f>
        <v/>
      </c>
      <c r="I331" s="4">
        <v>-554.16</v>
      </c>
      <c r="J331" t="str">
        <f>"harbor freight"</f>
        <v>harbor freight</v>
      </c>
    </row>
    <row r="332" spans="1:10" x14ac:dyDescent="0.25">
      <c r="A332" t="str">
        <f>""</f>
        <v/>
      </c>
      <c r="B332" t="str">
        <f>""</f>
        <v/>
      </c>
      <c r="G332" t="str">
        <f>""</f>
        <v/>
      </c>
      <c r="H332" t="str">
        <f>""</f>
        <v/>
      </c>
      <c r="I332" s="4">
        <v>554.16</v>
      </c>
      <c r="J332" t="str">
        <f>"harbor freight"</f>
        <v>harbor freight</v>
      </c>
    </row>
    <row r="333" spans="1:10" x14ac:dyDescent="0.25">
      <c r="A333" t="str">
        <f>""</f>
        <v/>
      </c>
      <c r="B333" t="str">
        <f>""</f>
        <v/>
      </c>
      <c r="G333" t="str">
        <f>""</f>
        <v/>
      </c>
      <c r="H333" t="str">
        <f>""</f>
        <v/>
      </c>
      <c r="I333" s="4">
        <v>511.93</v>
      </c>
      <c r="J333" t="str">
        <f>"harbor frieght"</f>
        <v>harbor frieght</v>
      </c>
    </row>
    <row r="334" spans="1:10" x14ac:dyDescent="0.25">
      <c r="A334" t="str">
        <f>"01"</f>
        <v>01</v>
      </c>
      <c r="B334" t="str">
        <f>"CARD"</f>
        <v>CARD</v>
      </c>
      <c r="C334" t="s">
        <v>75</v>
      </c>
      <c r="D334">
        <v>1603</v>
      </c>
      <c r="E334" s="4">
        <v>3759.3</v>
      </c>
      <c r="F334" s="5">
        <v>44606</v>
      </c>
      <c r="G334" t="str">
        <f>"202202098836"</f>
        <v>202202098836</v>
      </c>
      <c r="H334" t="str">
        <f>"STATEMENT FOR 0574"</f>
        <v>STATEMENT FOR 0574</v>
      </c>
      <c r="I334" s="4">
        <v>84.17</v>
      </c>
      <c r="J334" t="str">
        <f>"BEST WESTERN"</f>
        <v>BEST WESTERN</v>
      </c>
    </row>
    <row r="335" spans="1:10" x14ac:dyDescent="0.25">
      <c r="A335" t="str">
        <f>""</f>
        <v/>
      </c>
      <c r="B335" t="str">
        <f>""</f>
        <v/>
      </c>
      <c r="G335" t="str">
        <f>""</f>
        <v/>
      </c>
      <c r="H335" t="str">
        <f>""</f>
        <v/>
      </c>
      <c r="I335" s="4">
        <v>84.17</v>
      </c>
      <c r="J335" t="str">
        <f>"BEST WESTERN"</f>
        <v>BEST WESTERN</v>
      </c>
    </row>
    <row r="336" spans="1:10" x14ac:dyDescent="0.25">
      <c r="A336" t="str">
        <f>""</f>
        <v/>
      </c>
      <c r="B336" t="str">
        <f>""</f>
        <v/>
      </c>
      <c r="G336" t="str">
        <f>""</f>
        <v/>
      </c>
      <c r="H336" t="str">
        <f>""</f>
        <v/>
      </c>
      <c r="I336" s="4">
        <v>216.96</v>
      </c>
      <c r="J336" t="str">
        <f>"LA QUINTA"</f>
        <v>LA QUINTA</v>
      </c>
    </row>
    <row r="337" spans="1:10" x14ac:dyDescent="0.25">
      <c r="A337" t="str">
        <f>""</f>
        <v/>
      </c>
      <c r="B337" t="str">
        <f>""</f>
        <v/>
      </c>
      <c r="G337" t="str">
        <f>""</f>
        <v/>
      </c>
      <c r="H337" t="str">
        <f>""</f>
        <v/>
      </c>
      <c r="I337" s="4">
        <v>216.96</v>
      </c>
      <c r="J337" t="str">
        <f>"LA QUINTA"</f>
        <v>LA QUINTA</v>
      </c>
    </row>
    <row r="338" spans="1:10" x14ac:dyDescent="0.25">
      <c r="A338" t="str">
        <f>""</f>
        <v/>
      </c>
      <c r="B338" t="str">
        <f>""</f>
        <v/>
      </c>
      <c r="G338" t="str">
        <f>""</f>
        <v/>
      </c>
      <c r="H338" t="str">
        <f>""</f>
        <v/>
      </c>
      <c r="I338" s="4">
        <v>177</v>
      </c>
      <c r="J338" t="str">
        <f>"IN GREEN OCEAN SCIEN"</f>
        <v>IN GREEN OCEAN SCIEN</v>
      </c>
    </row>
    <row r="339" spans="1:10" x14ac:dyDescent="0.25">
      <c r="A339" t="str">
        <f>""</f>
        <v/>
      </c>
      <c r="B339" t="str">
        <f>""</f>
        <v/>
      </c>
      <c r="G339" t="str">
        <f>""</f>
        <v/>
      </c>
      <c r="H339" t="str">
        <f>""</f>
        <v/>
      </c>
      <c r="I339" s="4">
        <v>79</v>
      </c>
      <c r="J339" t="str">
        <f>"IN GREEN OCEAN SCIEN"</f>
        <v>IN GREEN OCEAN SCIEN</v>
      </c>
    </row>
    <row r="340" spans="1:10" x14ac:dyDescent="0.25">
      <c r="A340" t="str">
        <f>""</f>
        <v/>
      </c>
      <c r="B340" t="str">
        <f>""</f>
        <v/>
      </c>
      <c r="G340" t="str">
        <f>""</f>
        <v/>
      </c>
      <c r="H340" t="str">
        <f>""</f>
        <v/>
      </c>
      <c r="I340" s="4">
        <v>1440.46</v>
      </c>
      <c r="J340" t="str">
        <f>"CABELLO RECOVERY SER"</f>
        <v>CABELLO RECOVERY SER</v>
      </c>
    </row>
    <row r="341" spans="1:10" x14ac:dyDescent="0.25">
      <c r="A341" t="str">
        <f>""</f>
        <v/>
      </c>
      <c r="B341" t="str">
        <f>""</f>
        <v/>
      </c>
      <c r="G341" t="str">
        <f>""</f>
        <v/>
      </c>
      <c r="H341" t="str">
        <f>""</f>
        <v/>
      </c>
      <c r="I341" s="4">
        <v>37.5</v>
      </c>
      <c r="J341" t="str">
        <f>"QT 4128"</f>
        <v>QT 4128</v>
      </c>
    </row>
    <row r="342" spans="1:10" x14ac:dyDescent="0.25">
      <c r="A342" t="str">
        <f>""</f>
        <v/>
      </c>
      <c r="B342" t="str">
        <f>""</f>
        <v/>
      </c>
      <c r="G342" t="str">
        <f>""</f>
        <v/>
      </c>
      <c r="H342" t="str">
        <f>""</f>
        <v/>
      </c>
      <c r="I342" s="4">
        <v>707.52</v>
      </c>
      <c r="J342" t="str">
        <f>"WALMART"</f>
        <v>WALMART</v>
      </c>
    </row>
    <row r="343" spans="1:10" x14ac:dyDescent="0.25">
      <c r="A343" t="str">
        <f>""</f>
        <v/>
      </c>
      <c r="B343" t="str">
        <f>""</f>
        <v/>
      </c>
      <c r="G343" t="str">
        <f>""</f>
        <v/>
      </c>
      <c r="H343" t="str">
        <f>""</f>
        <v/>
      </c>
      <c r="I343" s="4">
        <v>357.78</v>
      </c>
      <c r="J343" t="str">
        <f>"SAN LUIS GALVESTON"</f>
        <v>SAN LUIS GALVESTON</v>
      </c>
    </row>
    <row r="344" spans="1:10" x14ac:dyDescent="0.25">
      <c r="A344" t="str">
        <f>""</f>
        <v/>
      </c>
      <c r="B344" t="str">
        <f>""</f>
        <v/>
      </c>
      <c r="G344" t="str">
        <f>""</f>
        <v/>
      </c>
      <c r="H344" t="str">
        <f>""</f>
        <v/>
      </c>
      <c r="I344" s="4">
        <v>357.78</v>
      </c>
      <c r="J344" t="str">
        <f>"SAN LUIS GALVESTON"</f>
        <v>SAN LUIS GALVESTON</v>
      </c>
    </row>
    <row r="345" spans="1:10" x14ac:dyDescent="0.25">
      <c r="A345" t="str">
        <f>"01"</f>
        <v>01</v>
      </c>
      <c r="B345" t="str">
        <f>"004623"</f>
        <v>004623</v>
      </c>
      <c r="C345" t="s">
        <v>76</v>
      </c>
      <c r="D345">
        <v>139268</v>
      </c>
      <c r="E345" s="4">
        <v>1593.75</v>
      </c>
      <c r="F345" s="5">
        <v>44620</v>
      </c>
      <c r="G345" t="str">
        <f>"7"</f>
        <v>7</v>
      </c>
      <c r="H345" t="str">
        <f>"CAROLYN DILL"</f>
        <v>CAROLYN DILL</v>
      </c>
      <c r="I345" s="4">
        <v>1593.75</v>
      </c>
      <c r="J345" t="str">
        <f>"CAROLYN DILL"</f>
        <v>CAROLYN DILL</v>
      </c>
    </row>
    <row r="346" spans="1:10" x14ac:dyDescent="0.25">
      <c r="A346" t="str">
        <f>"01"</f>
        <v>01</v>
      </c>
      <c r="B346" t="str">
        <f>"T4871"</f>
        <v>T4871</v>
      </c>
      <c r="C346" t="s">
        <v>77</v>
      </c>
      <c r="D346">
        <v>5802</v>
      </c>
      <c r="E346" s="4">
        <v>107.63</v>
      </c>
      <c r="F346" s="5">
        <v>44607</v>
      </c>
      <c r="G346" t="str">
        <f>"28719"</f>
        <v>28719</v>
      </c>
      <c r="H346" t="str">
        <f>"KVM Switch"</f>
        <v>KVM Switch</v>
      </c>
      <c r="I346" s="4">
        <v>107.63</v>
      </c>
      <c r="J346" t="str">
        <f>"KVM Switch"</f>
        <v>KVM Switch</v>
      </c>
    </row>
    <row r="347" spans="1:10" x14ac:dyDescent="0.25">
      <c r="A347" t="str">
        <f>"01"</f>
        <v>01</v>
      </c>
      <c r="B347" t="str">
        <f>"CTRPNT"</f>
        <v>CTRPNT</v>
      </c>
      <c r="C347" t="s">
        <v>78</v>
      </c>
      <c r="D347">
        <v>138997</v>
      </c>
      <c r="E347" s="4">
        <v>2277.44</v>
      </c>
      <c r="F347" s="5">
        <v>44603</v>
      </c>
      <c r="G347" t="str">
        <f>"202202118950"</f>
        <v>202202118950</v>
      </c>
      <c r="H347" t="str">
        <f>"ACCT#2974567-6/01202022"</f>
        <v>ACCT#2974567-6/01202022</v>
      </c>
      <c r="I347" s="4">
        <v>1939.59</v>
      </c>
      <c r="J347" t="str">
        <f t="shared" ref="J347:J353" si="12">"ACCT#2974567-6/01202022"</f>
        <v>ACCT#2974567-6/01202022</v>
      </c>
    </row>
    <row r="348" spans="1:10" x14ac:dyDescent="0.25">
      <c r="A348" t="str">
        <f>""</f>
        <v/>
      </c>
      <c r="B348" t="str">
        <f>""</f>
        <v/>
      </c>
      <c r="G348" t="str">
        <f>""</f>
        <v/>
      </c>
      <c r="H348" t="str">
        <f>""</f>
        <v/>
      </c>
      <c r="I348" s="4">
        <v>38.17</v>
      </c>
      <c r="J348" t="str">
        <f t="shared" si="12"/>
        <v>ACCT#2974567-6/01202022</v>
      </c>
    </row>
    <row r="349" spans="1:10" x14ac:dyDescent="0.25">
      <c r="A349" t="str">
        <f>""</f>
        <v/>
      </c>
      <c r="B349" t="str">
        <f>""</f>
        <v/>
      </c>
      <c r="G349" t="str">
        <f>""</f>
        <v/>
      </c>
      <c r="H349" t="str">
        <f>""</f>
        <v/>
      </c>
      <c r="I349" s="4">
        <v>57.89</v>
      </c>
      <c r="J349" t="str">
        <f t="shared" si="12"/>
        <v>ACCT#2974567-6/01202022</v>
      </c>
    </row>
    <row r="350" spans="1:10" x14ac:dyDescent="0.25">
      <c r="A350" t="str">
        <f>""</f>
        <v/>
      </c>
      <c r="B350" t="str">
        <f>""</f>
        <v/>
      </c>
      <c r="G350" t="str">
        <f>""</f>
        <v/>
      </c>
      <c r="H350" t="str">
        <f>""</f>
        <v/>
      </c>
      <c r="I350" s="4">
        <v>89.24</v>
      </c>
      <c r="J350" t="str">
        <f t="shared" si="12"/>
        <v>ACCT#2974567-6/01202022</v>
      </c>
    </row>
    <row r="351" spans="1:10" x14ac:dyDescent="0.25">
      <c r="A351" t="str">
        <f>""</f>
        <v/>
      </c>
      <c r="B351" t="str">
        <f>""</f>
        <v/>
      </c>
      <c r="G351" t="str">
        <f>""</f>
        <v/>
      </c>
      <c r="H351" t="str">
        <f>""</f>
        <v/>
      </c>
      <c r="I351" s="4">
        <v>72.2</v>
      </c>
      <c r="J351" t="str">
        <f t="shared" si="12"/>
        <v>ACCT#2974567-6/01202022</v>
      </c>
    </row>
    <row r="352" spans="1:10" x14ac:dyDescent="0.25">
      <c r="A352" t="str">
        <f>""</f>
        <v/>
      </c>
      <c r="B352" t="str">
        <f>""</f>
        <v/>
      </c>
      <c r="G352" t="str">
        <f>""</f>
        <v/>
      </c>
      <c r="H352" t="str">
        <f>""</f>
        <v/>
      </c>
      <c r="I352" s="4">
        <v>40.869999999999997</v>
      </c>
      <c r="J352" t="str">
        <f t="shared" si="12"/>
        <v>ACCT#2974567-6/01202022</v>
      </c>
    </row>
    <row r="353" spans="1:10" x14ac:dyDescent="0.25">
      <c r="A353" t="str">
        <f>""</f>
        <v/>
      </c>
      <c r="B353" t="str">
        <f>""</f>
        <v/>
      </c>
      <c r="G353" t="str">
        <f>""</f>
        <v/>
      </c>
      <c r="H353" t="str">
        <f>""</f>
        <v/>
      </c>
      <c r="I353" s="4">
        <v>39.479999999999997</v>
      </c>
      <c r="J353" t="str">
        <f t="shared" si="12"/>
        <v>ACCT#2974567-6/01202022</v>
      </c>
    </row>
    <row r="354" spans="1:10" x14ac:dyDescent="0.25">
      <c r="A354" t="str">
        <f>"01"</f>
        <v>01</v>
      </c>
      <c r="B354" t="str">
        <f>"CTRPNT"</f>
        <v>CTRPNT</v>
      </c>
      <c r="C354" t="s">
        <v>78</v>
      </c>
      <c r="D354">
        <v>139241</v>
      </c>
      <c r="E354" s="4">
        <v>4099.7700000000004</v>
      </c>
      <c r="F354" s="5">
        <v>44617</v>
      </c>
      <c r="G354" t="str">
        <f>"202202259365"</f>
        <v>202202259365</v>
      </c>
      <c r="H354" t="str">
        <f>"ACCT#8000081165-5 / 02182022"</f>
        <v>ACCT#8000081165-5 / 02182022</v>
      </c>
      <c r="I354" s="4">
        <v>3241.34</v>
      </c>
      <c r="J354" t="str">
        <f>"CENTERPOINT ENERGY"</f>
        <v>CENTERPOINT ENERGY</v>
      </c>
    </row>
    <row r="355" spans="1:10" x14ac:dyDescent="0.25">
      <c r="A355" t="str">
        <f>""</f>
        <v/>
      </c>
      <c r="B355" t="str">
        <f>""</f>
        <v/>
      </c>
      <c r="G355" t="str">
        <f>""</f>
        <v/>
      </c>
      <c r="H355" t="str">
        <f>""</f>
        <v/>
      </c>
      <c r="I355" s="4">
        <v>858.43</v>
      </c>
      <c r="J355" t="str">
        <f>"CENTERPOINT ENERGY"</f>
        <v>CENTERPOINT ENERGY</v>
      </c>
    </row>
    <row r="356" spans="1:10" x14ac:dyDescent="0.25">
      <c r="A356" t="str">
        <f>"01"</f>
        <v>01</v>
      </c>
      <c r="B356" t="str">
        <f>"006480"</f>
        <v>006480</v>
      </c>
      <c r="C356" t="s">
        <v>79</v>
      </c>
      <c r="D356">
        <v>139269</v>
      </c>
      <c r="E356" s="4">
        <v>376.25</v>
      </c>
      <c r="F356" s="5">
        <v>44620</v>
      </c>
      <c r="G356" t="str">
        <f>"44465021622"</f>
        <v>44465021622</v>
      </c>
      <c r="H356" t="str">
        <f>"TIMOTHY LYLE HENNING"</f>
        <v>TIMOTHY LYLE HENNING</v>
      </c>
      <c r="I356" s="4">
        <v>376.25</v>
      </c>
      <c r="J356" t="str">
        <f>"Shedding"</f>
        <v>Shedding</v>
      </c>
    </row>
    <row r="357" spans="1:10" x14ac:dyDescent="0.25">
      <c r="A357" t="str">
        <f>"01"</f>
        <v>01</v>
      </c>
      <c r="B357" t="str">
        <f>"CERT"</f>
        <v>CERT</v>
      </c>
      <c r="C357" t="s">
        <v>80</v>
      </c>
      <c r="D357">
        <v>5781</v>
      </c>
      <c r="E357" s="4">
        <v>478.31</v>
      </c>
      <c r="F357" s="5">
        <v>44607</v>
      </c>
      <c r="G357" t="str">
        <f>"763779"</f>
        <v>763779</v>
      </c>
      <c r="H357" t="str">
        <f>"CUST#271202/PCT#2"</f>
        <v>CUST#271202/PCT#2</v>
      </c>
      <c r="I357" s="4">
        <v>478.31</v>
      </c>
      <c r="J357" t="str">
        <f>"CUST#271202/PCT#2"</f>
        <v>CUST#271202/PCT#2</v>
      </c>
    </row>
    <row r="358" spans="1:10" x14ac:dyDescent="0.25">
      <c r="A358" t="str">
        <f>"01"</f>
        <v>01</v>
      </c>
      <c r="B358" t="str">
        <f>"006855"</f>
        <v>006855</v>
      </c>
      <c r="C358" t="s">
        <v>81</v>
      </c>
      <c r="D358">
        <v>139041</v>
      </c>
      <c r="E358" s="4">
        <v>25</v>
      </c>
      <c r="F358" s="5">
        <v>44606</v>
      </c>
      <c r="G358" t="str">
        <f>"202202028722"</f>
        <v>202202028722</v>
      </c>
      <c r="H358" t="str">
        <f>"REIMBURSE/CHARLES RUSSELL"</f>
        <v>REIMBURSE/CHARLES RUSSELL</v>
      </c>
      <c r="I358" s="4">
        <v>25</v>
      </c>
      <c r="J358" t="str">
        <f>"REIMBURSE/CHARLES RUSSELL"</f>
        <v>REIMBURSE/CHARLES RUSSELL</v>
      </c>
    </row>
    <row r="359" spans="1:10" x14ac:dyDescent="0.25">
      <c r="A359" t="str">
        <f>"01"</f>
        <v>01</v>
      </c>
      <c r="B359" t="str">
        <f>"004648"</f>
        <v>004648</v>
      </c>
      <c r="C359" t="s">
        <v>82</v>
      </c>
      <c r="D359">
        <v>139042</v>
      </c>
      <c r="E359" s="4">
        <v>1375</v>
      </c>
      <c r="F359" s="5">
        <v>44606</v>
      </c>
      <c r="G359" t="str">
        <f>"202202018684"</f>
        <v>202202018684</v>
      </c>
      <c r="H359" t="str">
        <f>"19-19864"</f>
        <v>19-19864</v>
      </c>
      <c r="I359" s="4">
        <v>62.5</v>
      </c>
      <c r="J359" t="str">
        <f>"19-19864"</f>
        <v>19-19864</v>
      </c>
    </row>
    <row r="360" spans="1:10" x14ac:dyDescent="0.25">
      <c r="A360" t="str">
        <f>""</f>
        <v/>
      </c>
      <c r="B360" t="str">
        <f>""</f>
        <v/>
      </c>
      <c r="G360" t="str">
        <f>"202202018685"</f>
        <v>202202018685</v>
      </c>
      <c r="H360" t="str">
        <f>"20-20130"</f>
        <v>20-20130</v>
      </c>
      <c r="I360" s="4">
        <v>1062.5</v>
      </c>
      <c r="J360" t="str">
        <f>"20-20130"</f>
        <v>20-20130</v>
      </c>
    </row>
    <row r="361" spans="1:10" x14ac:dyDescent="0.25">
      <c r="A361" t="str">
        <f>""</f>
        <v/>
      </c>
      <c r="B361" t="str">
        <f>""</f>
        <v/>
      </c>
      <c r="G361" t="str">
        <f>"202202028706"</f>
        <v>202202028706</v>
      </c>
      <c r="H361" t="str">
        <f>"21-21040"</f>
        <v>21-21040</v>
      </c>
      <c r="I361" s="4">
        <v>125</v>
      </c>
      <c r="J361" t="str">
        <f>"21-21040"</f>
        <v>21-21040</v>
      </c>
    </row>
    <row r="362" spans="1:10" x14ac:dyDescent="0.25">
      <c r="A362" t="str">
        <f>""</f>
        <v/>
      </c>
      <c r="B362" t="str">
        <f>""</f>
        <v/>
      </c>
      <c r="G362" t="str">
        <f>"202202098855"</f>
        <v>202202098855</v>
      </c>
      <c r="H362" t="str">
        <f>"21-20664"</f>
        <v>21-20664</v>
      </c>
      <c r="I362" s="4">
        <v>62.5</v>
      </c>
      <c r="J362" t="str">
        <f>"21-20664"</f>
        <v>21-20664</v>
      </c>
    </row>
    <row r="363" spans="1:10" x14ac:dyDescent="0.25">
      <c r="A363" t="str">
        <f>""</f>
        <v/>
      </c>
      <c r="B363" t="str">
        <f>""</f>
        <v/>
      </c>
      <c r="G363" t="str">
        <f>"202202098856"</f>
        <v>202202098856</v>
      </c>
      <c r="H363" t="str">
        <f>"21-21040"</f>
        <v>21-21040</v>
      </c>
      <c r="I363" s="4">
        <v>62.5</v>
      </c>
      <c r="J363" t="str">
        <f>"21-21040"</f>
        <v>21-21040</v>
      </c>
    </row>
    <row r="364" spans="1:10" x14ac:dyDescent="0.25">
      <c r="A364" t="str">
        <f>"01"</f>
        <v>01</v>
      </c>
      <c r="B364" t="str">
        <f>"004648"</f>
        <v>004648</v>
      </c>
      <c r="C364" t="s">
        <v>82</v>
      </c>
      <c r="D364">
        <v>139270</v>
      </c>
      <c r="E364" s="4">
        <v>400</v>
      </c>
      <c r="F364" s="5">
        <v>44620</v>
      </c>
      <c r="G364" t="str">
        <f>"202202179201"</f>
        <v>202202179201</v>
      </c>
      <c r="H364" t="str">
        <f>"J-3212"</f>
        <v>J-3212</v>
      </c>
      <c r="I364" s="4">
        <v>100</v>
      </c>
      <c r="J364" t="str">
        <f>"J-3212"</f>
        <v>J-3212</v>
      </c>
    </row>
    <row r="365" spans="1:10" x14ac:dyDescent="0.25">
      <c r="A365" t="str">
        <f>""</f>
        <v/>
      </c>
      <c r="B365" t="str">
        <f>""</f>
        <v/>
      </c>
      <c r="G365" t="str">
        <f>"202202229250"</f>
        <v>202202229250</v>
      </c>
      <c r="H365" t="str">
        <f>"CAUSE NO. 20-20394/MEDIATION"</f>
        <v>CAUSE NO. 20-20394/MEDIATION</v>
      </c>
      <c r="I365" s="4">
        <v>300</v>
      </c>
      <c r="J365" t="str">
        <f>"CAUSE NO. 20-20394/MEDIATION"</f>
        <v>CAUSE NO. 20-20394/MEDIATION</v>
      </c>
    </row>
    <row r="366" spans="1:10" x14ac:dyDescent="0.25">
      <c r="A366" t="str">
        <f>"01"</f>
        <v>01</v>
      </c>
      <c r="B366" t="str">
        <f>"T9145"</f>
        <v>T9145</v>
      </c>
      <c r="C366" t="s">
        <v>83</v>
      </c>
      <c r="D366">
        <v>5807</v>
      </c>
      <c r="E366" s="4">
        <v>8600</v>
      </c>
      <c r="F366" s="5">
        <v>44607</v>
      </c>
      <c r="G366" t="str">
        <f>"202201258533"</f>
        <v>202201258533</v>
      </c>
      <c r="H366" t="str">
        <f>"17537"</f>
        <v>17537</v>
      </c>
      <c r="I366" s="4">
        <v>400</v>
      </c>
      <c r="J366" t="str">
        <f>"17537"</f>
        <v>17537</v>
      </c>
    </row>
    <row r="367" spans="1:10" x14ac:dyDescent="0.25">
      <c r="A367" t="str">
        <f>""</f>
        <v/>
      </c>
      <c r="B367" t="str">
        <f>""</f>
        <v/>
      </c>
      <c r="G367" t="str">
        <f>"202201258534"</f>
        <v>202201258534</v>
      </c>
      <c r="H367" t="str">
        <f>"16995"</f>
        <v>16995</v>
      </c>
      <c r="I367" s="4">
        <v>600</v>
      </c>
      <c r="J367" t="str">
        <f>"16995"</f>
        <v>16995</v>
      </c>
    </row>
    <row r="368" spans="1:10" x14ac:dyDescent="0.25">
      <c r="A368" t="str">
        <f>""</f>
        <v/>
      </c>
      <c r="B368" t="str">
        <f>""</f>
        <v/>
      </c>
      <c r="G368" t="str">
        <f>"202201258535"</f>
        <v>202201258535</v>
      </c>
      <c r="H368" t="str">
        <f>"16009"</f>
        <v>16009</v>
      </c>
      <c r="I368" s="4">
        <v>400</v>
      </c>
      <c r="J368" t="str">
        <f>"16009"</f>
        <v>16009</v>
      </c>
    </row>
    <row r="369" spans="1:10" x14ac:dyDescent="0.25">
      <c r="A369" t="str">
        <f>""</f>
        <v/>
      </c>
      <c r="B369" t="str">
        <f>""</f>
        <v/>
      </c>
      <c r="G369" t="str">
        <f>"202201258536"</f>
        <v>202201258536</v>
      </c>
      <c r="H369" t="str">
        <f>"17077"</f>
        <v>17077</v>
      </c>
      <c r="I369" s="4">
        <v>400</v>
      </c>
      <c r="J369" t="str">
        <f>"17077"</f>
        <v>17077</v>
      </c>
    </row>
    <row r="370" spans="1:10" x14ac:dyDescent="0.25">
      <c r="A370" t="str">
        <f>""</f>
        <v/>
      </c>
      <c r="B370" t="str">
        <f>""</f>
        <v/>
      </c>
      <c r="G370" t="str">
        <f>"202201258537"</f>
        <v>202201258537</v>
      </c>
      <c r="H370" t="str">
        <f>"17473"</f>
        <v>17473</v>
      </c>
      <c r="I370" s="4">
        <v>400</v>
      </c>
      <c r="J370" t="str">
        <f>"17473"</f>
        <v>17473</v>
      </c>
    </row>
    <row r="371" spans="1:10" x14ac:dyDescent="0.25">
      <c r="A371" t="str">
        <f>""</f>
        <v/>
      </c>
      <c r="B371" t="str">
        <f>""</f>
        <v/>
      </c>
      <c r="G371" t="str">
        <f>"202201258538"</f>
        <v>202201258538</v>
      </c>
      <c r="H371" t="str">
        <f>"17082"</f>
        <v>17082</v>
      </c>
      <c r="I371" s="4">
        <v>400</v>
      </c>
      <c r="J371" t="str">
        <f>"17082"</f>
        <v>17082</v>
      </c>
    </row>
    <row r="372" spans="1:10" x14ac:dyDescent="0.25">
      <c r="A372" t="str">
        <f>""</f>
        <v/>
      </c>
      <c r="B372" t="str">
        <f>""</f>
        <v/>
      </c>
      <c r="G372" t="str">
        <f>"202201258539"</f>
        <v>202201258539</v>
      </c>
      <c r="H372" t="str">
        <f>"2001-21 2005-335"</f>
        <v>2001-21 2005-335</v>
      </c>
      <c r="I372" s="4">
        <v>300</v>
      </c>
      <c r="J372" t="str">
        <f>"2001-21 2005-335"</f>
        <v>2001-21 2005-335</v>
      </c>
    </row>
    <row r="373" spans="1:10" x14ac:dyDescent="0.25">
      <c r="A373" t="str">
        <f>""</f>
        <v/>
      </c>
      <c r="B373" t="str">
        <f>""</f>
        <v/>
      </c>
      <c r="G373" t="str">
        <f>"202202018673"</f>
        <v>202202018673</v>
      </c>
      <c r="H373" t="str">
        <f>"J-3260"</f>
        <v>J-3260</v>
      </c>
      <c r="I373" s="4">
        <v>250</v>
      </c>
      <c r="J373" t="str">
        <f>"J-3260"</f>
        <v>J-3260</v>
      </c>
    </row>
    <row r="374" spans="1:10" x14ac:dyDescent="0.25">
      <c r="A374" t="str">
        <f>""</f>
        <v/>
      </c>
      <c r="B374" t="str">
        <f>""</f>
        <v/>
      </c>
      <c r="G374" t="str">
        <f>"202202018674"</f>
        <v>202202018674</v>
      </c>
      <c r="H374" t="str">
        <f>"19-19994"</f>
        <v>19-19994</v>
      </c>
      <c r="I374" s="4">
        <v>1500</v>
      </c>
      <c r="J374" t="str">
        <f>"19-19994"</f>
        <v>19-19994</v>
      </c>
    </row>
    <row r="375" spans="1:10" x14ac:dyDescent="0.25">
      <c r="A375" t="str">
        <f>""</f>
        <v/>
      </c>
      <c r="B375" t="str">
        <f>""</f>
        <v/>
      </c>
      <c r="G375" t="str">
        <f>"202202018675"</f>
        <v>202202018675</v>
      </c>
      <c r="H375" t="str">
        <f>"21-20565"</f>
        <v>21-20565</v>
      </c>
      <c r="I375" s="4">
        <v>150</v>
      </c>
      <c r="J375" t="str">
        <f>"21-20565"</f>
        <v>21-20565</v>
      </c>
    </row>
    <row r="376" spans="1:10" x14ac:dyDescent="0.25">
      <c r="A376" t="str">
        <f>""</f>
        <v/>
      </c>
      <c r="B376" t="str">
        <f>""</f>
        <v/>
      </c>
      <c r="G376" t="str">
        <f>"202202018676"</f>
        <v>202202018676</v>
      </c>
      <c r="H376" t="str">
        <f>"22-21081"</f>
        <v>22-21081</v>
      </c>
      <c r="I376" s="4">
        <v>150</v>
      </c>
      <c r="J376" t="str">
        <f>"22-21081"</f>
        <v>22-21081</v>
      </c>
    </row>
    <row r="377" spans="1:10" x14ac:dyDescent="0.25">
      <c r="A377" t="str">
        <f>""</f>
        <v/>
      </c>
      <c r="B377" t="str">
        <f>""</f>
        <v/>
      </c>
      <c r="G377" t="str">
        <f>"202202018677"</f>
        <v>202202018677</v>
      </c>
      <c r="H377" t="str">
        <f>"21-21018"</f>
        <v>21-21018</v>
      </c>
      <c r="I377" s="4">
        <v>150</v>
      </c>
      <c r="J377" t="str">
        <f>"21-21018"</f>
        <v>21-21018</v>
      </c>
    </row>
    <row r="378" spans="1:10" x14ac:dyDescent="0.25">
      <c r="A378" t="str">
        <f>""</f>
        <v/>
      </c>
      <c r="B378" t="str">
        <f>""</f>
        <v/>
      </c>
      <c r="G378" t="str">
        <f>"202202018678"</f>
        <v>202202018678</v>
      </c>
      <c r="H378" t="str">
        <f>"21-20880"</f>
        <v>21-20880</v>
      </c>
      <c r="I378" s="4">
        <v>150</v>
      </c>
      <c r="J378" t="str">
        <f>"21-20880"</f>
        <v>21-20880</v>
      </c>
    </row>
    <row r="379" spans="1:10" x14ac:dyDescent="0.25">
      <c r="A379" t="str">
        <f>""</f>
        <v/>
      </c>
      <c r="B379" t="str">
        <f>""</f>
        <v/>
      </c>
      <c r="G379" t="str">
        <f>"202202018679"</f>
        <v>202202018679</v>
      </c>
      <c r="H379" t="str">
        <f>"21-21091"</f>
        <v>21-21091</v>
      </c>
      <c r="I379" s="4">
        <v>400</v>
      </c>
      <c r="J379" t="str">
        <f>"21-21091"</f>
        <v>21-21091</v>
      </c>
    </row>
    <row r="380" spans="1:10" x14ac:dyDescent="0.25">
      <c r="A380" t="str">
        <f>""</f>
        <v/>
      </c>
      <c r="B380" t="str">
        <f>""</f>
        <v/>
      </c>
      <c r="G380" t="str">
        <f>"202202018680"</f>
        <v>202202018680</v>
      </c>
      <c r="H380" t="str">
        <f>"57-289"</f>
        <v>57-289</v>
      </c>
      <c r="I380" s="4">
        <v>250</v>
      </c>
      <c r="J380" t="str">
        <f>"57-289"</f>
        <v>57-289</v>
      </c>
    </row>
    <row r="381" spans="1:10" x14ac:dyDescent="0.25">
      <c r="A381" t="str">
        <f>""</f>
        <v/>
      </c>
      <c r="B381" t="str">
        <f>""</f>
        <v/>
      </c>
      <c r="G381" t="str">
        <f>"202202018681"</f>
        <v>202202018681</v>
      </c>
      <c r="H381" t="str">
        <f>"58-013"</f>
        <v>58-013</v>
      </c>
      <c r="I381" s="4">
        <v>250</v>
      </c>
      <c r="J381" t="str">
        <f>"58-013"</f>
        <v>58-013</v>
      </c>
    </row>
    <row r="382" spans="1:10" x14ac:dyDescent="0.25">
      <c r="A382" t="str">
        <f>""</f>
        <v/>
      </c>
      <c r="B382" t="str">
        <f>""</f>
        <v/>
      </c>
      <c r="G382" t="str">
        <f>"202202018682"</f>
        <v>202202018682</v>
      </c>
      <c r="H382" t="str">
        <f>"22-221072/22-221078"</f>
        <v>22-221072/22-221078</v>
      </c>
      <c r="I382" s="4">
        <v>200</v>
      </c>
      <c r="J382" t="str">
        <f>"22-221072/22-221078"</f>
        <v>22-221072/22-221078</v>
      </c>
    </row>
    <row r="383" spans="1:10" x14ac:dyDescent="0.25">
      <c r="A383" t="str">
        <f>""</f>
        <v/>
      </c>
      <c r="B383" t="str">
        <f>""</f>
        <v/>
      </c>
      <c r="G383" t="str">
        <f>"202202018683"</f>
        <v>202202018683</v>
      </c>
      <c r="H383" t="str">
        <f>"308232021A"</f>
        <v>308232021A</v>
      </c>
      <c r="I383" s="4">
        <v>250</v>
      </c>
      <c r="J383" t="str">
        <f>"308232021A"</f>
        <v>308232021A</v>
      </c>
    </row>
    <row r="384" spans="1:10" x14ac:dyDescent="0.25">
      <c r="A384" t="str">
        <f>""</f>
        <v/>
      </c>
      <c r="B384" t="str">
        <f>""</f>
        <v/>
      </c>
      <c r="G384" t="str">
        <f>"202202028709"</f>
        <v>202202028709</v>
      </c>
      <c r="H384" t="str">
        <f>"17-344"</f>
        <v>17-344</v>
      </c>
      <c r="I384" s="4">
        <v>400</v>
      </c>
      <c r="J384" t="str">
        <f>"17-344"</f>
        <v>17-344</v>
      </c>
    </row>
    <row r="385" spans="1:10" x14ac:dyDescent="0.25">
      <c r="A385" t="str">
        <f>""</f>
        <v/>
      </c>
      <c r="B385" t="str">
        <f>""</f>
        <v/>
      </c>
      <c r="G385" t="str">
        <f>"202202028710"</f>
        <v>202202028710</v>
      </c>
      <c r="H385" t="str">
        <f>"17-198"</f>
        <v>17-198</v>
      </c>
      <c r="I385" s="4">
        <v>400</v>
      </c>
      <c r="J385" t="str">
        <f>"17-198"</f>
        <v>17-198</v>
      </c>
    </row>
    <row r="386" spans="1:10" x14ac:dyDescent="0.25">
      <c r="A386" t="str">
        <f>""</f>
        <v/>
      </c>
      <c r="B386" t="str">
        <f>""</f>
        <v/>
      </c>
      <c r="G386" t="str">
        <f>"202202028711"</f>
        <v>202202028711</v>
      </c>
      <c r="H386" t="str">
        <f>"17-166"</f>
        <v>17-166</v>
      </c>
      <c r="I386" s="4">
        <v>400</v>
      </c>
      <c r="J386" t="str">
        <f>"17-166"</f>
        <v>17-166</v>
      </c>
    </row>
    <row r="387" spans="1:10" x14ac:dyDescent="0.25">
      <c r="A387" t="str">
        <f>""</f>
        <v/>
      </c>
      <c r="B387" t="str">
        <f>""</f>
        <v/>
      </c>
      <c r="G387" t="str">
        <f>"202202028712"</f>
        <v>202202028712</v>
      </c>
      <c r="H387" t="str">
        <f>"17-035"</f>
        <v>17-035</v>
      </c>
      <c r="I387" s="4">
        <v>400</v>
      </c>
      <c r="J387" t="str">
        <f>"17-035"</f>
        <v>17-035</v>
      </c>
    </row>
    <row r="388" spans="1:10" x14ac:dyDescent="0.25">
      <c r="A388" t="str">
        <f>""</f>
        <v/>
      </c>
      <c r="B388" t="str">
        <f>""</f>
        <v/>
      </c>
      <c r="G388" t="str">
        <f>"202202028713"</f>
        <v>202202028713</v>
      </c>
      <c r="H388" t="str">
        <f>"17-211"</f>
        <v>17-211</v>
      </c>
      <c r="I388" s="4">
        <v>400</v>
      </c>
      <c r="J388" t="str">
        <f>"17-211"</f>
        <v>17-211</v>
      </c>
    </row>
    <row r="389" spans="1:10" x14ac:dyDescent="0.25">
      <c r="A389" t="str">
        <f>"01"</f>
        <v>01</v>
      </c>
      <c r="B389" t="str">
        <f>"005120"</f>
        <v>005120</v>
      </c>
      <c r="C389" t="s">
        <v>84</v>
      </c>
      <c r="D389">
        <v>139043</v>
      </c>
      <c r="E389" s="4">
        <v>275.91000000000003</v>
      </c>
      <c r="F389" s="5">
        <v>44606</v>
      </c>
      <c r="G389" t="str">
        <f>"5092645351"</f>
        <v>5092645351</v>
      </c>
      <c r="H389" t="str">
        <f>"PAYER#11167190/PCT#1"</f>
        <v>PAYER#11167190/PCT#1</v>
      </c>
      <c r="I389" s="4">
        <v>125.91</v>
      </c>
      <c r="J389" t="str">
        <f>"PAYER#11167190/PCT#1"</f>
        <v>PAYER#11167190/PCT#1</v>
      </c>
    </row>
    <row r="390" spans="1:10" x14ac:dyDescent="0.25">
      <c r="A390" t="str">
        <f>""</f>
        <v/>
      </c>
      <c r="B390" t="str">
        <f>""</f>
        <v/>
      </c>
      <c r="G390" t="str">
        <f>"9163722810"</f>
        <v>9163722810</v>
      </c>
      <c r="H390" t="str">
        <f>"INV 9163722810"</f>
        <v>INV 9163722810</v>
      </c>
      <c r="I390" s="4">
        <v>100</v>
      </c>
      <c r="J390" t="str">
        <f>"INV 9163722810"</f>
        <v>INV 9163722810</v>
      </c>
    </row>
    <row r="391" spans="1:10" x14ac:dyDescent="0.25">
      <c r="A391" t="str">
        <f>""</f>
        <v/>
      </c>
      <c r="B391" t="str">
        <f>""</f>
        <v/>
      </c>
      <c r="G391" t="str">
        <f>"9163722811"</f>
        <v>9163722811</v>
      </c>
      <c r="H391" t="str">
        <f>"INV 9163722811"</f>
        <v>INV 9163722811</v>
      </c>
      <c r="I391" s="4">
        <v>50</v>
      </c>
      <c r="J391" t="str">
        <f>"INV 9163722811"</f>
        <v>INV 9163722811</v>
      </c>
    </row>
    <row r="392" spans="1:10" x14ac:dyDescent="0.25">
      <c r="A392" t="str">
        <f>"01"</f>
        <v>01</v>
      </c>
      <c r="B392" t="str">
        <f>"004728"</f>
        <v>004728</v>
      </c>
      <c r="C392" t="s">
        <v>85</v>
      </c>
      <c r="D392">
        <v>139044</v>
      </c>
      <c r="E392" s="4">
        <v>1946.72</v>
      </c>
      <c r="F392" s="5">
        <v>44606</v>
      </c>
      <c r="G392" t="str">
        <f>"202202088797"</f>
        <v>202202088797</v>
      </c>
      <c r="H392" t="str">
        <f>"PAYER#14108367/PCT#2"</f>
        <v>PAYER#14108367/PCT#2</v>
      </c>
      <c r="I392" s="4">
        <v>754.79</v>
      </c>
      <c r="J392" t="str">
        <f>"PAYER#14108367/PCT#2"</f>
        <v>PAYER#14108367/PCT#2</v>
      </c>
    </row>
    <row r="393" spans="1:10" x14ac:dyDescent="0.25">
      <c r="A393" t="str">
        <f>""</f>
        <v/>
      </c>
      <c r="B393" t="str">
        <f>""</f>
        <v/>
      </c>
      <c r="G393" t="str">
        <f>"202202088809"</f>
        <v>202202088809</v>
      </c>
      <c r="H393" t="str">
        <f>"PAYER#14108463/ANIMAL SHELTER"</f>
        <v>PAYER#14108463/ANIMAL SHELTER</v>
      </c>
      <c r="I393" s="4">
        <v>264.16000000000003</v>
      </c>
      <c r="J393" t="str">
        <f>"PAYER#14108463/ANIMAL SHELTER"</f>
        <v>PAYER#14108463/ANIMAL SHELTER</v>
      </c>
    </row>
    <row r="394" spans="1:10" x14ac:dyDescent="0.25">
      <c r="A394" t="str">
        <f>""</f>
        <v/>
      </c>
      <c r="B394" t="str">
        <f>""</f>
        <v/>
      </c>
      <c r="G394" t="str">
        <f>"202202098848"</f>
        <v>202202098848</v>
      </c>
      <c r="H394" t="str">
        <f>"PAYER#14108431/SIGN SHOP"</f>
        <v>PAYER#14108431/SIGN SHOP</v>
      </c>
      <c r="I394" s="4">
        <v>59.52</v>
      </c>
      <c r="J394" t="str">
        <f>"PAYER#14108431/SIGN SHOP"</f>
        <v>PAYER#14108431/SIGN SHOP</v>
      </c>
    </row>
    <row r="395" spans="1:10" x14ac:dyDescent="0.25">
      <c r="A395" t="str">
        <f>""</f>
        <v/>
      </c>
      <c r="B395" t="str">
        <f>""</f>
        <v/>
      </c>
      <c r="G395" t="str">
        <f>"202202098861"</f>
        <v>202202098861</v>
      </c>
      <c r="H395" t="str">
        <f>"PAYER#14108431/PCT#1"</f>
        <v>PAYER#14108431/PCT#1</v>
      </c>
      <c r="I395" s="4">
        <v>868.25</v>
      </c>
      <c r="J395" t="str">
        <f>"PAYER#14108431/PCT#1"</f>
        <v>PAYER#14108431/PCT#1</v>
      </c>
    </row>
    <row r="396" spans="1:10" x14ac:dyDescent="0.25">
      <c r="A396" t="str">
        <f>"01"</f>
        <v>01</v>
      </c>
      <c r="B396" t="str">
        <f>"004728"</f>
        <v>004728</v>
      </c>
      <c r="C396" t="s">
        <v>85</v>
      </c>
      <c r="D396">
        <v>139271</v>
      </c>
      <c r="E396" s="4">
        <v>3441.09</v>
      </c>
      <c r="F396" s="5">
        <v>44620</v>
      </c>
      <c r="G396" t="str">
        <f>"202202179226"</f>
        <v>202202179226</v>
      </c>
      <c r="H396" t="str">
        <f>"PAYER#14108430/PCT#4"</f>
        <v>PAYER#14108430/PCT#4</v>
      </c>
      <c r="I396" s="4">
        <v>1473.91</v>
      </c>
      <c r="J396" t="str">
        <f>"PAYER#14108430/PCT#4"</f>
        <v>PAYER#14108430/PCT#4</v>
      </c>
    </row>
    <row r="397" spans="1:10" x14ac:dyDescent="0.25">
      <c r="A397" t="str">
        <f>""</f>
        <v/>
      </c>
      <c r="B397" t="str">
        <f>""</f>
        <v/>
      </c>
      <c r="G397" t="str">
        <f>"202202239331"</f>
        <v>202202239331</v>
      </c>
      <c r="H397" t="str">
        <f>"PAYER#14108375/GENERAL SVCS"</f>
        <v>PAYER#14108375/GENERAL SVCS</v>
      </c>
      <c r="I397" s="4">
        <v>1854.06</v>
      </c>
      <c r="J397" t="str">
        <f>"PAYER#14108375/GENERAL SVCS"</f>
        <v>PAYER#14108375/GENERAL SVCS</v>
      </c>
    </row>
    <row r="398" spans="1:10" x14ac:dyDescent="0.25">
      <c r="A398" t="str">
        <f>""</f>
        <v/>
      </c>
      <c r="B398" t="str">
        <f>""</f>
        <v/>
      </c>
      <c r="G398" t="str">
        <f>"4110726281"</f>
        <v>4110726281</v>
      </c>
      <c r="H398" t="str">
        <f>"PAYER#14108431/PCT#1"</f>
        <v>PAYER#14108431/PCT#1</v>
      </c>
      <c r="I398" s="4">
        <v>113.12</v>
      </c>
      <c r="J398" t="str">
        <f>"PAYER#14108431/PCT#1"</f>
        <v>PAYER#14108431/PCT#1</v>
      </c>
    </row>
    <row r="399" spans="1:10" x14ac:dyDescent="0.25">
      <c r="A399" t="str">
        <f>"01"</f>
        <v>01</v>
      </c>
      <c r="B399" t="str">
        <f>"005132"</f>
        <v>005132</v>
      </c>
      <c r="C399" t="s">
        <v>85</v>
      </c>
      <c r="D399">
        <v>139272</v>
      </c>
      <c r="E399" s="4">
        <v>341.13</v>
      </c>
      <c r="F399" s="5">
        <v>44620</v>
      </c>
      <c r="G399" t="str">
        <f>"8405522172"</f>
        <v>8405522172</v>
      </c>
      <c r="H399" t="str">
        <f>"CUST#10377368/PCT#2"</f>
        <v>CUST#10377368/PCT#2</v>
      </c>
      <c r="I399" s="4">
        <v>120.13</v>
      </c>
      <c r="J399" t="str">
        <f>"CUST#10377368/PCT#2"</f>
        <v>CUST#10377368/PCT#2</v>
      </c>
    </row>
    <row r="400" spans="1:10" x14ac:dyDescent="0.25">
      <c r="A400" t="str">
        <f>""</f>
        <v/>
      </c>
      <c r="B400" t="str">
        <f>""</f>
        <v/>
      </c>
      <c r="G400" t="str">
        <f>"8405522172/1"</f>
        <v>8405522172/1</v>
      </c>
      <c r="H400" t="str">
        <f>"CUST#10377368/PCT#3"</f>
        <v>CUST#10377368/PCT#3</v>
      </c>
      <c r="I400" s="4">
        <v>221</v>
      </c>
      <c r="J400" t="str">
        <f>"CUST#10377368/PCT#3"</f>
        <v>CUST#10377368/PCT#3</v>
      </c>
    </row>
    <row r="401" spans="1:10" x14ac:dyDescent="0.25">
      <c r="A401" t="str">
        <f>"01"</f>
        <v>01</v>
      </c>
      <c r="B401" t="str">
        <f>"006081"</f>
        <v>006081</v>
      </c>
      <c r="C401" t="s">
        <v>86</v>
      </c>
      <c r="D401">
        <v>1649</v>
      </c>
      <c r="E401" s="4">
        <v>14664.06</v>
      </c>
      <c r="F401" s="5">
        <v>44614</v>
      </c>
      <c r="G401" t="str">
        <f>"202202229264"</f>
        <v>202202229264</v>
      </c>
      <c r="H401" t="str">
        <f>"ACCT#72-5613 / 02032022"</f>
        <v>ACCT#72-5613 / 02032022</v>
      </c>
    </row>
    <row r="402" spans="1:10" x14ac:dyDescent="0.25">
      <c r="A402" t="str">
        <f>"01"</f>
        <v>01</v>
      </c>
      <c r="B402" t="str">
        <f>"006081"</f>
        <v>006081</v>
      </c>
      <c r="C402" t="s">
        <v>86</v>
      </c>
      <c r="D402">
        <v>1649</v>
      </c>
      <c r="E402" s="4">
        <v>-14664.06</v>
      </c>
      <c r="F402" s="5">
        <v>44614</v>
      </c>
      <c r="G402" t="str">
        <f>"CHECK"</f>
        <v>CHECK</v>
      </c>
      <c r="H402" t="str">
        <f>""</f>
        <v/>
      </c>
    </row>
    <row r="403" spans="1:10" x14ac:dyDescent="0.25">
      <c r="A403" t="str">
        <f>"01"</f>
        <v>01</v>
      </c>
      <c r="B403" t="str">
        <f>"006081"</f>
        <v>006081</v>
      </c>
      <c r="C403" t="s">
        <v>86</v>
      </c>
      <c r="D403">
        <v>1658</v>
      </c>
      <c r="E403" s="4">
        <v>14808.66</v>
      </c>
      <c r="F403" s="5">
        <v>44617</v>
      </c>
      <c r="G403" t="str">
        <f>"202202259366"</f>
        <v>202202259366</v>
      </c>
      <c r="H403" t="str">
        <f>"ACCT#72-5613 / 02032022"</f>
        <v>ACCT#72-5613 / 02032022</v>
      </c>
      <c r="I403" s="4">
        <v>14808.66</v>
      </c>
      <c r="J403" t="str">
        <f>"ACCT#72-5613 / 02032022"</f>
        <v>ACCT#72-5613 / 02032022</v>
      </c>
    </row>
    <row r="404" spans="1:10" x14ac:dyDescent="0.25">
      <c r="A404" t="str">
        <f>"01"</f>
        <v>01</v>
      </c>
      <c r="B404" t="str">
        <f>"BCO"</f>
        <v>BCO</v>
      </c>
      <c r="C404" t="s">
        <v>87</v>
      </c>
      <c r="D404">
        <v>138998</v>
      </c>
      <c r="E404" s="4">
        <v>34819.42</v>
      </c>
      <c r="F404" s="5">
        <v>44603</v>
      </c>
      <c r="G404" t="str">
        <f>"202202118951"</f>
        <v>202202118951</v>
      </c>
      <c r="H404" t="str">
        <f>"COUNTY DEV CENTER/01292022"</f>
        <v>COUNTY DEV CENTER/01292022</v>
      </c>
      <c r="I404" s="4">
        <v>1798.72</v>
      </c>
      <c r="J404" t="str">
        <f>"COUNTY DEV CENTER/01292022"</f>
        <v>COUNTY DEV CENTER/01292022</v>
      </c>
    </row>
    <row r="405" spans="1:10" x14ac:dyDescent="0.25">
      <c r="A405" t="str">
        <f>""</f>
        <v/>
      </c>
      <c r="B405" t="str">
        <f>""</f>
        <v/>
      </c>
      <c r="G405" t="str">
        <f>"202202118952"</f>
        <v>202202118952</v>
      </c>
      <c r="H405" t="str">
        <f>"COUNTY LAW CENTER/01/29/2022"</f>
        <v>COUNTY LAW CENTER/01/29/2022</v>
      </c>
      <c r="I405" s="4">
        <v>19813.599999999999</v>
      </c>
      <c r="J405" t="str">
        <f>"COUNTY LAW CENTER/01/29/2022"</f>
        <v>COUNTY LAW CENTER/01/29/2022</v>
      </c>
    </row>
    <row r="406" spans="1:10" x14ac:dyDescent="0.25">
      <c r="A406" t="str">
        <f>""</f>
        <v/>
      </c>
      <c r="B406" t="str">
        <f>""</f>
        <v/>
      </c>
      <c r="G406" t="str">
        <f>"202202118953"</f>
        <v>202202118953</v>
      </c>
      <c r="H406" t="str">
        <f>"COUNTY COURTHOUSE"</f>
        <v>COUNTY COURTHOUSE</v>
      </c>
      <c r="I406" s="4">
        <v>13207.1</v>
      </c>
      <c r="J406" t="str">
        <f>"COUNTY COURTHOUSE"</f>
        <v>COUNTY COURTHOUSE</v>
      </c>
    </row>
    <row r="407" spans="1:10" x14ac:dyDescent="0.25">
      <c r="A407" t="str">
        <f>"01"</f>
        <v>01</v>
      </c>
      <c r="B407" t="str">
        <f>"BCO"</f>
        <v>BCO</v>
      </c>
      <c r="C407" t="s">
        <v>87</v>
      </c>
      <c r="D407">
        <v>139235</v>
      </c>
      <c r="E407" s="4">
        <v>6482.38</v>
      </c>
      <c r="F407" s="5">
        <v>44609</v>
      </c>
      <c r="G407" t="str">
        <f>"202202179101"</f>
        <v>202202179101</v>
      </c>
      <c r="H407" t="str">
        <f>"ACCT#02-2083-04/01292022"</f>
        <v>ACCT#02-2083-04/01292022</v>
      </c>
      <c r="I407" s="4">
        <v>6482.38</v>
      </c>
      <c r="J407" t="str">
        <f>"ACCT#02-2083-04/01292022"</f>
        <v>ACCT#02-2083-04/01292022</v>
      </c>
    </row>
    <row r="408" spans="1:10" x14ac:dyDescent="0.25">
      <c r="A408" t="str">
        <f>"01"</f>
        <v>01</v>
      </c>
      <c r="B408" t="str">
        <f>"COB"</f>
        <v>COB</v>
      </c>
      <c r="C408" t="s">
        <v>87</v>
      </c>
      <c r="D408">
        <v>139273</v>
      </c>
      <c r="E408" s="4">
        <v>750</v>
      </c>
      <c r="F408" s="5">
        <v>44620</v>
      </c>
      <c r="G408" t="str">
        <f>"202202179223"</f>
        <v>202202179223</v>
      </c>
      <c r="H408" t="str">
        <f>"PARKING LOT RENTAL"</f>
        <v>PARKING LOT RENTAL</v>
      </c>
      <c r="I408" s="4">
        <v>750</v>
      </c>
      <c r="J408" t="str">
        <f>"PARKING LOT RENTAL"</f>
        <v>PARKING LOT RENTAL</v>
      </c>
    </row>
    <row r="409" spans="1:10" x14ac:dyDescent="0.25">
      <c r="A409" t="str">
        <f>"01"</f>
        <v>01</v>
      </c>
      <c r="B409" t="str">
        <f>"SCO"</f>
        <v>SCO</v>
      </c>
      <c r="C409" t="s">
        <v>88</v>
      </c>
      <c r="D409">
        <v>138999</v>
      </c>
      <c r="E409" s="4">
        <v>3173.2</v>
      </c>
      <c r="F409" s="5">
        <v>44603</v>
      </c>
      <c r="G409" t="str">
        <f>"202202118935"</f>
        <v>202202118935</v>
      </c>
      <c r="H409" t="str">
        <f>"ACCT#007-0000388-000/01312022"</f>
        <v>ACCT#007-0000388-000/01312022</v>
      </c>
      <c r="I409" s="4">
        <v>533.6</v>
      </c>
      <c r="J409" t="str">
        <f>"ACCT#007-0000388-000/01312022"</f>
        <v>ACCT#007-0000388-000/01312022</v>
      </c>
    </row>
    <row r="410" spans="1:10" x14ac:dyDescent="0.25">
      <c r="A410" t="str">
        <f>""</f>
        <v/>
      </c>
      <c r="B410" t="str">
        <f>""</f>
        <v/>
      </c>
      <c r="G410" t="str">
        <f>"202202118936"</f>
        <v>202202118936</v>
      </c>
      <c r="H410" t="str">
        <f>"ACCT#007-0000389-000/01312022"</f>
        <v>ACCT#007-0000389-000/01312022</v>
      </c>
      <c r="I410" s="4">
        <v>44.94</v>
      </c>
      <c r="J410" t="str">
        <f>"ACCT#007-0000389-000/01312022"</f>
        <v>ACCT#007-0000389-000/01312022</v>
      </c>
    </row>
    <row r="411" spans="1:10" x14ac:dyDescent="0.25">
      <c r="A411" t="str">
        <f>""</f>
        <v/>
      </c>
      <c r="B411" t="str">
        <f>""</f>
        <v/>
      </c>
      <c r="G411" t="str">
        <f>"202202118937"</f>
        <v>202202118937</v>
      </c>
      <c r="H411" t="str">
        <f>"ACCT#044-0001240-000/01312022"</f>
        <v>ACCT#044-0001240-000/01312022</v>
      </c>
      <c r="I411" s="4">
        <v>405.1</v>
      </c>
      <c r="J411" t="str">
        <f>"ACCT#044-0001240-000/01312022"</f>
        <v>ACCT#044-0001240-000/01312022</v>
      </c>
    </row>
    <row r="412" spans="1:10" x14ac:dyDescent="0.25">
      <c r="A412" t="str">
        <f>""</f>
        <v/>
      </c>
      <c r="B412" t="str">
        <f>""</f>
        <v/>
      </c>
      <c r="G412" t="str">
        <f>"202202118938"</f>
        <v>202202118938</v>
      </c>
      <c r="H412" t="str">
        <f>"ACCT#044-0001250-000/01312022"</f>
        <v>ACCT#044-0001250-000/01312022</v>
      </c>
      <c r="I412" s="4">
        <v>157.75</v>
      </c>
      <c r="J412" t="str">
        <f>"ACCT#044-0001250-000/01312022"</f>
        <v>ACCT#044-0001250-000/01312022</v>
      </c>
    </row>
    <row r="413" spans="1:10" x14ac:dyDescent="0.25">
      <c r="A413" t="str">
        <f>""</f>
        <v/>
      </c>
      <c r="B413" t="str">
        <f>""</f>
        <v/>
      </c>
      <c r="G413" t="str">
        <f>"202202118939"</f>
        <v>202202118939</v>
      </c>
      <c r="H413" t="str">
        <f>"ACCT#044-0001252-000/01312022"</f>
        <v>ACCT#044-0001252-000/01312022</v>
      </c>
      <c r="I413" s="4">
        <v>1805.43</v>
      </c>
      <c r="J413" t="str">
        <f>"ACCT#044-0001252-000/01312022"</f>
        <v>ACCT#044-0001252-000/01312022</v>
      </c>
    </row>
    <row r="414" spans="1:10" x14ac:dyDescent="0.25">
      <c r="A414" t="str">
        <f>""</f>
        <v/>
      </c>
      <c r="B414" t="str">
        <f>""</f>
        <v/>
      </c>
      <c r="G414" t="str">
        <f>"202202118940"</f>
        <v>202202118940</v>
      </c>
      <c r="H414" t="str">
        <f>"ACCT#044-0001253-000/01312022"</f>
        <v>ACCT#044-0001253-000/01312022</v>
      </c>
      <c r="I414" s="4">
        <v>226.38</v>
      </c>
      <c r="J414" t="str">
        <f>"ACCT#044-0001253-000/01312022"</f>
        <v>ACCT#044-0001253-000/01312022</v>
      </c>
    </row>
    <row r="415" spans="1:10" x14ac:dyDescent="0.25">
      <c r="A415" t="str">
        <f>"01"</f>
        <v>01</v>
      </c>
      <c r="B415" t="str">
        <f>"002198"</f>
        <v>002198</v>
      </c>
      <c r="C415" t="s">
        <v>89</v>
      </c>
      <c r="D415">
        <v>5751</v>
      </c>
      <c r="E415" s="4">
        <v>854</v>
      </c>
      <c r="F415" s="5">
        <v>44607</v>
      </c>
      <c r="G415" t="str">
        <f>"PMA-0083789"</f>
        <v>PMA-0083789</v>
      </c>
      <c r="H415" t="str">
        <f>"CUST#0020272/BASTROP TOWER"</f>
        <v>CUST#0020272/BASTROP TOWER</v>
      </c>
      <c r="I415" s="4">
        <v>184.5</v>
      </c>
      <c r="J415" t="str">
        <f>"CUST#0020272/BASTROP TOWER"</f>
        <v>CUST#0020272/BASTROP TOWER</v>
      </c>
    </row>
    <row r="416" spans="1:10" x14ac:dyDescent="0.25">
      <c r="A416" t="str">
        <f>""</f>
        <v/>
      </c>
      <c r="B416" t="str">
        <f>""</f>
        <v/>
      </c>
      <c r="G416" t="str">
        <f>"PMA-0083790"</f>
        <v>PMA-0083790</v>
      </c>
      <c r="H416" t="str">
        <f>"CUST#0020272/SMITHVILLE TOWER"</f>
        <v>CUST#0020272/SMITHVILLE TOWER</v>
      </c>
      <c r="I416" s="4">
        <v>210.5</v>
      </c>
      <c r="J416" t="str">
        <f>"CUST#0020272/SMITHVILLE TOWER"</f>
        <v>CUST#0020272/SMITHVILLE TOWER</v>
      </c>
    </row>
    <row r="417" spans="1:10" x14ac:dyDescent="0.25">
      <c r="A417" t="str">
        <f>""</f>
        <v/>
      </c>
      <c r="B417" t="str">
        <f>""</f>
        <v/>
      </c>
      <c r="G417" t="str">
        <f>"PMA-0083791"</f>
        <v>PMA-0083791</v>
      </c>
      <c r="H417" t="str">
        <f>"PMA-013606"</f>
        <v>PMA-013606</v>
      </c>
      <c r="I417" s="4">
        <v>459</v>
      </c>
      <c r="J417" t="str">
        <f>"PMA-013606"</f>
        <v>PMA-013606</v>
      </c>
    </row>
    <row r="418" spans="1:10" x14ac:dyDescent="0.25">
      <c r="A418" t="str">
        <f t="shared" ref="A418:A430" si="13">"01"</f>
        <v>01</v>
      </c>
      <c r="B418" t="str">
        <f>"CLINIC"</f>
        <v>CLINIC</v>
      </c>
      <c r="C418" t="s">
        <v>90</v>
      </c>
      <c r="D418">
        <v>5782</v>
      </c>
      <c r="E418" s="4">
        <v>422.48</v>
      </c>
      <c r="F418" s="5">
        <v>44607</v>
      </c>
      <c r="G418" t="str">
        <f>"1278-202112"</f>
        <v>1278-202112</v>
      </c>
      <c r="H418" t="str">
        <f>"INV 1278-202112-0"</f>
        <v>INV 1278-202112-0</v>
      </c>
      <c r="I418" s="4">
        <v>422.48</v>
      </c>
      <c r="J418" t="str">
        <f>"INV 1278-202112-0"</f>
        <v>INV 1278-202112-0</v>
      </c>
    </row>
    <row r="419" spans="1:10" x14ac:dyDescent="0.25">
      <c r="A419" t="str">
        <f t="shared" si="13"/>
        <v>01</v>
      </c>
      <c r="B419" t="str">
        <f>"CPA"</f>
        <v>CPA</v>
      </c>
      <c r="C419" t="s">
        <v>91</v>
      </c>
      <c r="D419">
        <v>139274</v>
      </c>
      <c r="E419" s="4">
        <v>28.87</v>
      </c>
      <c r="F419" s="5">
        <v>44620</v>
      </c>
      <c r="G419" t="str">
        <f>"202202229271"</f>
        <v>202202229271</v>
      </c>
      <c r="H419" t="str">
        <f>"INDIGENT HEALTH"</f>
        <v>INDIGENT HEALTH</v>
      </c>
      <c r="I419" s="4">
        <v>28.87</v>
      </c>
      <c r="J419" t="str">
        <f>"INDIGENT HEALTH"</f>
        <v>INDIGENT HEALTH</v>
      </c>
    </row>
    <row r="420" spans="1:10" x14ac:dyDescent="0.25">
      <c r="A420" t="str">
        <f t="shared" si="13"/>
        <v>01</v>
      </c>
      <c r="B420" t="str">
        <f>"005665"</f>
        <v>005665</v>
      </c>
      <c r="C420" t="s">
        <v>92</v>
      </c>
      <c r="D420">
        <v>139275</v>
      </c>
      <c r="E420" s="4">
        <v>1167</v>
      </c>
      <c r="F420" s="5">
        <v>44620</v>
      </c>
      <c r="G420" t="str">
        <f>"29004"</f>
        <v>29004</v>
      </c>
      <c r="H420" t="str">
        <f>"INV 221345-19-001"</f>
        <v>INV 221345-19-001</v>
      </c>
      <c r="I420" s="4">
        <v>1167</v>
      </c>
      <c r="J420" t="str">
        <f>"INV 221345-19-001"</f>
        <v>INV 221345-19-001</v>
      </c>
    </row>
    <row r="421" spans="1:10" x14ac:dyDescent="0.25">
      <c r="A421" t="str">
        <f t="shared" si="13"/>
        <v>01</v>
      </c>
      <c r="B421" t="str">
        <f>"002539"</f>
        <v>002539</v>
      </c>
      <c r="C421" t="s">
        <v>93</v>
      </c>
      <c r="D421">
        <v>139276</v>
      </c>
      <c r="E421" s="4">
        <v>75</v>
      </c>
      <c r="F421" s="5">
        <v>44620</v>
      </c>
      <c r="G421" t="str">
        <f>"13304"</f>
        <v>13304</v>
      </c>
      <c r="H421" t="str">
        <f>"SERVICE"</f>
        <v>SERVICE</v>
      </c>
      <c r="I421" s="4">
        <v>75</v>
      </c>
      <c r="J421" t="str">
        <f>"SERVICE"</f>
        <v>SERVICE</v>
      </c>
    </row>
    <row r="422" spans="1:10" x14ac:dyDescent="0.25">
      <c r="A422" t="str">
        <f t="shared" si="13"/>
        <v>01</v>
      </c>
      <c r="B422" t="str">
        <f>"T10770"</f>
        <v>T10770</v>
      </c>
      <c r="C422" t="s">
        <v>94</v>
      </c>
      <c r="D422">
        <v>139045</v>
      </c>
      <c r="E422" s="4">
        <v>65.22</v>
      </c>
      <c r="F422" s="5">
        <v>44606</v>
      </c>
      <c r="G422" t="str">
        <f>"202202098842"</f>
        <v>202202098842</v>
      </c>
      <c r="H422" t="str">
        <f>"JAIL MEDICAL"</f>
        <v>JAIL MEDICAL</v>
      </c>
      <c r="I422" s="4">
        <v>65.22</v>
      </c>
      <c r="J422" t="str">
        <f>"JAIL MEDICAL"</f>
        <v>JAIL MEDICAL</v>
      </c>
    </row>
    <row r="423" spans="1:10" x14ac:dyDescent="0.25">
      <c r="A423" t="str">
        <f t="shared" si="13"/>
        <v>01</v>
      </c>
      <c r="B423" t="str">
        <f>"002480"</f>
        <v>002480</v>
      </c>
      <c r="C423" t="s">
        <v>95</v>
      </c>
      <c r="D423">
        <v>139277</v>
      </c>
      <c r="E423" s="4">
        <v>280</v>
      </c>
      <c r="F423" s="5">
        <v>44620</v>
      </c>
      <c r="G423" t="str">
        <f>"12225"</f>
        <v>12225</v>
      </c>
      <c r="H423" t="str">
        <f>"SERVICE"</f>
        <v>SERVICE</v>
      </c>
      <c r="I423" s="4">
        <v>280</v>
      </c>
      <c r="J423" t="str">
        <f>"SERVICE"</f>
        <v>SERVICE</v>
      </c>
    </row>
    <row r="424" spans="1:10" x14ac:dyDescent="0.25">
      <c r="A424" t="str">
        <f t="shared" si="13"/>
        <v>01</v>
      </c>
      <c r="B424" t="str">
        <f>"006620"</f>
        <v>006620</v>
      </c>
      <c r="C424" t="s">
        <v>96</v>
      </c>
      <c r="D424">
        <v>139046</v>
      </c>
      <c r="E424" s="4">
        <v>225</v>
      </c>
      <c r="F424" s="5">
        <v>44606</v>
      </c>
      <c r="G424" t="str">
        <f>"841"</f>
        <v>841</v>
      </c>
      <c r="H424" t="str">
        <f>"SERVICES/JAN 2022"</f>
        <v>SERVICES/JAN 2022</v>
      </c>
      <c r="I424" s="4">
        <v>225</v>
      </c>
      <c r="J424" t="str">
        <f>"SERVICES/JAN 2022"</f>
        <v>SERVICES/JAN 2022</v>
      </c>
    </row>
    <row r="425" spans="1:10" x14ac:dyDescent="0.25">
      <c r="A425" t="str">
        <f t="shared" si="13"/>
        <v>01</v>
      </c>
      <c r="B425" t="str">
        <f>"T14437"</f>
        <v>T14437</v>
      </c>
      <c r="C425" t="s">
        <v>97</v>
      </c>
      <c r="D425">
        <v>139278</v>
      </c>
      <c r="E425" s="4">
        <v>129.87</v>
      </c>
      <c r="F425" s="5">
        <v>44620</v>
      </c>
      <c r="G425" t="str">
        <f>"202202239334"</f>
        <v>202202239334</v>
      </c>
      <c r="H425" t="str">
        <f>"REIMBURSE CONNIE RABEL"</f>
        <v>REIMBURSE CONNIE RABEL</v>
      </c>
      <c r="I425" s="4">
        <v>129.87</v>
      </c>
      <c r="J425" t="str">
        <f>"REIMBURSE CONNIE RABEL"</f>
        <v>REIMBURSE CONNIE RABEL</v>
      </c>
    </row>
    <row r="426" spans="1:10" x14ac:dyDescent="0.25">
      <c r="A426" t="str">
        <f t="shared" si="13"/>
        <v>01</v>
      </c>
      <c r="B426" t="str">
        <f>"000266"</f>
        <v>000266</v>
      </c>
      <c r="C426" t="s">
        <v>98</v>
      </c>
      <c r="D426">
        <v>139047</v>
      </c>
      <c r="E426" s="4">
        <v>30</v>
      </c>
      <c r="F426" s="5">
        <v>44606</v>
      </c>
      <c r="G426" t="str">
        <f>"13-651 1/24/22"</f>
        <v>13-651 1/24/22</v>
      </c>
      <c r="H426" t="str">
        <f>"RESTITUTION/KATHY PURCHELL"</f>
        <v>RESTITUTION/KATHY PURCHELL</v>
      </c>
      <c r="I426" s="4">
        <v>30</v>
      </c>
      <c r="J426" t="str">
        <f>"RESTITUTION/KATHY PURCHELL"</f>
        <v>RESTITUTION/KATHY PURCHELL</v>
      </c>
    </row>
    <row r="427" spans="1:10" x14ac:dyDescent="0.25">
      <c r="A427" t="str">
        <f t="shared" si="13"/>
        <v>01</v>
      </c>
      <c r="B427" t="str">
        <f>"CONTEC"</f>
        <v>CONTEC</v>
      </c>
      <c r="C427" t="s">
        <v>99</v>
      </c>
      <c r="D427">
        <v>139279</v>
      </c>
      <c r="E427" s="4">
        <v>3321.6</v>
      </c>
      <c r="F427" s="5">
        <v>44620</v>
      </c>
      <c r="G427" t="str">
        <f>"24383788"</f>
        <v>24383788</v>
      </c>
      <c r="H427" t="str">
        <f>"ACCT#434304/PCT#4"</f>
        <v>ACCT#434304/PCT#4</v>
      </c>
      <c r="I427" s="4">
        <v>3321.6</v>
      </c>
      <c r="J427" t="str">
        <f>"ACCT#434304/PCT#4"</f>
        <v>ACCT#434304/PCT#4</v>
      </c>
    </row>
    <row r="428" spans="1:10" x14ac:dyDescent="0.25">
      <c r="A428" t="str">
        <f t="shared" si="13"/>
        <v>01</v>
      </c>
      <c r="B428" t="str">
        <f>"RP-CC"</f>
        <v>RP-CC</v>
      </c>
      <c r="C428" t="s">
        <v>45</v>
      </c>
      <c r="D428">
        <v>139048</v>
      </c>
      <c r="E428" s="4">
        <v>932</v>
      </c>
      <c r="F428" s="5">
        <v>44606</v>
      </c>
      <c r="G428" t="str">
        <f>"202202098928"</f>
        <v>202202098928</v>
      </c>
      <c r="H428" t="str">
        <f>"DEVELOPMENT SVCS REC FEES"</f>
        <v>DEVELOPMENT SVCS REC FEES</v>
      </c>
      <c r="I428" s="4">
        <v>932</v>
      </c>
      <c r="J428" t="str">
        <f>"DEVELOPMENT SVCS REC FEES"</f>
        <v>DEVELOPMENT SVCS REC FEES</v>
      </c>
    </row>
    <row r="429" spans="1:10" x14ac:dyDescent="0.25">
      <c r="A429" t="str">
        <f t="shared" si="13"/>
        <v>01</v>
      </c>
      <c r="B429" t="str">
        <f>"RP-CC"</f>
        <v>RP-CC</v>
      </c>
      <c r="C429" t="s">
        <v>45</v>
      </c>
      <c r="D429">
        <v>139280</v>
      </c>
      <c r="E429" s="4">
        <v>413</v>
      </c>
      <c r="F429" s="5">
        <v>44620</v>
      </c>
      <c r="G429" t="str">
        <f>"202202239329"</f>
        <v>202202239329</v>
      </c>
      <c r="H429" t="str">
        <f>"DEVELOPMENT SVCS RECORDING FEE"</f>
        <v>DEVELOPMENT SVCS RECORDING FEE</v>
      </c>
      <c r="I429" s="4">
        <v>413</v>
      </c>
      <c r="J429" t="str">
        <f>"DEVELOPMENT SVCS RECORDING FEE"</f>
        <v>DEVELOPMENT SVCS RECORDING FEE</v>
      </c>
    </row>
    <row r="430" spans="1:10" x14ac:dyDescent="0.25">
      <c r="A430" t="str">
        <f t="shared" si="13"/>
        <v>01</v>
      </c>
      <c r="B430" t="str">
        <f>"002443"</f>
        <v>002443</v>
      </c>
      <c r="C430" t="s">
        <v>100</v>
      </c>
      <c r="D430">
        <v>139049</v>
      </c>
      <c r="E430" s="4">
        <v>310</v>
      </c>
      <c r="F430" s="5">
        <v>44606</v>
      </c>
      <c r="G430" t="str">
        <f>"12273"</f>
        <v>12273</v>
      </c>
      <c r="H430" t="str">
        <f t="shared" ref="H430:H436" si="14">"SERVICE"</f>
        <v>SERVICE</v>
      </c>
      <c r="I430" s="4">
        <v>160</v>
      </c>
      <c r="J430" t="str">
        <f>"SERVICE"</f>
        <v>SERVICE</v>
      </c>
    </row>
    <row r="431" spans="1:10" x14ac:dyDescent="0.25">
      <c r="A431" t="str">
        <f>""</f>
        <v/>
      </c>
      <c r="B431" t="str">
        <f>""</f>
        <v/>
      </c>
      <c r="G431" t="str">
        <f>"12906"</f>
        <v>12906</v>
      </c>
      <c r="H431" t="str">
        <f t="shared" si="14"/>
        <v>SERVICE</v>
      </c>
      <c r="I431" s="4">
        <v>150</v>
      </c>
      <c r="J431" t="str">
        <f>"SERVICE"</f>
        <v>SERVICE</v>
      </c>
    </row>
    <row r="432" spans="1:10" x14ac:dyDescent="0.25">
      <c r="A432" t="str">
        <f>"01"</f>
        <v>01</v>
      </c>
      <c r="B432" t="str">
        <f>"002443"</f>
        <v>002443</v>
      </c>
      <c r="C432" t="s">
        <v>100</v>
      </c>
      <c r="D432">
        <v>139281</v>
      </c>
      <c r="E432" s="4">
        <v>630</v>
      </c>
      <c r="F432" s="5">
        <v>44620</v>
      </c>
      <c r="G432" t="str">
        <f>"12506"</f>
        <v>12506</v>
      </c>
      <c r="H432" t="str">
        <f t="shared" si="14"/>
        <v>SERVICE</v>
      </c>
    </row>
    <row r="433" spans="1:10" x14ac:dyDescent="0.25">
      <c r="A433" t="str">
        <f>""</f>
        <v/>
      </c>
      <c r="B433" t="str">
        <f>""</f>
        <v/>
      </c>
      <c r="G433" t="str">
        <f>"12527"</f>
        <v>12527</v>
      </c>
      <c r="H433" t="str">
        <f t="shared" si="14"/>
        <v>SERVICE</v>
      </c>
    </row>
    <row r="434" spans="1:10" x14ac:dyDescent="0.25">
      <c r="A434" t="str">
        <f>""</f>
        <v/>
      </c>
      <c r="B434" t="str">
        <f>""</f>
        <v/>
      </c>
      <c r="G434" t="str">
        <f>"12934"</f>
        <v>12934</v>
      </c>
      <c r="H434" t="str">
        <f t="shared" si="14"/>
        <v>SERVICE</v>
      </c>
    </row>
    <row r="435" spans="1:10" x14ac:dyDescent="0.25">
      <c r="A435" t="str">
        <f>""</f>
        <v/>
      </c>
      <c r="B435" t="str">
        <f>""</f>
        <v/>
      </c>
      <c r="G435" t="str">
        <f>"13141"</f>
        <v>13141</v>
      </c>
      <c r="H435" t="str">
        <f t="shared" si="14"/>
        <v>SERVICE</v>
      </c>
    </row>
    <row r="436" spans="1:10" x14ac:dyDescent="0.25">
      <c r="A436" t="str">
        <f>""</f>
        <v/>
      </c>
      <c r="B436" t="str">
        <f>""</f>
        <v/>
      </c>
      <c r="G436" t="str">
        <f>"13836"</f>
        <v>13836</v>
      </c>
      <c r="H436" t="str">
        <f t="shared" si="14"/>
        <v>SERVICE</v>
      </c>
    </row>
    <row r="437" spans="1:10" x14ac:dyDescent="0.25">
      <c r="A437" t="str">
        <f>"01"</f>
        <v>01</v>
      </c>
      <c r="B437" t="str">
        <f>"005606"</f>
        <v>005606</v>
      </c>
      <c r="C437" t="s">
        <v>101</v>
      </c>
      <c r="D437">
        <v>139050</v>
      </c>
      <c r="E437" s="4">
        <v>280.98</v>
      </c>
      <c r="F437" s="5">
        <v>44606</v>
      </c>
      <c r="G437" t="str">
        <f>"VY80270"</f>
        <v>VY80270</v>
      </c>
      <c r="H437" t="str">
        <f>"ACCT#68930/ANIMAL SHELTER"</f>
        <v>ACCT#68930/ANIMAL SHELTER</v>
      </c>
      <c r="I437" s="4">
        <v>215.73</v>
      </c>
      <c r="J437" t="str">
        <f>"ACCT#68930/ANIMAL SHELTER"</f>
        <v>ACCT#68930/ANIMAL SHELTER</v>
      </c>
    </row>
    <row r="438" spans="1:10" x14ac:dyDescent="0.25">
      <c r="A438" t="str">
        <f>""</f>
        <v/>
      </c>
      <c r="B438" t="str">
        <f>""</f>
        <v/>
      </c>
      <c r="G438" t="str">
        <f>"WA09880"</f>
        <v>WA09880</v>
      </c>
      <c r="H438" t="str">
        <f>"ACCT#68930/ANIMAL SHELTER"</f>
        <v>ACCT#68930/ANIMAL SHELTER</v>
      </c>
      <c r="I438" s="4">
        <v>65.25</v>
      </c>
      <c r="J438" t="str">
        <f>"ACCT#68930/ANIMAL SHELTER"</f>
        <v>ACCT#68930/ANIMAL SHELTER</v>
      </c>
    </row>
    <row r="439" spans="1:10" x14ac:dyDescent="0.25">
      <c r="A439" t="str">
        <f>"01"</f>
        <v>01</v>
      </c>
      <c r="B439" t="str">
        <f>"005606"</f>
        <v>005606</v>
      </c>
      <c r="C439" t="s">
        <v>101</v>
      </c>
      <c r="D439">
        <v>139282</v>
      </c>
      <c r="E439" s="4">
        <v>651.91999999999996</v>
      </c>
      <c r="F439" s="5">
        <v>44620</v>
      </c>
      <c r="G439" t="str">
        <f>"WB86754"</f>
        <v>WB86754</v>
      </c>
      <c r="H439" t="str">
        <f>"ACCT#68930-000/ANIMAL SVCS"</f>
        <v>ACCT#68930-000/ANIMAL SVCS</v>
      </c>
      <c r="I439" s="4">
        <v>119.9</v>
      </c>
      <c r="J439" t="str">
        <f>"ACCT#68930-000/ANIMAL SVCS"</f>
        <v>ACCT#68930-000/ANIMAL SVCS</v>
      </c>
    </row>
    <row r="440" spans="1:10" x14ac:dyDescent="0.25">
      <c r="A440" t="str">
        <f>""</f>
        <v/>
      </c>
      <c r="B440" t="str">
        <f>""</f>
        <v/>
      </c>
      <c r="G440" t="str">
        <f>"WB95716"</f>
        <v>WB95716</v>
      </c>
      <c r="H440" t="str">
        <f>"ACCT#68930-000/ANIMAL SVCS"</f>
        <v>ACCT#68930-000/ANIMAL SVCS</v>
      </c>
      <c r="I440" s="4">
        <v>344.62</v>
      </c>
      <c r="J440" t="str">
        <f>"ACCT#68930-000/ANIMAL SVCS"</f>
        <v>ACCT#68930-000/ANIMAL SVCS</v>
      </c>
    </row>
    <row r="441" spans="1:10" x14ac:dyDescent="0.25">
      <c r="A441" t="str">
        <f>""</f>
        <v/>
      </c>
      <c r="B441" t="str">
        <f>""</f>
        <v/>
      </c>
      <c r="G441" t="str">
        <f>"WC81196"</f>
        <v>WC81196</v>
      </c>
      <c r="H441" t="str">
        <f>"ACCT#68930-000/ANIMAL SVCS"</f>
        <v>ACCT#68930-000/ANIMAL SVCS</v>
      </c>
      <c r="I441" s="4">
        <v>187.4</v>
      </c>
      <c r="J441" t="str">
        <f>"ACCT#68930-000/ANIMAL SVCS"</f>
        <v>ACCT#68930-000/ANIMAL SVCS</v>
      </c>
    </row>
    <row r="442" spans="1:10" x14ac:dyDescent="0.25">
      <c r="A442" t="str">
        <f>"01"</f>
        <v>01</v>
      </c>
      <c r="B442" t="str">
        <f>"006417"</f>
        <v>006417</v>
      </c>
      <c r="C442" t="s">
        <v>102</v>
      </c>
      <c r="D442">
        <v>139051</v>
      </c>
      <c r="E442" s="4">
        <v>25</v>
      </c>
      <c r="F442" s="5">
        <v>44606</v>
      </c>
      <c r="G442" t="str">
        <f>"13-163 1/24/22"</f>
        <v>13-163 1/24/22</v>
      </c>
      <c r="H442" t="str">
        <f>"RESTITUTION/M. MANZANARES"</f>
        <v>RESTITUTION/M. MANZANARES</v>
      </c>
      <c r="I442" s="4">
        <v>25</v>
      </c>
      <c r="J442" t="str">
        <f>"RESTITUTION/M. MANZANARES"</f>
        <v>RESTITUTION/M. MANZANARES</v>
      </c>
    </row>
    <row r="443" spans="1:10" x14ac:dyDescent="0.25">
      <c r="A443" t="str">
        <f>"01"</f>
        <v>01</v>
      </c>
      <c r="B443" t="str">
        <f>"004106"</f>
        <v>004106</v>
      </c>
      <c r="C443" t="s">
        <v>103</v>
      </c>
      <c r="D443">
        <v>139052</v>
      </c>
      <c r="E443" s="4">
        <v>2750</v>
      </c>
      <c r="F443" s="5">
        <v>44606</v>
      </c>
      <c r="G443" t="str">
        <f>"202201268577"</f>
        <v>202201268577</v>
      </c>
      <c r="H443" t="str">
        <f>"PSYCH EVAL/CHRISTOPHER STONE"</f>
        <v>PSYCH EVAL/CHRISTOPHER STONE</v>
      </c>
      <c r="I443" s="4">
        <v>250</v>
      </c>
      <c r="J443" t="str">
        <f>"PSYCH EVAL/CHRISTOPHER STONE"</f>
        <v>PSYCH EVAL/CHRISTOPHER STONE</v>
      </c>
    </row>
    <row r="444" spans="1:10" x14ac:dyDescent="0.25">
      <c r="A444" t="str">
        <f>""</f>
        <v/>
      </c>
      <c r="B444" t="str">
        <f>""</f>
        <v/>
      </c>
      <c r="G444" t="str">
        <f>"202202088824"</f>
        <v>202202088824</v>
      </c>
      <c r="H444" t="str">
        <f>"INV NOV-JAN"</f>
        <v>INV NOV-JAN</v>
      </c>
      <c r="I444" s="4">
        <v>2500</v>
      </c>
      <c r="J444" t="str">
        <f>"INV NOV-JAN"</f>
        <v>INV NOV-JAN</v>
      </c>
    </row>
    <row r="445" spans="1:10" x14ac:dyDescent="0.25">
      <c r="A445" t="str">
        <f>"01"</f>
        <v>01</v>
      </c>
      <c r="B445" t="str">
        <f>"CUMMIN"</f>
        <v>CUMMIN</v>
      </c>
      <c r="C445" t="s">
        <v>104</v>
      </c>
      <c r="D445">
        <v>139053</v>
      </c>
      <c r="E445" s="4">
        <v>7976.74</v>
      </c>
      <c r="F445" s="5">
        <v>44606</v>
      </c>
      <c r="G445" t="str">
        <f>"1409885"</f>
        <v>1409885</v>
      </c>
      <c r="H445" t="str">
        <f>"CUST#23813/TAX OFFICE"</f>
        <v>CUST#23813/TAX OFFICE</v>
      </c>
      <c r="I445" s="4">
        <v>616.72</v>
      </c>
      <c r="J445" t="str">
        <f>"CUST#23813/TAX OFFICE"</f>
        <v>CUST#23813/TAX OFFICE</v>
      </c>
    </row>
    <row r="446" spans="1:10" x14ac:dyDescent="0.25">
      <c r="A446" t="str">
        <f>""</f>
        <v/>
      </c>
      <c r="B446" t="str">
        <f>""</f>
        <v/>
      </c>
      <c r="G446" t="str">
        <f>"202202088813"</f>
        <v>202202088813</v>
      </c>
      <c r="H446" t="str">
        <f>"Money Counter"</f>
        <v>Money Counter</v>
      </c>
      <c r="I446" s="4">
        <v>5540</v>
      </c>
      <c r="J446" t="str">
        <f>"480-9310-00"</f>
        <v>480-9310-00</v>
      </c>
    </row>
    <row r="447" spans="1:10" x14ac:dyDescent="0.25">
      <c r="A447" t="str">
        <f>""</f>
        <v/>
      </c>
      <c r="B447" t="str">
        <f>""</f>
        <v/>
      </c>
      <c r="G447" t="str">
        <f>""</f>
        <v/>
      </c>
      <c r="H447" t="str">
        <f>""</f>
        <v/>
      </c>
      <c r="I447" s="4">
        <v>766</v>
      </c>
      <c r="J447" t="str">
        <f>"122-0431-00"</f>
        <v>122-0431-00</v>
      </c>
    </row>
    <row r="448" spans="1:10" x14ac:dyDescent="0.25">
      <c r="A448" t="str">
        <f>""</f>
        <v/>
      </c>
      <c r="B448" t="str">
        <f>""</f>
        <v/>
      </c>
      <c r="G448" t="str">
        <f>""</f>
        <v/>
      </c>
      <c r="H448" t="str">
        <f>""</f>
        <v/>
      </c>
      <c r="I448" s="4">
        <v>752</v>
      </c>
      <c r="J448" t="str">
        <f>"Preventative Maint."</f>
        <v>Preventative Maint.</v>
      </c>
    </row>
    <row r="449" spans="1:10" x14ac:dyDescent="0.25">
      <c r="A449" t="str">
        <f>""</f>
        <v/>
      </c>
      <c r="B449" t="str">
        <f>""</f>
        <v/>
      </c>
      <c r="G449" t="str">
        <f>""</f>
        <v/>
      </c>
      <c r="H449" t="str">
        <f>""</f>
        <v/>
      </c>
      <c r="I449" s="4">
        <v>210.52</v>
      </c>
      <c r="J449" t="str">
        <f>"Pricing Surcharge"</f>
        <v>Pricing Surcharge</v>
      </c>
    </row>
    <row r="450" spans="1:10" x14ac:dyDescent="0.25">
      <c r="A450" t="str">
        <f>""</f>
        <v/>
      </c>
      <c r="B450" t="str">
        <f>""</f>
        <v/>
      </c>
      <c r="G450" t="str">
        <f>""</f>
        <v/>
      </c>
      <c r="H450" t="str">
        <f>""</f>
        <v/>
      </c>
      <c r="I450" s="4">
        <v>91.5</v>
      </c>
      <c r="J450" t="str">
        <f>"Freight"</f>
        <v>Freight</v>
      </c>
    </row>
    <row r="451" spans="1:10" x14ac:dyDescent="0.25">
      <c r="A451" t="str">
        <f>"01"</f>
        <v>01</v>
      </c>
      <c r="B451" t="str">
        <f>"002352"</f>
        <v>002352</v>
      </c>
      <c r="C451" t="s">
        <v>105</v>
      </c>
      <c r="D451">
        <v>139283</v>
      </c>
      <c r="E451" s="4">
        <v>320</v>
      </c>
      <c r="F451" s="5">
        <v>44620</v>
      </c>
      <c r="G451" t="str">
        <f>"13028"</f>
        <v>13028</v>
      </c>
      <c r="H451" t="str">
        <f>"SERVICE"</f>
        <v>SERVICE</v>
      </c>
      <c r="I451" s="4">
        <v>320</v>
      </c>
      <c r="J451" t="str">
        <f>"SERVICE"</f>
        <v>SERVICE</v>
      </c>
    </row>
    <row r="452" spans="1:10" x14ac:dyDescent="0.25">
      <c r="A452" t="str">
        <f>"01"</f>
        <v>01</v>
      </c>
      <c r="B452" t="str">
        <f>"BROOKS"</f>
        <v>BROOKS</v>
      </c>
      <c r="C452" t="s">
        <v>106</v>
      </c>
      <c r="D452">
        <v>5778</v>
      </c>
      <c r="E452" s="4">
        <v>100</v>
      </c>
      <c r="F452" s="5">
        <v>44607</v>
      </c>
      <c r="G452" t="str">
        <f>"202202088802"</f>
        <v>202202088802</v>
      </c>
      <c r="H452" t="str">
        <f>"JAN 2022/LEGAL CONSULT"</f>
        <v>JAN 2022/LEGAL CONSULT</v>
      </c>
      <c r="I452" s="4">
        <v>100</v>
      </c>
      <c r="J452" t="str">
        <f>"JAN 2022/LEGAL CONSULT"</f>
        <v>JAN 2022/LEGAL CONSULT</v>
      </c>
    </row>
    <row r="453" spans="1:10" x14ac:dyDescent="0.25">
      <c r="A453" t="str">
        <f>"01"</f>
        <v>01</v>
      </c>
      <c r="B453" t="str">
        <f>"JDL"</f>
        <v>JDL</v>
      </c>
      <c r="C453" t="s">
        <v>107</v>
      </c>
      <c r="D453">
        <v>139054</v>
      </c>
      <c r="E453" s="4">
        <v>97.6</v>
      </c>
      <c r="F453" s="5">
        <v>44606</v>
      </c>
      <c r="G453" t="str">
        <f>"202202098844"</f>
        <v>202202098844</v>
      </c>
      <c r="H453" t="str">
        <f>"TRAVEL EXPENSE/DAVID LEWIS"</f>
        <v>TRAVEL EXPENSE/DAVID LEWIS</v>
      </c>
      <c r="I453" s="4">
        <v>97.6</v>
      </c>
      <c r="J453" t="str">
        <f>"TRAVEL EXPENSE/DAVID LEWIS"</f>
        <v>TRAVEL EXPENSE/DAVID LEWIS</v>
      </c>
    </row>
    <row r="454" spans="1:10" x14ac:dyDescent="0.25">
      <c r="A454" t="str">
        <f>"01"</f>
        <v>01</v>
      </c>
      <c r="B454" t="str">
        <f>"003335"</f>
        <v>003335</v>
      </c>
      <c r="C454" t="s">
        <v>108</v>
      </c>
      <c r="D454">
        <v>5756</v>
      </c>
      <c r="E454" s="4">
        <v>1700</v>
      </c>
      <c r="F454" s="5">
        <v>44607</v>
      </c>
      <c r="G454" t="str">
        <f>"202201258542"</f>
        <v>202201258542</v>
      </c>
      <c r="H454" t="str">
        <f>"21-21042"</f>
        <v>21-21042</v>
      </c>
      <c r="I454" s="4">
        <v>125</v>
      </c>
      <c r="J454" t="str">
        <f>"21-21042"</f>
        <v>21-21042</v>
      </c>
    </row>
    <row r="455" spans="1:10" x14ac:dyDescent="0.25">
      <c r="A455" t="str">
        <f>""</f>
        <v/>
      </c>
      <c r="B455" t="str">
        <f>""</f>
        <v/>
      </c>
      <c r="G455" t="str">
        <f>"202201258543"</f>
        <v>202201258543</v>
      </c>
      <c r="H455" t="str">
        <f>"21-21018"</f>
        <v>21-21018</v>
      </c>
      <c r="I455" s="4">
        <v>125</v>
      </c>
      <c r="J455" t="str">
        <f>"21-21018"</f>
        <v>21-21018</v>
      </c>
    </row>
    <row r="456" spans="1:10" x14ac:dyDescent="0.25">
      <c r="A456" t="str">
        <f>""</f>
        <v/>
      </c>
      <c r="B456" t="str">
        <f>""</f>
        <v/>
      </c>
      <c r="G456" t="str">
        <f>"202201258544"</f>
        <v>202201258544</v>
      </c>
      <c r="H456" t="str">
        <f>"21-20936"</f>
        <v>21-20936</v>
      </c>
      <c r="I456" s="4">
        <v>100</v>
      </c>
      <c r="J456" t="str">
        <f>"21-20936"</f>
        <v>21-20936</v>
      </c>
    </row>
    <row r="457" spans="1:10" x14ac:dyDescent="0.25">
      <c r="A457" t="str">
        <f>""</f>
        <v/>
      </c>
      <c r="B457" t="str">
        <f>""</f>
        <v/>
      </c>
      <c r="G457" t="str">
        <f>"202201258545"</f>
        <v>202201258545</v>
      </c>
      <c r="H457" t="str">
        <f>"21-20813"</f>
        <v>21-20813</v>
      </c>
      <c r="I457" s="4">
        <v>350</v>
      </c>
      <c r="J457" t="str">
        <f>"21-20813"</f>
        <v>21-20813</v>
      </c>
    </row>
    <row r="458" spans="1:10" x14ac:dyDescent="0.25">
      <c r="A458" t="str">
        <f>""</f>
        <v/>
      </c>
      <c r="B458" t="str">
        <f>""</f>
        <v/>
      </c>
      <c r="G458" t="str">
        <f>"202201258546"</f>
        <v>202201258546</v>
      </c>
      <c r="H458" t="str">
        <f>"21-20594"</f>
        <v>21-20594</v>
      </c>
      <c r="I458" s="4">
        <v>137.5</v>
      </c>
      <c r="J458" t="str">
        <f>"21-20594"</f>
        <v>21-20594</v>
      </c>
    </row>
    <row r="459" spans="1:10" x14ac:dyDescent="0.25">
      <c r="A459" t="str">
        <f>""</f>
        <v/>
      </c>
      <c r="B459" t="str">
        <f>""</f>
        <v/>
      </c>
      <c r="G459" t="str">
        <f>"202201258547"</f>
        <v>202201258547</v>
      </c>
      <c r="H459" t="str">
        <f>"20-20394"</f>
        <v>20-20394</v>
      </c>
      <c r="I459" s="4">
        <v>537.5</v>
      </c>
      <c r="J459" t="str">
        <f>"20-20394"</f>
        <v>20-20394</v>
      </c>
    </row>
    <row r="460" spans="1:10" x14ac:dyDescent="0.25">
      <c r="A460" t="str">
        <f>""</f>
        <v/>
      </c>
      <c r="B460" t="str">
        <f>""</f>
        <v/>
      </c>
      <c r="G460" t="str">
        <f>"202201258548"</f>
        <v>202201258548</v>
      </c>
      <c r="H460" t="str">
        <f>"20-20056"</f>
        <v>20-20056</v>
      </c>
      <c r="I460" s="4">
        <v>87.5</v>
      </c>
      <c r="J460" t="str">
        <f>"20-20056"</f>
        <v>20-20056</v>
      </c>
    </row>
    <row r="461" spans="1:10" x14ac:dyDescent="0.25">
      <c r="A461" t="str">
        <f>""</f>
        <v/>
      </c>
      <c r="B461" t="str">
        <f>""</f>
        <v/>
      </c>
      <c r="G461" t="str">
        <f>"202201258549"</f>
        <v>202201258549</v>
      </c>
      <c r="H461" t="str">
        <f>"17-18754"</f>
        <v>17-18754</v>
      </c>
      <c r="I461" s="4">
        <v>87.5</v>
      </c>
      <c r="J461" t="str">
        <f>"17-18754"</f>
        <v>17-18754</v>
      </c>
    </row>
    <row r="462" spans="1:10" x14ac:dyDescent="0.25">
      <c r="A462" t="str">
        <f>""</f>
        <v/>
      </c>
      <c r="B462" t="str">
        <f>""</f>
        <v/>
      </c>
      <c r="G462" t="str">
        <f>"202201258550"</f>
        <v>202201258550</v>
      </c>
      <c r="H462" t="str">
        <f>"07-12260"</f>
        <v>07-12260</v>
      </c>
      <c r="I462" s="4">
        <v>150</v>
      </c>
      <c r="J462" t="str">
        <f>"07-12260"</f>
        <v>07-12260</v>
      </c>
    </row>
    <row r="463" spans="1:10" x14ac:dyDescent="0.25">
      <c r="A463" t="str">
        <f>"01"</f>
        <v>01</v>
      </c>
      <c r="B463" t="str">
        <f>"006230"</f>
        <v>006230</v>
      </c>
      <c r="C463" t="s">
        <v>109</v>
      </c>
      <c r="D463">
        <v>139055</v>
      </c>
      <c r="E463" s="4">
        <v>1354.55</v>
      </c>
      <c r="F463" s="5">
        <v>44606</v>
      </c>
      <c r="G463" t="str">
        <f>"229217774"</f>
        <v>229217774</v>
      </c>
      <c r="H463" t="str">
        <f>"INV 229217774  229219971"</f>
        <v>INV 229217774  229219971</v>
      </c>
      <c r="I463" s="4">
        <v>405.68</v>
      </c>
      <c r="J463" t="str">
        <f>"INV 229217774"</f>
        <v>INV 229217774</v>
      </c>
    </row>
    <row r="464" spans="1:10" x14ac:dyDescent="0.25">
      <c r="A464" t="str">
        <f>""</f>
        <v/>
      </c>
      <c r="B464" t="str">
        <f>""</f>
        <v/>
      </c>
      <c r="G464" t="str">
        <f>""</f>
        <v/>
      </c>
      <c r="H464" t="str">
        <f>""</f>
        <v/>
      </c>
      <c r="I464" s="4">
        <v>456.39</v>
      </c>
      <c r="J464" t="str">
        <f>"INV 229219971"</f>
        <v>INV 229219971</v>
      </c>
    </row>
    <row r="465" spans="1:10" x14ac:dyDescent="0.25">
      <c r="A465" t="str">
        <f>""</f>
        <v/>
      </c>
      <c r="B465" t="str">
        <f>""</f>
        <v/>
      </c>
      <c r="G465" t="str">
        <f>""</f>
        <v/>
      </c>
      <c r="H465" t="str">
        <f>""</f>
        <v/>
      </c>
      <c r="I465" s="4">
        <v>492.48</v>
      </c>
      <c r="J465" t="str">
        <f>"INV 229222171"</f>
        <v>INV 229222171</v>
      </c>
    </row>
    <row r="466" spans="1:10" x14ac:dyDescent="0.25">
      <c r="A466" t="str">
        <f>"01"</f>
        <v>01</v>
      </c>
      <c r="B466" t="str">
        <f>"006230"</f>
        <v>006230</v>
      </c>
      <c r="C466" t="s">
        <v>109</v>
      </c>
      <c r="D466">
        <v>139284</v>
      </c>
      <c r="E466" s="4">
        <v>1192.32</v>
      </c>
      <c r="F466" s="5">
        <v>44620</v>
      </c>
      <c r="G466" t="str">
        <f>"229224534"</f>
        <v>229224534</v>
      </c>
      <c r="H466" t="str">
        <f>"INV 229224534  229225994"</f>
        <v>INV 229224534  229225994</v>
      </c>
      <c r="I466" s="4">
        <v>751.68</v>
      </c>
      <c r="J466" t="str">
        <f>"INV 229224534"</f>
        <v>INV 229224534</v>
      </c>
    </row>
    <row r="467" spans="1:10" x14ac:dyDescent="0.25">
      <c r="A467" t="str">
        <f>""</f>
        <v/>
      </c>
      <c r="B467" t="str">
        <f>""</f>
        <v/>
      </c>
      <c r="G467" t="str">
        <f>""</f>
        <v/>
      </c>
      <c r="H467" t="str">
        <f>""</f>
        <v/>
      </c>
      <c r="I467" s="4">
        <v>440.64</v>
      </c>
      <c r="J467" t="str">
        <f>"INV 229225994"</f>
        <v>INV 229225994</v>
      </c>
    </row>
    <row r="468" spans="1:10" x14ac:dyDescent="0.25">
      <c r="A468" t="str">
        <f>"01"</f>
        <v>01</v>
      </c>
      <c r="B468" t="str">
        <f>"DELL"</f>
        <v>DELL</v>
      </c>
      <c r="C468" t="s">
        <v>110</v>
      </c>
      <c r="D468">
        <v>139056</v>
      </c>
      <c r="E468" s="4">
        <v>1903.77</v>
      </c>
      <c r="F468" s="5">
        <v>44606</v>
      </c>
      <c r="G468" t="str">
        <f>"202201318610"</f>
        <v>202201318610</v>
      </c>
      <c r="H468" t="str">
        <f>"DELL keyboards"</f>
        <v>DELL keyboards</v>
      </c>
      <c r="I468" s="4">
        <v>549.9</v>
      </c>
      <c r="J468" t="str">
        <f>"DELL keyboards"</f>
        <v>DELL keyboards</v>
      </c>
    </row>
    <row r="469" spans="1:10" x14ac:dyDescent="0.25">
      <c r="A469" t="str">
        <f>""</f>
        <v/>
      </c>
      <c r="B469" t="str">
        <f>""</f>
        <v/>
      </c>
      <c r="G469" t="str">
        <f>""</f>
        <v/>
      </c>
      <c r="H469" t="str">
        <f>""</f>
        <v/>
      </c>
      <c r="I469" s="4">
        <v>-79.7</v>
      </c>
      <c r="J469" t="str">
        <f>"Premier Discount"</f>
        <v>Premier Discount</v>
      </c>
    </row>
    <row r="470" spans="1:10" x14ac:dyDescent="0.25">
      <c r="A470" t="str">
        <f>""</f>
        <v/>
      </c>
      <c r="B470" t="str">
        <f>""</f>
        <v/>
      </c>
      <c r="G470" t="str">
        <f>"202201318613"</f>
        <v>202201318613</v>
      </c>
      <c r="H470" t="str">
        <f>"Monitors for County Clerk"</f>
        <v>Monitors for County Clerk</v>
      </c>
      <c r="I470" s="4">
        <v>356.18</v>
      </c>
      <c r="J470" t="str">
        <f>"Dell 23 Monitor – P2"</f>
        <v>Dell 23 Monitor – P2</v>
      </c>
    </row>
    <row r="471" spans="1:10" x14ac:dyDescent="0.25">
      <c r="A471" t="str">
        <f>""</f>
        <v/>
      </c>
      <c r="B471" t="str">
        <f>""</f>
        <v/>
      </c>
      <c r="G471" t="str">
        <f>"27954"</f>
        <v>27954</v>
      </c>
      <c r="H471" t="str">
        <f>"DELL"</f>
        <v>DELL</v>
      </c>
      <c r="I471" s="4">
        <v>703.9</v>
      </c>
      <c r="J471" t="str">
        <f>"SSD"</f>
        <v>SSD</v>
      </c>
    </row>
    <row r="472" spans="1:10" x14ac:dyDescent="0.25">
      <c r="A472" t="str">
        <f>""</f>
        <v/>
      </c>
      <c r="B472" t="str">
        <f>""</f>
        <v/>
      </c>
      <c r="G472" t="str">
        <f>"28691"</f>
        <v>28691</v>
      </c>
      <c r="H472" t="str">
        <f>"DELL Laptop Battery"</f>
        <v>DELL Laptop Battery</v>
      </c>
      <c r="I472" s="4">
        <v>81.39</v>
      </c>
      <c r="J472" t="str">
        <f>"DELL Laptop Battery"</f>
        <v>DELL Laptop Battery</v>
      </c>
    </row>
    <row r="473" spans="1:10" x14ac:dyDescent="0.25">
      <c r="A473" t="str">
        <f>""</f>
        <v/>
      </c>
      <c r="B473" t="str">
        <f>""</f>
        <v/>
      </c>
      <c r="G473" t="str">
        <f>""</f>
        <v/>
      </c>
      <c r="H473" t="str">
        <f>""</f>
        <v/>
      </c>
      <c r="I473" s="4">
        <v>12.99</v>
      </c>
      <c r="J473" t="str">
        <f>"Shipping"</f>
        <v>Shipping</v>
      </c>
    </row>
    <row r="474" spans="1:10" x14ac:dyDescent="0.25">
      <c r="A474" t="str">
        <f>""</f>
        <v/>
      </c>
      <c r="B474" t="str">
        <f>""</f>
        <v/>
      </c>
      <c r="G474" t="str">
        <f>"28840"</f>
        <v>28840</v>
      </c>
      <c r="H474" t="str">
        <f>"Rugged Warranty Renewal"</f>
        <v>Rugged Warranty Renewal</v>
      </c>
      <c r="I474" s="4">
        <v>279.11</v>
      </c>
      <c r="J474" t="str">
        <f>"Rugged Warranty Renewal"</f>
        <v>Rugged Warranty Renewal</v>
      </c>
    </row>
    <row r="475" spans="1:10" x14ac:dyDescent="0.25">
      <c r="A475" t="str">
        <f>"01"</f>
        <v>01</v>
      </c>
      <c r="B475" t="str">
        <f>"DELL"</f>
        <v>DELL</v>
      </c>
      <c r="C475" t="s">
        <v>110</v>
      </c>
      <c r="D475">
        <v>139285</v>
      </c>
      <c r="E475" s="4">
        <v>39344</v>
      </c>
      <c r="F475" s="5">
        <v>44620</v>
      </c>
      <c r="G475" t="str">
        <f>"202202179232"</f>
        <v>202202179232</v>
      </c>
      <c r="H475" t="str">
        <f>"Rugged Warranty Renewal"</f>
        <v>Rugged Warranty Renewal</v>
      </c>
      <c r="I475" s="4">
        <v>136.22</v>
      </c>
      <c r="J475" t="str">
        <f>"Rugged Warranty Renewal"</f>
        <v>Rugged Warranty Renewal</v>
      </c>
    </row>
    <row r="476" spans="1:10" x14ac:dyDescent="0.25">
      <c r="A476" t="str">
        <f>""</f>
        <v/>
      </c>
      <c r="B476" t="str">
        <f>""</f>
        <v/>
      </c>
      <c r="G476" t="str">
        <f>"202202229291"</f>
        <v>202202229291</v>
      </c>
      <c r="H476" t="str">
        <f>"DELL Soundbar"</f>
        <v>DELL Soundbar</v>
      </c>
      <c r="I476" s="4">
        <v>38.47</v>
      </c>
      <c r="J476" t="str">
        <f>"DELL Soundbar"</f>
        <v>DELL Soundbar</v>
      </c>
    </row>
    <row r="477" spans="1:10" x14ac:dyDescent="0.25">
      <c r="A477" t="str">
        <f>""</f>
        <v/>
      </c>
      <c r="B477" t="str">
        <f>""</f>
        <v/>
      </c>
      <c r="G477" t="str">
        <f>"202202229292"</f>
        <v>202202229292</v>
      </c>
      <c r="H477" t="str">
        <f>"Dsipatch Computer Order"</f>
        <v>Dsipatch Computer Order</v>
      </c>
      <c r="I477" s="4">
        <v>7191.76</v>
      </c>
      <c r="J477" t="str">
        <f>"Precision 3650 Tower"</f>
        <v>Precision 3650 Tower</v>
      </c>
    </row>
    <row r="478" spans="1:10" x14ac:dyDescent="0.25">
      <c r="A478" t="str">
        <f>""</f>
        <v/>
      </c>
      <c r="B478" t="str">
        <f>""</f>
        <v/>
      </c>
      <c r="G478" t="str">
        <f>""</f>
        <v/>
      </c>
      <c r="H478" t="str">
        <f>""</f>
        <v/>
      </c>
      <c r="I478" s="4">
        <v>140.76</v>
      </c>
      <c r="J478" t="str">
        <f>"DELL monitor"</f>
        <v>DELL monitor</v>
      </c>
    </row>
    <row r="479" spans="1:10" x14ac:dyDescent="0.25">
      <c r="A479" t="str">
        <f>""</f>
        <v/>
      </c>
      <c r="B479" t="str">
        <f>""</f>
        <v/>
      </c>
      <c r="G479" t="str">
        <f>""</f>
        <v/>
      </c>
      <c r="H479" t="str">
        <f>""</f>
        <v/>
      </c>
      <c r="I479" s="4">
        <v>247.16</v>
      </c>
      <c r="J479" t="str">
        <f>"Keyboard &amp; mouse"</f>
        <v>Keyboard &amp; mouse</v>
      </c>
    </row>
    <row r="480" spans="1:10" x14ac:dyDescent="0.25">
      <c r="A480" t="str">
        <f>""</f>
        <v/>
      </c>
      <c r="B480" t="str">
        <f>""</f>
        <v/>
      </c>
      <c r="G480" t="str">
        <f>""</f>
        <v/>
      </c>
      <c r="H480" t="str">
        <f>""</f>
        <v/>
      </c>
      <c r="I480" s="4">
        <v>5602.6</v>
      </c>
      <c r="J480" t="str">
        <f>"Sharp 24  monitor"</f>
        <v>Sharp 24  monitor</v>
      </c>
    </row>
    <row r="481" spans="1:10" x14ac:dyDescent="0.25">
      <c r="A481" t="str">
        <f>""</f>
        <v/>
      </c>
      <c r="B481" t="str">
        <f>""</f>
        <v/>
      </c>
      <c r="G481" t="str">
        <f>"202202229293"</f>
        <v>202202229293</v>
      </c>
      <c r="H481" t="str">
        <f>"DELL"</f>
        <v>DELL</v>
      </c>
      <c r="I481" s="4">
        <v>9699.4</v>
      </c>
      <c r="J481" t="str">
        <f>"OptiPlex 7090 Micro"</f>
        <v>OptiPlex 7090 Micro</v>
      </c>
    </row>
    <row r="482" spans="1:10" x14ac:dyDescent="0.25">
      <c r="A482" t="str">
        <f>""</f>
        <v/>
      </c>
      <c r="B482" t="str">
        <f>""</f>
        <v/>
      </c>
      <c r="G482" t="str">
        <f>""</f>
        <v/>
      </c>
      <c r="H482" t="str">
        <f>""</f>
        <v/>
      </c>
      <c r="I482" s="4">
        <v>15033.2</v>
      </c>
      <c r="J482" t="str">
        <f>"Mobile Precision3561"</f>
        <v>Mobile Precision3561</v>
      </c>
    </row>
    <row r="483" spans="1:10" x14ac:dyDescent="0.25">
      <c r="A483" t="str">
        <f>""</f>
        <v/>
      </c>
      <c r="B483" t="str">
        <f>""</f>
        <v/>
      </c>
      <c r="G483" t="str">
        <f>""</f>
        <v/>
      </c>
      <c r="H483" t="str">
        <f>""</f>
        <v/>
      </c>
      <c r="I483" s="4">
        <v>1091.45</v>
      </c>
      <c r="J483" t="str">
        <f>"Dell DockWD19s 130w"</f>
        <v>Dell DockWD19s 130w</v>
      </c>
    </row>
    <row r="484" spans="1:10" x14ac:dyDescent="0.25">
      <c r="A484" t="str">
        <f>""</f>
        <v/>
      </c>
      <c r="B484" t="str">
        <f>""</f>
        <v/>
      </c>
      <c r="G484" t="str">
        <f>"28952"</f>
        <v>28952</v>
      </c>
      <c r="H484" t="str">
        <f>"DELL"</f>
        <v>DELL</v>
      </c>
      <c r="I484" s="4">
        <v>149.99</v>
      </c>
      <c r="J484" t="str">
        <f>"Battery 97WHR 9C"</f>
        <v>Battery 97WHR 9C</v>
      </c>
    </row>
    <row r="485" spans="1:10" x14ac:dyDescent="0.25">
      <c r="A485" t="str">
        <f>""</f>
        <v/>
      </c>
      <c r="B485" t="str">
        <f>""</f>
        <v/>
      </c>
      <c r="G485" t="str">
        <f>""</f>
        <v/>
      </c>
      <c r="H485" t="str">
        <f>""</f>
        <v/>
      </c>
      <c r="I485" s="4">
        <v>12.99</v>
      </c>
      <c r="J485" t="str">
        <f>"Shipping"</f>
        <v>Shipping</v>
      </c>
    </row>
    <row r="486" spans="1:10" x14ac:dyDescent="0.25">
      <c r="A486" t="str">
        <f>"01"</f>
        <v>01</v>
      </c>
      <c r="B486" t="str">
        <f>"DENTRU"</f>
        <v>DENTRU</v>
      </c>
      <c r="C486" t="s">
        <v>111</v>
      </c>
      <c r="D486">
        <v>5783</v>
      </c>
      <c r="E486" s="4">
        <v>1751.25</v>
      </c>
      <c r="F486" s="5">
        <v>44607</v>
      </c>
      <c r="G486" t="str">
        <f>"BATX017704"</f>
        <v>BATX017704</v>
      </c>
      <c r="H486" t="str">
        <f>"INV BATX017704"</f>
        <v>INV BATX017704</v>
      </c>
      <c r="I486" s="4">
        <v>1751.25</v>
      </c>
      <c r="J486" t="str">
        <f>"INV BATX017704"</f>
        <v>INV BATX017704</v>
      </c>
    </row>
    <row r="487" spans="1:10" x14ac:dyDescent="0.25">
      <c r="A487" t="str">
        <f>"01"</f>
        <v>01</v>
      </c>
      <c r="B487" t="str">
        <f>"006574"</f>
        <v>006574</v>
      </c>
      <c r="C487" t="s">
        <v>112</v>
      </c>
      <c r="D487">
        <v>139286</v>
      </c>
      <c r="E487" s="4">
        <v>2000</v>
      </c>
      <c r="F487" s="5">
        <v>44620</v>
      </c>
      <c r="G487" t="str">
        <f>"202202229262"</f>
        <v>202202229262</v>
      </c>
      <c r="H487" t="str">
        <f>"FREDDIE SMITH/CAP MURDER"</f>
        <v>FREDDIE SMITH/CAP MURDER</v>
      </c>
      <c r="I487" s="4">
        <v>2000</v>
      </c>
      <c r="J487" t="str">
        <f>"ALBERT R DIAZ"</f>
        <v>ALBERT R DIAZ</v>
      </c>
    </row>
    <row r="488" spans="1:10" x14ac:dyDescent="0.25">
      <c r="A488" t="str">
        <f>"01"</f>
        <v>01</v>
      </c>
      <c r="B488" t="str">
        <f>"T5686"</f>
        <v>T5686</v>
      </c>
      <c r="C488" t="s">
        <v>113</v>
      </c>
      <c r="D488">
        <v>139057</v>
      </c>
      <c r="E488" s="4">
        <v>75</v>
      </c>
      <c r="F488" s="5">
        <v>44606</v>
      </c>
      <c r="G488" t="str">
        <f>"28904"</f>
        <v>28904</v>
      </c>
      <c r="H488" t="str">
        <f>"INV 28904"</f>
        <v>INV 28904</v>
      </c>
      <c r="I488" s="4">
        <v>75</v>
      </c>
      <c r="J488" t="str">
        <f>"INV 28904"</f>
        <v>INV 28904</v>
      </c>
    </row>
    <row r="489" spans="1:10" x14ac:dyDescent="0.25">
      <c r="A489" t="str">
        <f>"01"</f>
        <v>01</v>
      </c>
      <c r="B489" t="str">
        <f>"T5686"</f>
        <v>T5686</v>
      </c>
      <c r="C489" t="s">
        <v>113</v>
      </c>
      <c r="D489">
        <v>139287</v>
      </c>
      <c r="E489" s="4">
        <v>261.5</v>
      </c>
      <c r="F489" s="5">
        <v>44620</v>
      </c>
      <c r="G489" t="str">
        <f>"29004"</f>
        <v>29004</v>
      </c>
      <c r="H489" t="str">
        <f>"INV 29004"</f>
        <v>INV 29004</v>
      </c>
      <c r="I489" s="4">
        <v>10</v>
      </c>
      <c r="J489" t="str">
        <f>"INV 29004"</f>
        <v>INV 29004</v>
      </c>
    </row>
    <row r="490" spans="1:10" x14ac:dyDescent="0.25">
      <c r="A490" t="str">
        <f>""</f>
        <v/>
      </c>
      <c r="B490" t="str">
        <f>""</f>
        <v/>
      </c>
      <c r="G490" t="str">
        <f>"29029"</f>
        <v>29029</v>
      </c>
      <c r="H490" t="str">
        <f>"INV 29029"</f>
        <v>INV 29029</v>
      </c>
      <c r="I490" s="4">
        <v>185</v>
      </c>
      <c r="J490" t="str">
        <f>"INV 29029"</f>
        <v>INV 29029</v>
      </c>
    </row>
    <row r="491" spans="1:10" x14ac:dyDescent="0.25">
      <c r="A491" t="str">
        <f>""</f>
        <v/>
      </c>
      <c r="B491" t="str">
        <f>""</f>
        <v/>
      </c>
      <c r="G491" t="str">
        <f>"29043"</f>
        <v>29043</v>
      </c>
      <c r="H491" t="str">
        <f>"INV 29043"</f>
        <v>INV 29043</v>
      </c>
      <c r="I491" s="4">
        <v>66.5</v>
      </c>
      <c r="J491" t="str">
        <f>"INV 29043"</f>
        <v>INV 29043</v>
      </c>
    </row>
    <row r="492" spans="1:10" x14ac:dyDescent="0.25">
      <c r="A492" t="str">
        <f>"01"</f>
        <v>01</v>
      </c>
      <c r="B492" t="str">
        <f>"001911"</f>
        <v>001911</v>
      </c>
      <c r="C492" t="s">
        <v>114</v>
      </c>
      <c r="D492">
        <v>139058</v>
      </c>
      <c r="E492" s="4">
        <v>19137.46</v>
      </c>
      <c r="F492" s="5">
        <v>44606</v>
      </c>
      <c r="G492" t="str">
        <f>"202202098846"</f>
        <v>202202098846</v>
      </c>
      <c r="H492" t="str">
        <f>"CUST#PKE5000"</f>
        <v>CUST#PKE5000</v>
      </c>
      <c r="I492" s="4">
        <v>19137.46</v>
      </c>
      <c r="J492" t="str">
        <f>"CUST#PKE5000"</f>
        <v>CUST#PKE5000</v>
      </c>
    </row>
    <row r="493" spans="1:10" x14ac:dyDescent="0.25">
      <c r="A493" t="str">
        <f>"01"</f>
        <v>01</v>
      </c>
      <c r="B493" t="str">
        <f>"001911"</f>
        <v>001911</v>
      </c>
      <c r="C493" t="s">
        <v>114</v>
      </c>
      <c r="D493">
        <v>139288</v>
      </c>
      <c r="E493" s="4">
        <v>18835.86</v>
      </c>
      <c r="F493" s="5">
        <v>44620</v>
      </c>
      <c r="G493" t="str">
        <f>"202202239333"</f>
        <v>202202239333</v>
      </c>
      <c r="H493" t="str">
        <f>"ACCT#PKE5000"</f>
        <v>ACCT#PKE5000</v>
      </c>
      <c r="I493" s="4">
        <v>18835.86</v>
      </c>
      <c r="J493" t="str">
        <f>"ACCT#PKE5000"</f>
        <v>ACCT#PKE5000</v>
      </c>
    </row>
    <row r="494" spans="1:10" x14ac:dyDescent="0.25">
      <c r="A494" t="str">
        <f>"01"</f>
        <v>01</v>
      </c>
      <c r="B494" t="str">
        <f>"000573"</f>
        <v>000573</v>
      </c>
      <c r="C494" t="s">
        <v>115</v>
      </c>
      <c r="D494">
        <v>139289</v>
      </c>
      <c r="E494" s="4">
        <v>108</v>
      </c>
      <c r="F494" s="5">
        <v>44620</v>
      </c>
      <c r="G494" t="str">
        <f>"38372"</f>
        <v>38372</v>
      </c>
      <c r="H494" t="str">
        <f>"SOLID ROD/PCT#3"</f>
        <v>SOLID ROD/PCT#3</v>
      </c>
      <c r="I494" s="4">
        <v>54</v>
      </c>
      <c r="J494" t="str">
        <f>"SOLID ROD/PCT#3"</f>
        <v>SOLID ROD/PCT#3</v>
      </c>
    </row>
    <row r="495" spans="1:10" x14ac:dyDescent="0.25">
      <c r="A495" t="str">
        <f>""</f>
        <v/>
      </c>
      <c r="B495" t="str">
        <f>""</f>
        <v/>
      </c>
      <c r="G495" t="str">
        <f>"83265"</f>
        <v>83265</v>
      </c>
      <c r="H495" t="str">
        <f>"FLAT BAR/ANIMAL SVCS"</f>
        <v>FLAT BAR/ANIMAL SVCS</v>
      </c>
      <c r="I495" s="4">
        <v>54</v>
      </c>
      <c r="J495" t="str">
        <f>"FLAT BAR/ANIMAL SVCS"</f>
        <v>FLAT BAR/ANIMAL SVCS</v>
      </c>
    </row>
    <row r="496" spans="1:10" x14ac:dyDescent="0.25">
      <c r="A496" t="str">
        <f>"01"</f>
        <v>01</v>
      </c>
      <c r="B496" t="str">
        <f>"006636"</f>
        <v>006636</v>
      </c>
      <c r="C496" t="s">
        <v>116</v>
      </c>
      <c r="D496">
        <v>139290</v>
      </c>
      <c r="E496" s="4">
        <v>51.36</v>
      </c>
      <c r="F496" s="5">
        <v>44620</v>
      </c>
      <c r="G496" t="str">
        <f>"202202179212"</f>
        <v>202202179212</v>
      </c>
      <c r="H496" t="str">
        <f>"COURT REPORTER"</f>
        <v>COURT REPORTER</v>
      </c>
      <c r="I496" s="4">
        <v>51.36</v>
      </c>
      <c r="J496" t="str">
        <f>"COURT REPORTER"</f>
        <v>COURT REPORTER</v>
      </c>
    </row>
    <row r="497" spans="1:10" x14ac:dyDescent="0.25">
      <c r="A497" t="str">
        <f>"01"</f>
        <v>01</v>
      </c>
      <c r="B497" t="str">
        <f>"004924"</f>
        <v>004924</v>
      </c>
      <c r="C497" t="s">
        <v>117</v>
      </c>
      <c r="D497">
        <v>139242</v>
      </c>
      <c r="E497" s="4">
        <v>749.4</v>
      </c>
      <c r="F497" s="5">
        <v>44617</v>
      </c>
      <c r="G497" t="str">
        <f>"202202259362"</f>
        <v>202202259362</v>
      </c>
      <c r="H497" t="str">
        <f>"ACCT#405900029213 / 03012022"</f>
        <v>ACCT#405900029213 / 03012022</v>
      </c>
      <c r="I497" s="4">
        <v>374.7</v>
      </c>
      <c r="J497" t="str">
        <f>"DONNIE STARK"</f>
        <v>DONNIE STARK</v>
      </c>
    </row>
    <row r="498" spans="1:10" x14ac:dyDescent="0.25">
      <c r="A498" t="str">
        <f>""</f>
        <v/>
      </c>
      <c r="B498" t="str">
        <f>""</f>
        <v/>
      </c>
      <c r="G498" t="str">
        <f>"202202259363"</f>
        <v>202202259363</v>
      </c>
      <c r="H498" t="str">
        <f>"ACCT#405900028789 / 03012022"</f>
        <v>ACCT#405900028789 / 03012022</v>
      </c>
      <c r="I498" s="4">
        <v>187.35</v>
      </c>
      <c r="J498" t="str">
        <f>"DONNIE STARK"</f>
        <v>DONNIE STARK</v>
      </c>
    </row>
    <row r="499" spans="1:10" x14ac:dyDescent="0.25">
      <c r="A499" t="str">
        <f>""</f>
        <v/>
      </c>
      <c r="B499" t="str">
        <f>""</f>
        <v/>
      </c>
      <c r="G499" t="str">
        <f>"202202259364"</f>
        <v>202202259364</v>
      </c>
      <c r="H499" t="str">
        <f>"ACCT#405900029225 / 03012022"</f>
        <v>ACCT#405900029225 / 03012022</v>
      </c>
      <c r="I499" s="4">
        <v>187.35</v>
      </c>
      <c r="J499" t="str">
        <f>"DONNIE STARK"</f>
        <v>DONNIE STARK</v>
      </c>
    </row>
    <row r="500" spans="1:10" x14ac:dyDescent="0.25">
      <c r="A500" t="str">
        <f>"01"</f>
        <v>01</v>
      </c>
      <c r="B500" t="str">
        <f>"006418"</f>
        <v>006418</v>
      </c>
      <c r="C500" t="s">
        <v>118</v>
      </c>
      <c r="D500">
        <v>139059</v>
      </c>
      <c r="E500" s="4">
        <v>25</v>
      </c>
      <c r="F500" s="5">
        <v>44606</v>
      </c>
      <c r="G500" t="str">
        <f>"13-163 01/24/22"</f>
        <v>13-163 01/24/22</v>
      </c>
      <c r="H500" t="str">
        <f>"RESTITUTION/M. MANZANARES"</f>
        <v>RESTITUTION/M. MANZANARES</v>
      </c>
      <c r="I500" s="4">
        <v>25</v>
      </c>
      <c r="J500" t="str">
        <f>"RESTITUTION/M. MANZANARES"</f>
        <v>RESTITUTION/M. MANZANARES</v>
      </c>
    </row>
    <row r="501" spans="1:10" x14ac:dyDescent="0.25">
      <c r="A501" t="str">
        <f>"01"</f>
        <v>01</v>
      </c>
      <c r="B501" t="str">
        <f>"005299"</f>
        <v>005299</v>
      </c>
      <c r="C501" t="s">
        <v>119</v>
      </c>
      <c r="D501">
        <v>5768</v>
      </c>
      <c r="E501" s="4">
        <v>6793.18</v>
      </c>
      <c r="F501" s="5">
        <v>44607</v>
      </c>
      <c r="G501" t="str">
        <f>"30201B"</f>
        <v>30201B</v>
      </c>
      <c r="H501" t="str">
        <f>"INV 30201B"</f>
        <v>INV 30201B</v>
      </c>
      <c r="I501" s="4">
        <v>6793.18</v>
      </c>
      <c r="J501" t="str">
        <f>"INV 30201B"</f>
        <v>INV 30201B</v>
      </c>
    </row>
    <row r="502" spans="1:10" x14ac:dyDescent="0.25">
      <c r="A502" t="str">
        <f>"01"</f>
        <v>01</v>
      </c>
      <c r="B502" t="str">
        <f>"T13918"</f>
        <v>T13918</v>
      </c>
      <c r="C502" t="s">
        <v>120</v>
      </c>
      <c r="D502">
        <v>139060</v>
      </c>
      <c r="E502" s="4">
        <v>100.05</v>
      </c>
      <c r="F502" s="5">
        <v>44606</v>
      </c>
      <c r="G502" t="str">
        <f>"43923"</f>
        <v>43923</v>
      </c>
      <c r="H502" t="str">
        <f>"SUPPLIES/PCT#4"</f>
        <v>SUPPLIES/PCT#4</v>
      </c>
      <c r="I502" s="4">
        <v>100.05</v>
      </c>
      <c r="J502" t="str">
        <f>"SUPPLIES/PCT#4"</f>
        <v>SUPPLIES/PCT#4</v>
      </c>
    </row>
    <row r="503" spans="1:10" x14ac:dyDescent="0.25">
      <c r="A503" t="str">
        <f>"01"</f>
        <v>01</v>
      </c>
      <c r="B503" t="str">
        <f>"006564"</f>
        <v>006564</v>
      </c>
      <c r="C503" t="s">
        <v>121</v>
      </c>
      <c r="D503">
        <v>139061</v>
      </c>
      <c r="E503" s="4">
        <v>1850</v>
      </c>
      <c r="F503" s="5">
        <v>44606</v>
      </c>
      <c r="G503" t="str">
        <f>"2201013"</f>
        <v>2201013</v>
      </c>
      <c r="H503" t="str">
        <f>"RFQ-20BCP10C/INDIAN LAKE"</f>
        <v>RFQ-20BCP10C/INDIAN LAKE</v>
      </c>
      <c r="I503" s="4">
        <v>650</v>
      </c>
      <c r="J503" t="str">
        <f>"RFQ-20BCP10C/INDIAN LAKE"</f>
        <v>RFQ-20BCP10C/INDIAN LAKE</v>
      </c>
    </row>
    <row r="504" spans="1:10" x14ac:dyDescent="0.25">
      <c r="A504" t="str">
        <f>""</f>
        <v/>
      </c>
      <c r="B504" t="str">
        <f>""</f>
        <v/>
      </c>
      <c r="G504" t="str">
        <f>"2201014"</f>
        <v>2201014</v>
      </c>
      <c r="H504" t="str">
        <f>"RFQ-20BCC10C/SHILOH"</f>
        <v>RFQ-20BCC10C/SHILOH</v>
      </c>
      <c r="I504" s="4">
        <v>1200</v>
      </c>
      <c r="J504" t="str">
        <f>"RFQ-20BCC10C/INDIAN LAKE"</f>
        <v>RFQ-20BCC10C/INDIAN LAKE</v>
      </c>
    </row>
    <row r="505" spans="1:10" x14ac:dyDescent="0.25">
      <c r="A505" t="str">
        <f>"01"</f>
        <v>01</v>
      </c>
      <c r="B505" t="str">
        <f>"006564"</f>
        <v>006564</v>
      </c>
      <c r="C505" t="s">
        <v>121</v>
      </c>
      <c r="D505">
        <v>139291</v>
      </c>
      <c r="E505" s="4">
        <v>2018.26</v>
      </c>
      <c r="F505" s="5">
        <v>44620</v>
      </c>
      <c r="G505" t="str">
        <f>"2109021"</f>
        <v>2109021</v>
      </c>
      <c r="H505" t="str">
        <f>"INDIAN LAKE/HMGP"</f>
        <v>INDIAN LAKE/HMGP</v>
      </c>
      <c r="I505" s="4">
        <v>2018.26</v>
      </c>
      <c r="J505" t="str">
        <f>"INDIAN LAKE/HMGP"</f>
        <v>INDIAN LAKE/HMGP</v>
      </c>
    </row>
    <row r="506" spans="1:10" x14ac:dyDescent="0.25">
      <c r="A506" t="str">
        <f>"01"</f>
        <v>01</v>
      </c>
      <c r="B506" t="str">
        <f>"006137"</f>
        <v>006137</v>
      </c>
      <c r="C506" t="s">
        <v>122</v>
      </c>
      <c r="D506">
        <v>139062</v>
      </c>
      <c r="E506" s="4">
        <v>960</v>
      </c>
      <c r="F506" s="5">
        <v>44606</v>
      </c>
      <c r="G506" t="str">
        <f>"013"</f>
        <v>013</v>
      </c>
      <c r="H506" t="str">
        <f>"INTERPRETER"</f>
        <v>INTERPRETER</v>
      </c>
      <c r="I506" s="4">
        <v>960</v>
      </c>
      <c r="J506" t="str">
        <f>"INTERPRETER"</f>
        <v>INTERPRETER</v>
      </c>
    </row>
    <row r="507" spans="1:10" x14ac:dyDescent="0.25">
      <c r="A507" t="str">
        <f>"01"</f>
        <v>01</v>
      </c>
      <c r="B507" t="str">
        <f>"T9323"</f>
        <v>T9323</v>
      </c>
      <c r="C507" t="s">
        <v>123</v>
      </c>
      <c r="D507">
        <v>5809</v>
      </c>
      <c r="E507" s="4">
        <v>19650</v>
      </c>
      <c r="F507" s="5">
        <v>44607</v>
      </c>
      <c r="G507" t="str">
        <f>"202201258532"</f>
        <v>202201258532</v>
      </c>
      <c r="H507" t="str">
        <f>"16459"</f>
        <v>16459</v>
      </c>
      <c r="I507" s="4">
        <v>13425</v>
      </c>
      <c r="J507" t="str">
        <f>"16459"</f>
        <v>16459</v>
      </c>
    </row>
    <row r="508" spans="1:10" x14ac:dyDescent="0.25">
      <c r="A508" t="str">
        <f>""</f>
        <v/>
      </c>
      <c r="B508" t="str">
        <f>""</f>
        <v/>
      </c>
      <c r="G508" t="str">
        <f>"202201318654"</f>
        <v>202201318654</v>
      </c>
      <c r="H508" t="str">
        <f>"17336"</f>
        <v>17336</v>
      </c>
      <c r="I508" s="4">
        <v>800</v>
      </c>
      <c r="J508" t="str">
        <f>"17336"</f>
        <v>17336</v>
      </c>
    </row>
    <row r="509" spans="1:10" x14ac:dyDescent="0.25">
      <c r="A509" t="str">
        <f>""</f>
        <v/>
      </c>
      <c r="B509" t="str">
        <f>""</f>
        <v/>
      </c>
      <c r="G509" t="str">
        <f>"202201318655"</f>
        <v>202201318655</v>
      </c>
      <c r="H509" t="str">
        <f>"17568/17569"</f>
        <v>17568/17569</v>
      </c>
      <c r="I509" s="4">
        <v>1400</v>
      </c>
      <c r="J509" t="str">
        <f>"17568/17569"</f>
        <v>17568/17569</v>
      </c>
    </row>
    <row r="510" spans="1:10" x14ac:dyDescent="0.25">
      <c r="A510" t="str">
        <f>""</f>
        <v/>
      </c>
      <c r="B510" t="str">
        <f>""</f>
        <v/>
      </c>
      <c r="G510" t="str">
        <f>"202202018686"</f>
        <v>202202018686</v>
      </c>
      <c r="H510" t="str">
        <f>"20-20060"</f>
        <v>20-20060</v>
      </c>
      <c r="I510" s="4">
        <v>500</v>
      </c>
      <c r="J510" t="str">
        <f>"20-20060"</f>
        <v>20-20060</v>
      </c>
    </row>
    <row r="511" spans="1:10" x14ac:dyDescent="0.25">
      <c r="A511" t="str">
        <f>""</f>
        <v/>
      </c>
      <c r="B511" t="str">
        <f>""</f>
        <v/>
      </c>
      <c r="G511" t="str">
        <f>"202202018687"</f>
        <v>202202018687</v>
      </c>
      <c r="H511" t="str">
        <f>"DCPC-21-012"</f>
        <v>DCPC-21-012</v>
      </c>
      <c r="I511" s="4">
        <v>250</v>
      </c>
      <c r="J511" t="str">
        <f>"DCPC-21-012"</f>
        <v>DCPC-21-012</v>
      </c>
    </row>
    <row r="512" spans="1:10" x14ac:dyDescent="0.25">
      <c r="A512" t="str">
        <f>""</f>
        <v/>
      </c>
      <c r="B512" t="str">
        <f>""</f>
        <v/>
      </c>
      <c r="G512" t="str">
        <f>"202202028704"</f>
        <v>202202028704</v>
      </c>
      <c r="H512" t="str">
        <f>"JP1071020211"</f>
        <v>JP1071020211</v>
      </c>
      <c r="I512" s="4">
        <v>250</v>
      </c>
      <c r="J512" t="str">
        <f>"JP1071020211"</f>
        <v>JP1071020211</v>
      </c>
    </row>
    <row r="513" spans="1:10" x14ac:dyDescent="0.25">
      <c r="A513" t="str">
        <f>""</f>
        <v/>
      </c>
      <c r="B513" t="str">
        <f>""</f>
        <v/>
      </c>
      <c r="G513" t="str">
        <f>"202202028705"</f>
        <v>202202028705</v>
      </c>
      <c r="H513" t="str">
        <f>"4080421-8"</f>
        <v>4080421-8</v>
      </c>
      <c r="I513" s="4">
        <v>250</v>
      </c>
      <c r="J513" t="str">
        <f>"4080421-8"</f>
        <v>4080421-8</v>
      </c>
    </row>
    <row r="514" spans="1:10" x14ac:dyDescent="0.25">
      <c r="A514" t="str">
        <f>""</f>
        <v/>
      </c>
      <c r="B514" t="str">
        <f>""</f>
        <v/>
      </c>
      <c r="G514" t="str">
        <f>"202202028714"</f>
        <v>202202028714</v>
      </c>
      <c r="H514" t="str">
        <f>"DCPC-21-131"</f>
        <v>DCPC-21-131</v>
      </c>
      <c r="I514" s="4">
        <v>400</v>
      </c>
      <c r="J514" t="str">
        <f>"DCPC-21-131"</f>
        <v>DCPC-21-131</v>
      </c>
    </row>
    <row r="515" spans="1:10" x14ac:dyDescent="0.25">
      <c r="A515" t="str">
        <f>""</f>
        <v/>
      </c>
      <c r="B515" t="str">
        <f>""</f>
        <v/>
      </c>
      <c r="G515" t="str">
        <f>"202202088772"</f>
        <v>202202088772</v>
      </c>
      <c r="H515" t="str">
        <f>"408219-5"</f>
        <v>408219-5</v>
      </c>
      <c r="I515" s="4">
        <v>600</v>
      </c>
      <c r="J515" t="str">
        <f>"408219-5"</f>
        <v>408219-5</v>
      </c>
    </row>
    <row r="516" spans="1:10" x14ac:dyDescent="0.25">
      <c r="A516" t="str">
        <f>""</f>
        <v/>
      </c>
      <c r="B516" t="str">
        <f>""</f>
        <v/>
      </c>
      <c r="G516" t="str">
        <f>"202202098857"</f>
        <v>202202098857</v>
      </c>
      <c r="H516" t="str">
        <f>"3123120199"</f>
        <v>3123120199</v>
      </c>
      <c r="I516" s="4">
        <v>1400</v>
      </c>
      <c r="J516" t="str">
        <f>"3123120199"</f>
        <v>3123120199</v>
      </c>
    </row>
    <row r="517" spans="1:10" x14ac:dyDescent="0.25">
      <c r="A517" t="str">
        <f>""</f>
        <v/>
      </c>
      <c r="B517" t="str">
        <f>""</f>
        <v/>
      </c>
      <c r="G517" t="str">
        <f>"202202098859"</f>
        <v>202202098859</v>
      </c>
      <c r="H517" t="str">
        <f>"312312019AA"</f>
        <v>312312019AA</v>
      </c>
      <c r="I517" s="4">
        <v>375</v>
      </c>
      <c r="J517" t="str">
        <f>"312312019AA"</f>
        <v>312312019AA</v>
      </c>
    </row>
    <row r="518" spans="1:10" x14ac:dyDescent="0.25">
      <c r="A518" t="str">
        <f>"01"</f>
        <v>01</v>
      </c>
      <c r="B518" t="str">
        <f>"003299"</f>
        <v>003299</v>
      </c>
      <c r="C518" t="s">
        <v>124</v>
      </c>
      <c r="D518">
        <v>139292</v>
      </c>
      <c r="E518" s="4">
        <v>6290</v>
      </c>
      <c r="F518" s="5">
        <v>44620</v>
      </c>
      <c r="G518" t="str">
        <f>"036"</f>
        <v>036</v>
      </c>
      <c r="H518" t="str">
        <f>"HAULING/PCT#3"</f>
        <v>HAULING/PCT#3</v>
      </c>
      <c r="I518" s="4">
        <v>4050</v>
      </c>
      <c r="J518" t="str">
        <f>"HAULING/PCT#3"</f>
        <v>HAULING/PCT#3</v>
      </c>
    </row>
    <row r="519" spans="1:10" x14ac:dyDescent="0.25">
      <c r="A519" t="str">
        <f>""</f>
        <v/>
      </c>
      <c r="B519" t="str">
        <f>""</f>
        <v/>
      </c>
      <c r="G519" t="str">
        <f>"037"</f>
        <v>037</v>
      </c>
      <c r="H519" t="str">
        <f>"HAULING/PCT#3"</f>
        <v>HAULING/PCT#3</v>
      </c>
      <c r="I519" s="4">
        <v>2240</v>
      </c>
      <c r="J519" t="str">
        <f>"HAULING/PCT#3"</f>
        <v>HAULING/PCT#3</v>
      </c>
    </row>
    <row r="520" spans="1:10" x14ac:dyDescent="0.25">
      <c r="A520" t="str">
        <f>"01"</f>
        <v>01</v>
      </c>
      <c r="B520" t="str">
        <f>"T6190"</f>
        <v>T6190</v>
      </c>
      <c r="C520" t="s">
        <v>125</v>
      </c>
      <c r="D520">
        <v>139063</v>
      </c>
      <c r="E520" s="4">
        <v>3284.07</v>
      </c>
      <c r="F520" s="5">
        <v>44606</v>
      </c>
      <c r="G520" t="str">
        <f>"CD2015161"</f>
        <v>CD2015161</v>
      </c>
      <c r="H520" t="str">
        <f>"CUST#30344/ELECTIONS"</f>
        <v>CUST#30344/ELECTIONS</v>
      </c>
      <c r="I520" s="4">
        <v>875.8</v>
      </c>
      <c r="J520" t="str">
        <f>"CUST#30344/ELECTIONS"</f>
        <v>CUST#30344/ELECTIONS</v>
      </c>
    </row>
    <row r="521" spans="1:10" x14ac:dyDescent="0.25">
      <c r="A521" t="str">
        <f>""</f>
        <v/>
      </c>
      <c r="B521" t="str">
        <f>""</f>
        <v/>
      </c>
      <c r="G521" t="str">
        <f>"CD2015185"</f>
        <v>CD2015185</v>
      </c>
      <c r="H521" t="str">
        <f>"CUST#30344/ELECTIONS"</f>
        <v>CUST#30344/ELECTIONS</v>
      </c>
      <c r="I521" s="4">
        <v>39.950000000000003</v>
      </c>
      <c r="J521" t="str">
        <f>"CUST#30344/ELECTIONS"</f>
        <v>CUST#30344/ELECTIONS</v>
      </c>
    </row>
    <row r="522" spans="1:10" x14ac:dyDescent="0.25">
      <c r="A522" t="str">
        <f>""</f>
        <v/>
      </c>
      <c r="B522" t="str">
        <f>""</f>
        <v/>
      </c>
      <c r="G522" t="str">
        <f>"CD2015270"</f>
        <v>CD2015270</v>
      </c>
      <c r="H522" t="str">
        <f>"CUST#30344/ELECTIONS"</f>
        <v>CUST#30344/ELECTIONS</v>
      </c>
      <c r="I522" s="4">
        <v>2060.21</v>
      </c>
      <c r="J522" t="str">
        <f>"CUST#30344/ELECTIONS"</f>
        <v>CUST#30344/ELECTIONS</v>
      </c>
    </row>
    <row r="523" spans="1:10" x14ac:dyDescent="0.25">
      <c r="A523" t="str">
        <f>""</f>
        <v/>
      </c>
      <c r="B523" t="str">
        <f>""</f>
        <v/>
      </c>
      <c r="G523" t="str">
        <f>"CD2015858"</f>
        <v>CD2015858</v>
      </c>
      <c r="H523" t="str">
        <f>"CUST#30344/ELECTIONS"</f>
        <v>CUST#30344/ELECTIONS</v>
      </c>
      <c r="I523" s="4">
        <v>81.99</v>
      </c>
      <c r="J523" t="str">
        <f>"CUST#30344/ELECTIONS"</f>
        <v>CUST#30344/ELECTIONS</v>
      </c>
    </row>
    <row r="524" spans="1:10" x14ac:dyDescent="0.25">
      <c r="A524" t="str">
        <f>""</f>
        <v/>
      </c>
      <c r="B524" t="str">
        <f>""</f>
        <v/>
      </c>
      <c r="G524" t="str">
        <f>"CD2016791"</f>
        <v>CD2016791</v>
      </c>
      <c r="H524" t="str">
        <f>"ORD#115462/CUST#30344"</f>
        <v>ORD#115462/CUST#30344</v>
      </c>
      <c r="I524" s="4">
        <v>226.12</v>
      </c>
      <c r="J524" t="str">
        <f>"ORD#115462/CUST#30344"</f>
        <v>ORD#115462/CUST#30344</v>
      </c>
    </row>
    <row r="525" spans="1:10" x14ac:dyDescent="0.25">
      <c r="A525" t="str">
        <f>"01"</f>
        <v>01</v>
      </c>
      <c r="B525" t="str">
        <f>"EC"</f>
        <v>EC</v>
      </c>
      <c r="C525" t="s">
        <v>126</v>
      </c>
      <c r="D525">
        <v>139064</v>
      </c>
      <c r="E525" s="4">
        <v>290</v>
      </c>
      <c r="F525" s="5">
        <v>44606</v>
      </c>
      <c r="G525" t="str">
        <f>"202201318608"</f>
        <v>202201318608</v>
      </c>
      <c r="H525" t="str">
        <f>"RFB 22BCP01A"</f>
        <v>RFB 22BCP01A</v>
      </c>
      <c r="I525" s="4">
        <v>240</v>
      </c>
      <c r="J525" t="str">
        <f>"RFB 22BCP01A"</f>
        <v>RFB 22BCP01A</v>
      </c>
    </row>
    <row r="526" spans="1:10" x14ac:dyDescent="0.25">
      <c r="A526" t="str">
        <f>""</f>
        <v/>
      </c>
      <c r="B526" t="str">
        <f>""</f>
        <v/>
      </c>
      <c r="G526" t="str">
        <f>""</f>
        <v/>
      </c>
      <c r="H526" t="str">
        <f>""</f>
        <v/>
      </c>
      <c r="I526" s="4">
        <v>5</v>
      </c>
      <c r="J526" t="str">
        <f>"22BCP01A Affidavit"</f>
        <v>22BCP01A Affidavit</v>
      </c>
    </row>
    <row r="527" spans="1:10" x14ac:dyDescent="0.25">
      <c r="A527" t="str">
        <f>""</f>
        <v/>
      </c>
      <c r="B527" t="str">
        <f>""</f>
        <v/>
      </c>
      <c r="G527" t="str">
        <f>"202202088815"</f>
        <v>202202088815</v>
      </c>
      <c r="H527" t="str">
        <f>"BLACKLANDS PUBLICATIONS INC"</f>
        <v>BLACKLANDS PUBLICATIONS INC</v>
      </c>
      <c r="I527" s="4">
        <v>40</v>
      </c>
      <c r="J527" t="str">
        <f>"De la Rosa Property"</f>
        <v>De la Rosa Property</v>
      </c>
    </row>
    <row r="528" spans="1:10" x14ac:dyDescent="0.25">
      <c r="A528" t="str">
        <f>""</f>
        <v/>
      </c>
      <c r="B528" t="str">
        <f>""</f>
        <v/>
      </c>
      <c r="G528" t="str">
        <f>""</f>
        <v/>
      </c>
      <c r="H528" t="str">
        <f>""</f>
        <v/>
      </c>
      <c r="I528" s="4">
        <v>5</v>
      </c>
      <c r="J528" t="str">
        <f>"Affidavit Fee"</f>
        <v>Affidavit Fee</v>
      </c>
    </row>
    <row r="529" spans="1:10" x14ac:dyDescent="0.25">
      <c r="A529" t="str">
        <f>"01"</f>
        <v>01</v>
      </c>
      <c r="B529" t="str">
        <f>"EC"</f>
        <v>EC</v>
      </c>
      <c r="C529" t="s">
        <v>126</v>
      </c>
      <c r="D529">
        <v>139293</v>
      </c>
      <c r="E529" s="4">
        <v>740</v>
      </c>
      <c r="F529" s="5">
        <v>44620</v>
      </c>
      <c r="G529" t="str">
        <f>"202202179228"</f>
        <v>202202179228</v>
      </c>
      <c r="H529" t="str">
        <f>"Public Notices Eections"</f>
        <v>Public Notices Eections</v>
      </c>
    </row>
    <row r="530" spans="1:10" x14ac:dyDescent="0.25">
      <c r="A530" t="str">
        <f>""</f>
        <v/>
      </c>
      <c r="B530" t="str">
        <f>""</f>
        <v/>
      </c>
      <c r="G530" t="str">
        <f>"202202229294"</f>
        <v>202202229294</v>
      </c>
      <c r="H530" t="str">
        <f>"Pub. Notice RFP 22BCP01B"</f>
        <v>Pub. Notice RFP 22BCP01B</v>
      </c>
    </row>
    <row r="531" spans="1:10" x14ac:dyDescent="0.25">
      <c r="A531" t="str">
        <f>""</f>
        <v/>
      </c>
      <c r="B531" t="str">
        <f>""</f>
        <v/>
      </c>
      <c r="G531" t="str">
        <f>"202202229295"</f>
        <v>202202229295</v>
      </c>
      <c r="H531" t="str">
        <f>"Notice RFP 22BCP02A"</f>
        <v>Notice RFP 22BCP02A</v>
      </c>
    </row>
    <row r="532" spans="1:10" x14ac:dyDescent="0.25">
      <c r="A532" t="str">
        <f>"01"</f>
        <v>01</v>
      </c>
      <c r="B532" t="str">
        <f>"003710"</f>
        <v>003710</v>
      </c>
      <c r="C532" t="s">
        <v>127</v>
      </c>
      <c r="D532">
        <v>139294</v>
      </c>
      <c r="E532" s="4">
        <v>350</v>
      </c>
      <c r="F532" s="5">
        <v>44620</v>
      </c>
      <c r="G532" t="str">
        <f>"202202239332"</f>
        <v>202202239332</v>
      </c>
      <c r="H532" t="str">
        <f>"TRANDSPORT/BRADY CENTER"</f>
        <v>TRANDSPORT/BRADY CENTER</v>
      </c>
      <c r="I532" s="4">
        <v>350</v>
      </c>
      <c r="J532" t="str">
        <f>"TRANDSPORT/BRADY CENTER"</f>
        <v>TRANDSPORT/BRADY CENTER</v>
      </c>
    </row>
    <row r="533" spans="1:10" x14ac:dyDescent="0.25">
      <c r="A533" t="str">
        <f>"01"</f>
        <v>01</v>
      </c>
      <c r="B533" t="str">
        <f>"EU"</f>
        <v>EU</v>
      </c>
      <c r="C533" t="s">
        <v>128</v>
      </c>
      <c r="D533">
        <v>139000</v>
      </c>
      <c r="E533" s="4">
        <v>1421.27</v>
      </c>
      <c r="F533" s="5">
        <v>44603</v>
      </c>
      <c r="G533" t="str">
        <f>"202202118942"</f>
        <v>202202118942</v>
      </c>
      <c r="H533" t="str">
        <f>"ACCT#007-0008410-002/01312022"</f>
        <v>ACCT#007-0008410-002/01312022</v>
      </c>
      <c r="I533" s="4">
        <v>259.2</v>
      </c>
      <c r="J533" t="str">
        <f>"ACCT#007-0008410-002/01312022"</f>
        <v>ACCT#007-0008410-002/01312022</v>
      </c>
    </row>
    <row r="534" spans="1:10" x14ac:dyDescent="0.25">
      <c r="A534" t="str">
        <f>""</f>
        <v/>
      </c>
      <c r="B534" t="str">
        <f>""</f>
        <v/>
      </c>
      <c r="G534" t="str">
        <f>"202202118943"</f>
        <v>202202118943</v>
      </c>
      <c r="H534" t="str">
        <f>"ACCT#007-0011501-000//01312022"</f>
        <v>ACCT#007-0011501-000//01312022</v>
      </c>
      <c r="I534" s="4">
        <v>184.26</v>
      </c>
      <c r="J534" t="str">
        <f>"ACCT#007-0011501-000//01312022"</f>
        <v>ACCT#007-0011501-000//01312022</v>
      </c>
    </row>
    <row r="535" spans="1:10" x14ac:dyDescent="0.25">
      <c r="A535" t="str">
        <f>""</f>
        <v/>
      </c>
      <c r="B535" t="str">
        <f>""</f>
        <v/>
      </c>
      <c r="G535" t="str">
        <f>"202202118944"</f>
        <v>202202118944</v>
      </c>
      <c r="H535" t="str">
        <f>"ACCT#007-0011510-00//01312022"</f>
        <v>ACCT#007-0011510-00//01312022</v>
      </c>
      <c r="I535" s="4">
        <v>405.27</v>
      </c>
      <c r="J535" t="str">
        <f>"ACCT#007-0011510-00//01312022"</f>
        <v>ACCT#007-0011510-00//01312022</v>
      </c>
    </row>
    <row r="536" spans="1:10" x14ac:dyDescent="0.25">
      <c r="A536" t="str">
        <f>""</f>
        <v/>
      </c>
      <c r="B536" t="str">
        <f>""</f>
        <v/>
      </c>
      <c r="G536" t="str">
        <f>"202202118945"</f>
        <v>202202118945</v>
      </c>
      <c r="H536" t="str">
        <f>"ACCT#007-0011530-000/01312022"</f>
        <v>ACCT#007-0011530-000/01312022</v>
      </c>
      <c r="I536" s="4">
        <v>108.67</v>
      </c>
      <c r="J536" t="str">
        <f>"ACCT#007-0011530-000/01312022"</f>
        <v>ACCT#007-0011530-000/01312022</v>
      </c>
    </row>
    <row r="537" spans="1:10" x14ac:dyDescent="0.25">
      <c r="A537" t="str">
        <f>""</f>
        <v/>
      </c>
      <c r="B537" t="str">
        <f>""</f>
        <v/>
      </c>
      <c r="G537" t="str">
        <f>"202202118946"</f>
        <v>202202118946</v>
      </c>
      <c r="H537" t="str">
        <f>"ACCT#007-0011534-001/01312022"</f>
        <v>ACCT#007-0011534-001/01312022</v>
      </c>
      <c r="I537" s="4">
        <v>241.11</v>
      </c>
      <c r="J537" t="str">
        <f>"ACCT#007-0011534-001/01312022"</f>
        <v>ACCT#007-0011534-001/01312022</v>
      </c>
    </row>
    <row r="538" spans="1:10" x14ac:dyDescent="0.25">
      <c r="A538" t="str">
        <f>""</f>
        <v/>
      </c>
      <c r="B538" t="str">
        <f>""</f>
        <v/>
      </c>
      <c r="G538" t="str">
        <f>"202202118947"</f>
        <v>202202118947</v>
      </c>
      <c r="H538" t="str">
        <f>"ACCT#007-0011535-000//01312022"</f>
        <v>ACCT#007-0011535-000//01312022</v>
      </c>
      <c r="I538" s="4">
        <v>98.2</v>
      </c>
      <c r="J538" t="str">
        <f>"ACCT#007-0011535-000//01312022"</f>
        <v>ACCT#007-0011535-000//01312022</v>
      </c>
    </row>
    <row r="539" spans="1:10" x14ac:dyDescent="0.25">
      <c r="A539" t="str">
        <f>""</f>
        <v/>
      </c>
      <c r="B539" t="str">
        <f>""</f>
        <v/>
      </c>
      <c r="G539" t="str">
        <f>"202202118948"</f>
        <v>202202118948</v>
      </c>
      <c r="H539" t="str">
        <f>"ACCT#007-0071128-001//01312022"</f>
        <v>ACCT#007-0071128-001//01312022</v>
      </c>
      <c r="I539" s="4">
        <v>124.56</v>
      </c>
      <c r="J539" t="str">
        <f>"ACCT#007-0071128-001//01312022"</f>
        <v>ACCT#007-0071128-001//01312022</v>
      </c>
    </row>
    <row r="540" spans="1:10" x14ac:dyDescent="0.25">
      <c r="A540" t="str">
        <f>"01"</f>
        <v>01</v>
      </c>
      <c r="B540" t="str">
        <f>"003027"</f>
        <v>003027</v>
      </c>
      <c r="C540" t="s">
        <v>129</v>
      </c>
      <c r="D540">
        <v>139065</v>
      </c>
      <c r="E540" s="4">
        <v>25.41</v>
      </c>
      <c r="F540" s="5">
        <v>44606</v>
      </c>
      <c r="G540" t="str">
        <f>"145-59414-01"</f>
        <v>145-59414-01</v>
      </c>
      <c r="H540" t="str">
        <f>"INV 145-59414-01"</f>
        <v>INV 145-59414-01</v>
      </c>
      <c r="I540" s="4">
        <v>25.41</v>
      </c>
      <c r="J540" t="str">
        <f>"INV 145-59414-01"</f>
        <v>INV 145-59414-01</v>
      </c>
    </row>
    <row r="541" spans="1:10" x14ac:dyDescent="0.25">
      <c r="A541" t="str">
        <f>"01"</f>
        <v>01</v>
      </c>
      <c r="B541" t="str">
        <f>"T10729"</f>
        <v>T10729</v>
      </c>
      <c r="C541" t="s">
        <v>130</v>
      </c>
      <c r="D541">
        <v>139066</v>
      </c>
      <c r="E541" s="4">
        <v>39000</v>
      </c>
      <c r="F541" s="5">
        <v>44606</v>
      </c>
      <c r="G541" t="str">
        <f>"28575"</f>
        <v>28575</v>
      </c>
      <c r="H541" t="str">
        <f>"ArcGIS Annual renewal"</f>
        <v>ArcGIS Annual renewal</v>
      </c>
      <c r="I541" s="4">
        <v>19500</v>
      </c>
      <c r="J541" t="str">
        <f>"FY 22-23"</f>
        <v>FY 22-23</v>
      </c>
    </row>
    <row r="542" spans="1:10" x14ac:dyDescent="0.25">
      <c r="A542" t="str">
        <f>""</f>
        <v/>
      </c>
      <c r="B542" t="str">
        <f>""</f>
        <v/>
      </c>
      <c r="G542" t="str">
        <f>""</f>
        <v/>
      </c>
      <c r="H542" t="str">
        <f>""</f>
        <v/>
      </c>
      <c r="I542" s="4">
        <v>19500</v>
      </c>
      <c r="J542" t="str">
        <f>"FY 21-22"</f>
        <v>FY 21-22</v>
      </c>
    </row>
    <row r="543" spans="1:10" x14ac:dyDescent="0.25">
      <c r="A543" t="str">
        <f>"01"</f>
        <v>01</v>
      </c>
      <c r="B543" t="str">
        <f>"000589"</f>
        <v>000589</v>
      </c>
      <c r="C543" t="s">
        <v>131</v>
      </c>
      <c r="D543">
        <v>139295</v>
      </c>
      <c r="E543" s="4">
        <v>7130.48</v>
      </c>
      <c r="F543" s="5">
        <v>44620</v>
      </c>
      <c r="G543" t="str">
        <f>"9402642885"</f>
        <v>9402642885</v>
      </c>
      <c r="H543" t="str">
        <f>"ACCT#912922/PCT#1"</f>
        <v>ACCT#912922/PCT#1</v>
      </c>
      <c r="I543" s="4">
        <v>2223.6</v>
      </c>
      <c r="J543" t="str">
        <f>"ACCT#912922/PCT#1"</f>
        <v>ACCT#912922/PCT#1</v>
      </c>
    </row>
    <row r="544" spans="1:10" x14ac:dyDescent="0.25">
      <c r="A544" t="str">
        <f>""</f>
        <v/>
      </c>
      <c r="B544" t="str">
        <f>""</f>
        <v/>
      </c>
      <c r="G544" t="str">
        <f>"9402642886"</f>
        <v>9402642886</v>
      </c>
      <c r="H544" t="str">
        <f>"ACCT#912923/PCT#4"</f>
        <v>ACCT#912923/PCT#4</v>
      </c>
      <c r="I544" s="4">
        <v>4906.88</v>
      </c>
      <c r="J544" t="str">
        <f>"ACCT#912923/PCT#4"</f>
        <v>ACCT#912923/PCT#4</v>
      </c>
    </row>
    <row r="545" spans="1:10" x14ac:dyDescent="0.25">
      <c r="A545" t="str">
        <f>"01"</f>
        <v>01</v>
      </c>
      <c r="B545" t="str">
        <f>"006270"</f>
        <v>006270</v>
      </c>
      <c r="C545" t="s">
        <v>132</v>
      </c>
      <c r="D545">
        <v>5777</v>
      </c>
      <c r="E545" s="4">
        <v>855.5</v>
      </c>
      <c r="F545" s="5">
        <v>44607</v>
      </c>
      <c r="G545" t="str">
        <f>"6457908"</f>
        <v>6457908</v>
      </c>
      <c r="H545" t="str">
        <f>"INV 6457908"</f>
        <v>INV 6457908</v>
      </c>
      <c r="I545" s="4">
        <v>855.5</v>
      </c>
      <c r="J545" t="str">
        <f>"INV 6457908"</f>
        <v>INV 6457908</v>
      </c>
    </row>
    <row r="546" spans="1:10" x14ac:dyDescent="0.25">
      <c r="A546" t="str">
        <f>"01"</f>
        <v>01</v>
      </c>
      <c r="B546" t="str">
        <f>"FCC"</f>
        <v>FCC</v>
      </c>
      <c r="C546" t="s">
        <v>133</v>
      </c>
      <c r="D546">
        <v>5784</v>
      </c>
      <c r="E546" s="4">
        <v>12943.32</v>
      </c>
      <c r="F546" s="5">
        <v>44607</v>
      </c>
      <c r="G546" t="str">
        <f>"202202028734"</f>
        <v>202202028734</v>
      </c>
      <c r="H546" t="str">
        <f>"DECEMBER 2021"</f>
        <v>DECEMBER 2021</v>
      </c>
      <c r="I546" s="4">
        <v>12943.32</v>
      </c>
      <c r="J546" t="str">
        <f>"DECEMBER 2021"</f>
        <v>DECEMBER 2021</v>
      </c>
    </row>
    <row r="547" spans="1:10" x14ac:dyDescent="0.25">
      <c r="A547" t="str">
        <f>"01"</f>
        <v>01</v>
      </c>
      <c r="B547" t="str">
        <f>"T526"</f>
        <v>T526</v>
      </c>
      <c r="C547" t="s">
        <v>134</v>
      </c>
      <c r="D547">
        <v>139067</v>
      </c>
      <c r="E547" s="4">
        <v>14.98</v>
      </c>
      <c r="F547" s="5">
        <v>44606</v>
      </c>
      <c r="G547" t="str">
        <f>"7-628-35959"</f>
        <v>7-628-35959</v>
      </c>
      <c r="H547" t="str">
        <f>"ACCT#9960-7681-4/ELECTIONS"</f>
        <v>ACCT#9960-7681-4/ELECTIONS</v>
      </c>
      <c r="I547" s="4">
        <v>14.98</v>
      </c>
      <c r="J547" t="str">
        <f>"ACCT#9960-7681-4/ELECTIONS"</f>
        <v>ACCT#9960-7681-4/ELECTIONS</v>
      </c>
    </row>
    <row r="548" spans="1:10" x14ac:dyDescent="0.25">
      <c r="A548" t="str">
        <f>"01"</f>
        <v>01</v>
      </c>
      <c r="B548" t="str">
        <f>"T5062"</f>
        <v>T5062</v>
      </c>
      <c r="C548" t="s">
        <v>135</v>
      </c>
      <c r="D548">
        <v>139068</v>
      </c>
      <c r="E548" s="4">
        <v>907.01</v>
      </c>
      <c r="F548" s="5">
        <v>44606</v>
      </c>
      <c r="G548" t="str">
        <f>"89204848"</f>
        <v>89204848</v>
      </c>
      <c r="H548" t="str">
        <f t="shared" ref="H548:H553" si="15">"ACCT#80975-001/PCT#3"</f>
        <v>ACCT#80975-001/PCT#3</v>
      </c>
      <c r="I548" s="4">
        <v>81.81</v>
      </c>
      <c r="J548" t="str">
        <f t="shared" ref="J548:J553" si="16">"ACCT#80975-001/PCT#3"</f>
        <v>ACCT#80975-001/PCT#3</v>
      </c>
    </row>
    <row r="549" spans="1:10" x14ac:dyDescent="0.25">
      <c r="A549" t="str">
        <f>""</f>
        <v/>
      </c>
      <c r="B549" t="str">
        <f>""</f>
        <v/>
      </c>
      <c r="G549" t="str">
        <f>"89205809"</f>
        <v>89205809</v>
      </c>
      <c r="H549" t="str">
        <f t="shared" si="15"/>
        <v>ACCT#80975-001/PCT#3</v>
      </c>
      <c r="I549" s="4">
        <v>101.56</v>
      </c>
      <c r="J549" t="str">
        <f t="shared" si="16"/>
        <v>ACCT#80975-001/PCT#3</v>
      </c>
    </row>
    <row r="550" spans="1:10" x14ac:dyDescent="0.25">
      <c r="A550" t="str">
        <f>""</f>
        <v/>
      </c>
      <c r="B550" t="str">
        <f>""</f>
        <v/>
      </c>
      <c r="G550" t="str">
        <f>"89566856"</f>
        <v>89566856</v>
      </c>
      <c r="H550" t="str">
        <f t="shared" si="15"/>
        <v>ACCT#80975-001/PCT#3</v>
      </c>
      <c r="I550" s="4">
        <v>273.91000000000003</v>
      </c>
      <c r="J550" t="str">
        <f t="shared" si="16"/>
        <v>ACCT#80975-001/PCT#3</v>
      </c>
    </row>
    <row r="551" spans="1:10" x14ac:dyDescent="0.25">
      <c r="A551" t="str">
        <f>""</f>
        <v/>
      </c>
      <c r="B551" t="str">
        <f>""</f>
        <v/>
      </c>
      <c r="G551" t="str">
        <f>"91627653"</f>
        <v>91627653</v>
      </c>
      <c r="H551" t="str">
        <f t="shared" si="15"/>
        <v>ACCT#80975-001/PCT#3</v>
      </c>
      <c r="I551" s="4">
        <v>398.13</v>
      </c>
      <c r="J551" t="str">
        <f t="shared" si="16"/>
        <v>ACCT#80975-001/PCT#3</v>
      </c>
    </row>
    <row r="552" spans="1:10" x14ac:dyDescent="0.25">
      <c r="A552" t="str">
        <f>""</f>
        <v/>
      </c>
      <c r="B552" t="str">
        <f>""</f>
        <v/>
      </c>
      <c r="G552" t="str">
        <f>"91639458"</f>
        <v>91639458</v>
      </c>
      <c r="H552" t="str">
        <f t="shared" si="15"/>
        <v>ACCT#80975-001/PCT#3</v>
      </c>
      <c r="I552" s="4">
        <v>10.74</v>
      </c>
      <c r="J552" t="str">
        <f t="shared" si="16"/>
        <v>ACCT#80975-001/PCT#3</v>
      </c>
    </row>
    <row r="553" spans="1:10" x14ac:dyDescent="0.25">
      <c r="A553" t="str">
        <f>""</f>
        <v/>
      </c>
      <c r="B553" t="str">
        <f>""</f>
        <v/>
      </c>
      <c r="G553" t="str">
        <f>"91896855"</f>
        <v>91896855</v>
      </c>
      <c r="H553" t="str">
        <f t="shared" si="15"/>
        <v>ACCT#80975-001/PCT#3</v>
      </c>
      <c r="I553" s="4">
        <v>40.86</v>
      </c>
      <c r="J553" t="str">
        <f t="shared" si="16"/>
        <v>ACCT#80975-001/PCT#3</v>
      </c>
    </row>
    <row r="554" spans="1:10" x14ac:dyDescent="0.25">
      <c r="A554" t="str">
        <f t="shared" ref="A554:A560" si="17">"01"</f>
        <v>01</v>
      </c>
      <c r="B554" t="str">
        <f>"006631"</f>
        <v>006631</v>
      </c>
      <c r="C554" t="s">
        <v>136</v>
      </c>
      <c r="D554">
        <v>139069</v>
      </c>
      <c r="E554" s="4">
        <v>729</v>
      </c>
      <c r="F554" s="5">
        <v>44606</v>
      </c>
      <c r="G554" t="str">
        <f>"202202088810"</f>
        <v>202202088810</v>
      </c>
      <c r="H554" t="str">
        <f>"ACCT#FM12291/AMINAL SVCS"</f>
        <v>ACCT#FM12291/AMINAL SVCS</v>
      </c>
      <c r="I554" s="4">
        <v>729</v>
      </c>
      <c r="J554" t="str">
        <f>"ACCT#FM12291/AMINAL SVCS"</f>
        <v>ACCT#FM12291/AMINAL SVCS</v>
      </c>
    </row>
    <row r="555" spans="1:10" x14ac:dyDescent="0.25">
      <c r="A555" t="str">
        <f t="shared" si="17"/>
        <v>01</v>
      </c>
      <c r="B555" t="str">
        <f>"FLS"</f>
        <v>FLS</v>
      </c>
      <c r="C555" t="s">
        <v>137</v>
      </c>
      <c r="D555">
        <v>5785</v>
      </c>
      <c r="E555" s="4">
        <v>250</v>
      </c>
      <c r="F555" s="5">
        <v>44607</v>
      </c>
      <c r="G555" t="str">
        <f>"202201258553"</f>
        <v>202201258553</v>
      </c>
      <c r="H555" t="str">
        <f>"J-3259"</f>
        <v>J-3259</v>
      </c>
      <c r="I555" s="4">
        <v>250</v>
      </c>
      <c r="J555" t="str">
        <f>"J-3259"</f>
        <v>J-3259</v>
      </c>
    </row>
    <row r="556" spans="1:10" x14ac:dyDescent="0.25">
      <c r="A556" t="str">
        <f t="shared" si="17"/>
        <v>01</v>
      </c>
      <c r="B556" t="str">
        <f>"002544"</f>
        <v>002544</v>
      </c>
      <c r="C556" t="s">
        <v>138</v>
      </c>
      <c r="D556">
        <v>139296</v>
      </c>
      <c r="E556" s="4">
        <v>80</v>
      </c>
      <c r="F556" s="5">
        <v>44620</v>
      </c>
      <c r="G556" t="str">
        <f>"13452"</f>
        <v>13452</v>
      </c>
      <c r="H556" t="str">
        <f>"SERVICE"</f>
        <v>SERVICE</v>
      </c>
      <c r="I556" s="4">
        <v>80</v>
      </c>
      <c r="J556" t="str">
        <f>"SERVICE"</f>
        <v>SERVICE</v>
      </c>
    </row>
    <row r="557" spans="1:10" x14ac:dyDescent="0.25">
      <c r="A557" t="str">
        <f t="shared" si="17"/>
        <v>01</v>
      </c>
      <c r="B557" t="str">
        <f>"005706"</f>
        <v>005706</v>
      </c>
      <c r="C557" t="s">
        <v>139</v>
      </c>
      <c r="D557">
        <v>5773</v>
      </c>
      <c r="E557" s="4">
        <v>386.1</v>
      </c>
      <c r="F557" s="5">
        <v>44607</v>
      </c>
      <c r="G557" t="str">
        <f>"202202098851"</f>
        <v>202202098851</v>
      </c>
      <c r="H557" t="str">
        <f>"REIMBURSE/FRANCES HUNTER"</f>
        <v>REIMBURSE/FRANCES HUNTER</v>
      </c>
      <c r="I557" s="4">
        <v>386.1</v>
      </c>
      <c r="J557" t="str">
        <f>"REIMBURSE/FRANCES HUNTER"</f>
        <v>REIMBURSE/FRANCES HUNTER</v>
      </c>
    </row>
    <row r="558" spans="1:10" x14ac:dyDescent="0.25">
      <c r="A558" t="str">
        <f t="shared" si="17"/>
        <v>01</v>
      </c>
      <c r="B558" t="str">
        <f>"006860"</f>
        <v>006860</v>
      </c>
      <c r="C558" t="s">
        <v>140</v>
      </c>
      <c r="D558">
        <v>139070</v>
      </c>
      <c r="E558" s="4">
        <v>100</v>
      </c>
      <c r="F558" s="5">
        <v>44606</v>
      </c>
      <c r="G558" t="str">
        <f>"16703"</f>
        <v>16703</v>
      </c>
      <c r="H558" t="str">
        <f>"REIMBURSE/FRED GAINES"</f>
        <v>REIMBURSE/FRED GAINES</v>
      </c>
      <c r="I558" s="4">
        <v>100</v>
      </c>
      <c r="J558" t="str">
        <f>"REIMBURSE/FRED GAINES"</f>
        <v>REIMBURSE/FRED GAINES</v>
      </c>
    </row>
    <row r="559" spans="1:10" x14ac:dyDescent="0.25">
      <c r="A559" t="str">
        <f t="shared" si="17"/>
        <v>01</v>
      </c>
      <c r="B559" t="str">
        <f>"005738"</f>
        <v>005738</v>
      </c>
      <c r="C559" t="s">
        <v>141</v>
      </c>
      <c r="D559">
        <v>139297</v>
      </c>
      <c r="E559" s="4">
        <v>220</v>
      </c>
      <c r="F559" s="5">
        <v>44620</v>
      </c>
      <c r="G559" t="str">
        <f>"13041"</f>
        <v>13041</v>
      </c>
      <c r="H559" t="str">
        <f>"INV 13041"</f>
        <v>INV 13041</v>
      </c>
      <c r="I559" s="4">
        <v>220</v>
      </c>
      <c r="J559" t="str">
        <f>"INV 13041"</f>
        <v>INV 13041</v>
      </c>
    </row>
    <row r="560" spans="1:10" x14ac:dyDescent="0.25">
      <c r="A560" t="str">
        <f t="shared" si="17"/>
        <v>01</v>
      </c>
      <c r="B560" t="str">
        <f>"006852"</f>
        <v>006852</v>
      </c>
      <c r="C560" t="s">
        <v>142</v>
      </c>
      <c r="D560">
        <v>139071</v>
      </c>
      <c r="E560" s="4">
        <v>1926.61</v>
      </c>
      <c r="F560" s="5">
        <v>44606</v>
      </c>
      <c r="G560" t="str">
        <f>"R105000309"</f>
        <v>R105000309</v>
      </c>
      <c r="H560" t="str">
        <f>"CUST#T02564/PCT#2"</f>
        <v>CUST#T02564/PCT#2</v>
      </c>
      <c r="I560" s="4">
        <v>541.16999999999996</v>
      </c>
      <c r="J560" t="str">
        <f>"CUST#T02564/PCT#2"</f>
        <v>CUST#T02564/PCT#2</v>
      </c>
    </row>
    <row r="561" spans="1:10" x14ac:dyDescent="0.25">
      <c r="A561" t="str">
        <f>""</f>
        <v/>
      </c>
      <c r="B561" t="str">
        <f>""</f>
        <v/>
      </c>
      <c r="G561" t="str">
        <f>"X105001936"</f>
        <v>X105001936</v>
      </c>
      <c r="H561" t="str">
        <f>"CUST#T02489/PCT#3"</f>
        <v>CUST#T02489/PCT#3</v>
      </c>
      <c r="I561" s="4">
        <v>8.94</v>
      </c>
      <c r="J561" t="str">
        <f>"CUST#T02489/PCT#3"</f>
        <v>CUST#T02489/PCT#3</v>
      </c>
    </row>
    <row r="562" spans="1:10" x14ac:dyDescent="0.25">
      <c r="A562" t="str">
        <f>""</f>
        <v/>
      </c>
      <c r="B562" t="str">
        <f>""</f>
        <v/>
      </c>
      <c r="G562" t="str">
        <f>"X105002899"</f>
        <v>X105002899</v>
      </c>
      <c r="H562" t="str">
        <f>"CUST#T02489/#3"</f>
        <v>CUST#T02489/#3</v>
      </c>
      <c r="I562" s="4">
        <v>781.5</v>
      </c>
      <c r="J562" t="str">
        <f>"CUST#T02489/#3"</f>
        <v>CUST#T02489/#3</v>
      </c>
    </row>
    <row r="563" spans="1:10" x14ac:dyDescent="0.25">
      <c r="A563" t="str">
        <f>""</f>
        <v/>
      </c>
      <c r="B563" t="str">
        <f>""</f>
        <v/>
      </c>
      <c r="G563" t="str">
        <f>"X113001498"</f>
        <v>X113001498</v>
      </c>
      <c r="H563" t="str">
        <f>"CUST#T02489/PCT#3"</f>
        <v>CUST#T02489/PCT#3</v>
      </c>
      <c r="I563" s="4">
        <v>595</v>
      </c>
      <c r="J563" t="str">
        <f>"CUST#T02489/PCT#3"</f>
        <v>CUST#T02489/PCT#3</v>
      </c>
    </row>
    <row r="564" spans="1:10" x14ac:dyDescent="0.25">
      <c r="A564" t="str">
        <f>"01"</f>
        <v>01</v>
      </c>
      <c r="B564" t="str">
        <f>"006852"</f>
        <v>006852</v>
      </c>
      <c r="C564" t="s">
        <v>142</v>
      </c>
      <c r="D564">
        <v>139298</v>
      </c>
      <c r="E564" s="4">
        <v>285.66000000000003</v>
      </c>
      <c r="F564" s="5">
        <v>44620</v>
      </c>
      <c r="G564" t="str">
        <f>"X105003590"</f>
        <v>X105003590</v>
      </c>
      <c r="H564" t="str">
        <f>"CUST#T02564/PCT#2"</f>
        <v>CUST#T02564/PCT#2</v>
      </c>
      <c r="I564" s="4">
        <v>81.150000000000006</v>
      </c>
      <c r="J564" t="str">
        <f>"CUST#T02564/PCT#2"</f>
        <v>CUST#T02564/PCT#2</v>
      </c>
    </row>
    <row r="565" spans="1:10" x14ac:dyDescent="0.25">
      <c r="A565" t="str">
        <f>""</f>
        <v/>
      </c>
      <c r="B565" t="str">
        <f>""</f>
        <v/>
      </c>
      <c r="G565" t="str">
        <f>"X105004103"</f>
        <v>X105004103</v>
      </c>
      <c r="H565" t="str">
        <f>"CUST#T02564/PCT#2"</f>
        <v>CUST#T02564/PCT#2</v>
      </c>
      <c r="I565" s="4">
        <v>204.51</v>
      </c>
      <c r="J565" t="str">
        <f>"CUST#T02564/PCT#2"</f>
        <v>CUST#T02564/PCT#2</v>
      </c>
    </row>
    <row r="566" spans="1:10" x14ac:dyDescent="0.25">
      <c r="A566" t="str">
        <f>"01"</f>
        <v>01</v>
      </c>
      <c r="B566" t="str">
        <f>"GC"</f>
        <v>GC</v>
      </c>
      <c r="C566" t="s">
        <v>143</v>
      </c>
      <c r="D566">
        <v>5786</v>
      </c>
      <c r="E566" s="4">
        <v>353.75</v>
      </c>
      <c r="F566" s="5">
        <v>44607</v>
      </c>
      <c r="G566" t="str">
        <f>"116209"</f>
        <v>116209</v>
      </c>
      <c r="H566" t="str">
        <f>"BUSINESS CARDS/ DEVELOPMENT"</f>
        <v>BUSINESS CARDS/ DEVELOPMENT</v>
      </c>
      <c r="I566" s="4">
        <v>122.6</v>
      </c>
      <c r="J566" t="str">
        <f>"BUSINESS CARDS/ DEVELOPMENT"</f>
        <v>BUSINESS CARDS/ DEVELOPMENT</v>
      </c>
    </row>
    <row r="567" spans="1:10" x14ac:dyDescent="0.25">
      <c r="A567" t="str">
        <f>""</f>
        <v/>
      </c>
      <c r="B567" t="str">
        <f>""</f>
        <v/>
      </c>
      <c r="G567" t="str">
        <f>"116210"</f>
        <v>116210</v>
      </c>
      <c r="H567" t="str">
        <f>"CARDS/DEVELOPMENT SVCS"</f>
        <v>CARDS/DEVELOPMENT SVCS</v>
      </c>
      <c r="I567" s="4">
        <v>35.200000000000003</v>
      </c>
      <c r="J567" t="str">
        <f>"CARDS/DEVELOPMENT SVCS"</f>
        <v>CARDS/DEVELOPMENT SVCS</v>
      </c>
    </row>
    <row r="568" spans="1:10" x14ac:dyDescent="0.25">
      <c r="A568" t="str">
        <f>""</f>
        <v/>
      </c>
      <c r="B568" t="str">
        <f>""</f>
        <v/>
      </c>
      <c r="G568" t="str">
        <f>"116246"</f>
        <v>116246</v>
      </c>
      <c r="H568" t="str">
        <f>"INV GC 116246"</f>
        <v>INV GC 116246</v>
      </c>
      <c r="I568" s="4">
        <v>195.95</v>
      </c>
      <c r="J568" t="str">
        <f>"INV GC 116246"</f>
        <v>INV GC 116246</v>
      </c>
    </row>
    <row r="569" spans="1:10" x14ac:dyDescent="0.25">
      <c r="A569" t="str">
        <f>"01"</f>
        <v>01</v>
      </c>
      <c r="B569" t="str">
        <f>"T3839"</f>
        <v>T3839</v>
      </c>
      <c r="C569" t="s">
        <v>144</v>
      </c>
      <c r="D569">
        <v>139072</v>
      </c>
      <c r="E569" s="4">
        <v>629.85</v>
      </c>
      <c r="F569" s="5">
        <v>44606</v>
      </c>
      <c r="G569" t="str">
        <f>"020011332"</f>
        <v>020011332</v>
      </c>
      <c r="H569" t="str">
        <f>"INV 020011332"</f>
        <v>INV 020011332</v>
      </c>
      <c r="I569" s="4">
        <v>402.9</v>
      </c>
      <c r="J569" t="str">
        <f>"INV 020011332"</f>
        <v>INV 020011332</v>
      </c>
    </row>
    <row r="570" spans="1:10" x14ac:dyDescent="0.25">
      <c r="A570" t="str">
        <f>""</f>
        <v/>
      </c>
      <c r="B570" t="str">
        <f>""</f>
        <v/>
      </c>
      <c r="G570" t="str">
        <f>"02032464"</f>
        <v>02032464</v>
      </c>
      <c r="H570" t="str">
        <f>"INV 020302464"</f>
        <v>INV 020302464</v>
      </c>
      <c r="I570" s="4">
        <v>11.48</v>
      </c>
      <c r="J570" t="str">
        <f>"INV 020302464"</f>
        <v>INV 020302464</v>
      </c>
    </row>
    <row r="571" spans="1:10" x14ac:dyDescent="0.25">
      <c r="A571" t="str">
        <f>""</f>
        <v/>
      </c>
      <c r="B571" t="str">
        <f>""</f>
        <v/>
      </c>
      <c r="G571" t="str">
        <f>"020339702"</f>
        <v>020339702</v>
      </c>
      <c r="H571" t="str">
        <f>"INV 020339702"</f>
        <v>INV 020339702</v>
      </c>
      <c r="I571" s="4">
        <v>11.48</v>
      </c>
      <c r="J571" t="str">
        <f>"INV 020339702"</f>
        <v>INV 020339702</v>
      </c>
    </row>
    <row r="572" spans="1:10" x14ac:dyDescent="0.25">
      <c r="A572" t="str">
        <f>""</f>
        <v/>
      </c>
      <c r="B572" t="str">
        <f>""</f>
        <v/>
      </c>
      <c r="G572" t="str">
        <f>"202201318604"</f>
        <v>202201318604</v>
      </c>
      <c r="H572" t="str">
        <f>"GALLS PARENT HOLDINGS LLC"</f>
        <v>GALLS PARENT HOLDINGS LLC</v>
      </c>
      <c r="I572" s="4">
        <v>55</v>
      </c>
      <c r="J572" t="str">
        <f>"Tac Lite Pants"</f>
        <v>Tac Lite Pants</v>
      </c>
    </row>
    <row r="573" spans="1:10" x14ac:dyDescent="0.25">
      <c r="A573" t="str">
        <f>""</f>
        <v/>
      </c>
      <c r="B573" t="str">
        <f>""</f>
        <v/>
      </c>
      <c r="G573" t="str">
        <f>""</f>
        <v/>
      </c>
      <c r="H573" t="str">
        <f>""</f>
        <v/>
      </c>
      <c r="I573" s="4">
        <v>148.99</v>
      </c>
      <c r="J573" t="str">
        <f>"3 in 1 Jacket"</f>
        <v>3 in 1 Jacket</v>
      </c>
    </row>
    <row r="574" spans="1:10" x14ac:dyDescent="0.25">
      <c r="A574" t="str">
        <f>"01"</f>
        <v>01</v>
      </c>
      <c r="B574" t="str">
        <f>"T3839"</f>
        <v>T3839</v>
      </c>
      <c r="C574" t="s">
        <v>144</v>
      </c>
      <c r="D574">
        <v>139299</v>
      </c>
      <c r="E574" s="4">
        <v>99.46</v>
      </c>
      <c r="F574" s="5">
        <v>44620</v>
      </c>
      <c r="G574" t="str">
        <f>"020431617"</f>
        <v>020431617</v>
      </c>
      <c r="H574" t="str">
        <f>"INV 020431617"</f>
        <v>INV 020431617</v>
      </c>
      <c r="I574" s="4">
        <v>11.48</v>
      </c>
      <c r="J574" t="str">
        <f>"INV 020431617"</f>
        <v>INV 020431617</v>
      </c>
    </row>
    <row r="575" spans="1:10" x14ac:dyDescent="0.25">
      <c r="A575" t="str">
        <f>""</f>
        <v/>
      </c>
      <c r="B575" t="str">
        <f>""</f>
        <v/>
      </c>
      <c r="G575" t="str">
        <f>"020431618"</f>
        <v>020431618</v>
      </c>
      <c r="H575" t="str">
        <f>"INV 020431618"</f>
        <v>INV 020431618</v>
      </c>
      <c r="I575" s="4">
        <v>11.48</v>
      </c>
      <c r="J575" t="str">
        <f>"INV 020431618"</f>
        <v>INV 020431618</v>
      </c>
    </row>
    <row r="576" spans="1:10" x14ac:dyDescent="0.25">
      <c r="A576" t="str">
        <f>""</f>
        <v/>
      </c>
      <c r="B576" t="str">
        <f>""</f>
        <v/>
      </c>
      <c r="G576" t="str">
        <f>"020456462"</f>
        <v>020456462</v>
      </c>
      <c r="H576" t="str">
        <f>"INV 020456462"</f>
        <v>INV 020456462</v>
      </c>
      <c r="I576" s="4">
        <v>76.5</v>
      </c>
      <c r="J576" t="str">
        <f>"INV 020456462"</f>
        <v>INV 020456462</v>
      </c>
    </row>
    <row r="577" spans="1:10" x14ac:dyDescent="0.25">
      <c r="A577" t="str">
        <f t="shared" ref="A577:A582" si="18">"01"</f>
        <v>01</v>
      </c>
      <c r="B577" t="str">
        <f>"T5794"</f>
        <v>T5794</v>
      </c>
      <c r="C577" t="s">
        <v>145</v>
      </c>
      <c r="D577">
        <v>139300</v>
      </c>
      <c r="E577" s="4">
        <v>356.04</v>
      </c>
      <c r="F577" s="5">
        <v>44620</v>
      </c>
      <c r="G577" t="str">
        <f>"N75751"</f>
        <v>N75751</v>
      </c>
      <c r="H577" t="str">
        <f>"CUST#02141/OEM"</f>
        <v>CUST#02141/OEM</v>
      </c>
      <c r="I577" s="4">
        <v>356.04</v>
      </c>
      <c r="J577" t="str">
        <f>"CUST#02141/OEM"</f>
        <v>CUST#02141/OEM</v>
      </c>
    </row>
    <row r="578" spans="1:10" x14ac:dyDescent="0.25">
      <c r="A578" t="str">
        <f t="shared" si="18"/>
        <v>01</v>
      </c>
      <c r="B578" t="str">
        <f>"004204"</f>
        <v>004204</v>
      </c>
      <c r="C578" t="s">
        <v>146</v>
      </c>
      <c r="D578">
        <v>139301</v>
      </c>
      <c r="E578" s="4">
        <v>399</v>
      </c>
      <c r="F578" s="5">
        <v>44620</v>
      </c>
      <c r="G578" t="str">
        <f>"311804"</f>
        <v>311804</v>
      </c>
      <c r="H578" t="str">
        <f>"INV 311804"</f>
        <v>INV 311804</v>
      </c>
      <c r="I578" s="4">
        <v>399</v>
      </c>
      <c r="J578" t="str">
        <f>"INV 311804"</f>
        <v>INV 311804</v>
      </c>
    </row>
    <row r="579" spans="1:10" x14ac:dyDescent="0.25">
      <c r="A579" t="str">
        <f t="shared" si="18"/>
        <v>01</v>
      </c>
      <c r="B579" t="str">
        <f>"WWGI"</f>
        <v>WWGI</v>
      </c>
      <c r="C579" t="s">
        <v>147</v>
      </c>
      <c r="D579">
        <v>139073</v>
      </c>
      <c r="E579" s="4">
        <v>1430.31</v>
      </c>
      <c r="F579" s="5">
        <v>44606</v>
      </c>
      <c r="G579" t="str">
        <f>"1436749012"</f>
        <v>1436749012</v>
      </c>
      <c r="H579" t="str">
        <f>"ACCT#814880730"</f>
        <v>ACCT#814880730</v>
      </c>
      <c r="I579" s="4">
        <v>1430.31</v>
      </c>
      <c r="J579" t="str">
        <f>"ACCT#814780730/GENERAL SVCS"</f>
        <v>ACCT#814780730/GENERAL SVCS</v>
      </c>
    </row>
    <row r="580" spans="1:10" x14ac:dyDescent="0.25">
      <c r="A580" t="str">
        <f t="shared" si="18"/>
        <v>01</v>
      </c>
      <c r="B580" t="str">
        <f>"006455"</f>
        <v>006455</v>
      </c>
      <c r="C580" t="s">
        <v>148</v>
      </c>
      <c r="D580">
        <v>139074</v>
      </c>
      <c r="E580" s="4">
        <v>100</v>
      </c>
      <c r="F580" s="5">
        <v>44606</v>
      </c>
      <c r="G580" t="str">
        <f>"2429"</f>
        <v>2429</v>
      </c>
      <c r="H580" t="str">
        <f>"ITMOM"</f>
        <v>ITMOM</v>
      </c>
      <c r="I580" s="4">
        <v>100</v>
      </c>
      <c r="J580" t="str">
        <f>"ITMOM"</f>
        <v>ITMOM</v>
      </c>
    </row>
    <row r="581" spans="1:10" x14ac:dyDescent="0.25">
      <c r="A581" t="str">
        <f t="shared" si="18"/>
        <v>01</v>
      </c>
      <c r="B581" t="str">
        <f>"006455"</f>
        <v>006455</v>
      </c>
      <c r="C581" t="s">
        <v>148</v>
      </c>
      <c r="D581">
        <v>139302</v>
      </c>
      <c r="E581" s="4">
        <v>367.86</v>
      </c>
      <c r="F581" s="5">
        <v>44620</v>
      </c>
      <c r="G581" t="str">
        <f>"2435"</f>
        <v>2435</v>
      </c>
      <c r="H581" t="str">
        <f>"SPANISH INTERPRETING"</f>
        <v>SPANISH INTERPRETING</v>
      </c>
      <c r="I581" s="4">
        <v>367.86</v>
      </c>
      <c r="J581" t="str">
        <f>"SPANISH INTERPRETING"</f>
        <v>SPANISH INTERPRETING</v>
      </c>
    </row>
    <row r="582" spans="1:10" x14ac:dyDescent="0.25">
      <c r="A582" t="str">
        <f t="shared" si="18"/>
        <v>01</v>
      </c>
      <c r="B582" t="str">
        <f>"GTDI"</f>
        <v>GTDI</v>
      </c>
      <c r="C582" t="s">
        <v>149</v>
      </c>
      <c r="D582">
        <v>5787</v>
      </c>
      <c r="E582" s="4">
        <v>5456.22</v>
      </c>
      <c r="F582" s="5">
        <v>44607</v>
      </c>
      <c r="G582" t="str">
        <f>"0871129"</f>
        <v>0871129</v>
      </c>
      <c r="H582" t="str">
        <f>"INV 0871129 / 0874844 / ."</f>
        <v>INV 0871129 / 0874844 / .</v>
      </c>
      <c r="I582" s="4">
        <v>9.9</v>
      </c>
      <c r="J582" t="str">
        <f>"INV 0871129"</f>
        <v>INV 0871129</v>
      </c>
    </row>
    <row r="583" spans="1:10" x14ac:dyDescent="0.25">
      <c r="A583" t="str">
        <f>""</f>
        <v/>
      </c>
      <c r="B583" t="str">
        <f>""</f>
        <v/>
      </c>
      <c r="G583" t="str">
        <f>""</f>
        <v/>
      </c>
      <c r="H583" t="str">
        <f>""</f>
        <v/>
      </c>
      <c r="I583" s="4">
        <v>698.45</v>
      </c>
      <c r="J583" t="str">
        <f>"INV 0874844"</f>
        <v>INV 0874844</v>
      </c>
    </row>
    <row r="584" spans="1:10" x14ac:dyDescent="0.25">
      <c r="A584" t="str">
        <f>""</f>
        <v/>
      </c>
      <c r="B584" t="str">
        <f>""</f>
        <v/>
      </c>
      <c r="G584" t="str">
        <f>""</f>
        <v/>
      </c>
      <c r="H584" t="str">
        <f>""</f>
        <v/>
      </c>
      <c r="I584" s="4">
        <v>-45</v>
      </c>
      <c r="J584" t="str">
        <f>"SRTN 0040833 CREDIT"</f>
        <v>SRTN 0040833 CREDIT</v>
      </c>
    </row>
    <row r="585" spans="1:10" x14ac:dyDescent="0.25">
      <c r="A585" t="str">
        <f>""</f>
        <v/>
      </c>
      <c r="B585" t="str">
        <f>""</f>
        <v/>
      </c>
      <c r="G585" t="str">
        <f>"0872461"</f>
        <v>0872461</v>
      </c>
      <c r="H585" t="str">
        <f>"INV 0872461 / 0876699 /."</f>
        <v>INV 0872461 / 0876699 /.</v>
      </c>
      <c r="I585" s="4">
        <v>4.95</v>
      </c>
      <c r="J585" t="str">
        <f>"INV 0872461"</f>
        <v>INV 0872461</v>
      </c>
    </row>
    <row r="586" spans="1:10" x14ac:dyDescent="0.25">
      <c r="A586" t="str">
        <f>""</f>
        <v/>
      </c>
      <c r="B586" t="str">
        <f>""</f>
        <v/>
      </c>
      <c r="G586" t="str">
        <f>""</f>
        <v/>
      </c>
      <c r="H586" t="str">
        <f>""</f>
        <v/>
      </c>
      <c r="I586" s="4">
        <v>653.45000000000005</v>
      </c>
      <c r="J586" t="str">
        <f>"INV 0876699"</f>
        <v>INV 0876699</v>
      </c>
    </row>
    <row r="587" spans="1:10" x14ac:dyDescent="0.25">
      <c r="A587" t="str">
        <f>""</f>
        <v/>
      </c>
      <c r="B587" t="str">
        <f>""</f>
        <v/>
      </c>
      <c r="G587" t="str">
        <f>""</f>
        <v/>
      </c>
      <c r="H587" t="str">
        <f>""</f>
        <v/>
      </c>
      <c r="I587" s="4">
        <v>4.95</v>
      </c>
      <c r="J587" t="str">
        <f>"INV 0886407"</f>
        <v>INV 0886407</v>
      </c>
    </row>
    <row r="588" spans="1:10" x14ac:dyDescent="0.25">
      <c r="A588" t="str">
        <f>""</f>
        <v/>
      </c>
      <c r="B588" t="str">
        <f>""</f>
        <v/>
      </c>
      <c r="G588" t="str">
        <f>"087781"</f>
        <v>087781</v>
      </c>
      <c r="H588" t="str">
        <f>"INV 0877781 / 0886400"</f>
        <v>INV 0877781 / 0886400</v>
      </c>
      <c r="I588" s="4">
        <v>99.98</v>
      </c>
      <c r="J588" t="str">
        <f>"INV 0877781"</f>
        <v>INV 0877781</v>
      </c>
    </row>
    <row r="589" spans="1:10" x14ac:dyDescent="0.25">
      <c r="A589" t="str">
        <f>""</f>
        <v/>
      </c>
      <c r="B589" t="str">
        <f>""</f>
        <v/>
      </c>
      <c r="G589" t="str">
        <f>""</f>
        <v/>
      </c>
      <c r="H589" t="str">
        <f>""</f>
        <v/>
      </c>
      <c r="I589" s="4">
        <v>4.95</v>
      </c>
      <c r="J589" t="str">
        <f>"INV 0886400"</f>
        <v>INV 0886400</v>
      </c>
    </row>
    <row r="590" spans="1:10" x14ac:dyDescent="0.25">
      <c r="A590" t="str">
        <f>""</f>
        <v/>
      </c>
      <c r="B590" t="str">
        <f>""</f>
        <v/>
      </c>
      <c r="G590" t="str">
        <f>"0877961"</f>
        <v>0877961</v>
      </c>
      <c r="H590" t="str">
        <f>"INV 0877961 / 0881181 /."</f>
        <v>INV 0877961 / 0881181 /.</v>
      </c>
      <c r="I590" s="4">
        <v>99.98</v>
      </c>
      <c r="J590" t="str">
        <f>"INV 0877961"</f>
        <v>INV 0877961</v>
      </c>
    </row>
    <row r="591" spans="1:10" x14ac:dyDescent="0.25">
      <c r="A591" t="str">
        <f>""</f>
        <v/>
      </c>
      <c r="B591" t="str">
        <f>""</f>
        <v/>
      </c>
      <c r="G591" t="str">
        <f>""</f>
        <v/>
      </c>
      <c r="H591" t="str">
        <f>""</f>
        <v/>
      </c>
      <c r="I591" s="4">
        <v>134.97999999999999</v>
      </c>
      <c r="J591" t="str">
        <f>"INV 0881181"</f>
        <v>INV 0881181</v>
      </c>
    </row>
    <row r="592" spans="1:10" x14ac:dyDescent="0.25">
      <c r="A592" t="str">
        <f>""</f>
        <v/>
      </c>
      <c r="B592" t="str">
        <f>""</f>
        <v/>
      </c>
      <c r="G592" t="str">
        <f>""</f>
        <v/>
      </c>
      <c r="H592" t="str">
        <f>""</f>
        <v/>
      </c>
      <c r="I592" s="4">
        <v>4.95</v>
      </c>
      <c r="J592" t="str">
        <f>"INV 0887228"</f>
        <v>INV 0887228</v>
      </c>
    </row>
    <row r="593" spans="1:10" x14ac:dyDescent="0.25">
      <c r="A593" t="str">
        <f>""</f>
        <v/>
      </c>
      <c r="B593" t="str">
        <f>""</f>
        <v/>
      </c>
      <c r="G593" t="str">
        <f>"0879542"</f>
        <v>0879542</v>
      </c>
      <c r="H593" t="str">
        <f>"INV0879542"</f>
        <v>INV0879542</v>
      </c>
      <c r="I593" s="4">
        <v>115.47</v>
      </c>
      <c r="J593" t="str">
        <f>"INV0879542"</f>
        <v>INV0879542</v>
      </c>
    </row>
    <row r="594" spans="1:10" x14ac:dyDescent="0.25">
      <c r="A594" t="str">
        <f>""</f>
        <v/>
      </c>
      <c r="B594" t="str">
        <f>""</f>
        <v/>
      </c>
      <c r="G594" t="str">
        <f>"0884572"</f>
        <v>0884572</v>
      </c>
      <c r="H594" t="str">
        <f>"INV0884572"</f>
        <v>INV0884572</v>
      </c>
      <c r="I594" s="4">
        <v>430</v>
      </c>
      <c r="J594" t="str">
        <f>"INV0884572"</f>
        <v>INV0884572</v>
      </c>
    </row>
    <row r="595" spans="1:10" x14ac:dyDescent="0.25">
      <c r="A595" t="str">
        <f>""</f>
        <v/>
      </c>
      <c r="B595" t="str">
        <f>""</f>
        <v/>
      </c>
      <c r="G595" t="str">
        <f>""</f>
        <v/>
      </c>
      <c r="H595" t="str">
        <f>""</f>
        <v/>
      </c>
      <c r="I595" s="4">
        <v>430</v>
      </c>
      <c r="J595" t="str">
        <f>"INV0884572"</f>
        <v>INV0884572</v>
      </c>
    </row>
    <row r="596" spans="1:10" x14ac:dyDescent="0.25">
      <c r="A596" t="str">
        <f>""</f>
        <v/>
      </c>
      <c r="B596" t="str">
        <f>""</f>
        <v/>
      </c>
      <c r="G596" t="str">
        <f>"0885339"</f>
        <v>0885339</v>
      </c>
      <c r="H596" t="str">
        <f>"INV 0885339"</f>
        <v>INV 0885339</v>
      </c>
      <c r="I596" s="4">
        <v>13</v>
      </c>
      <c r="J596" t="str">
        <f>"INV 0885339"</f>
        <v>INV 0885339</v>
      </c>
    </row>
    <row r="597" spans="1:10" x14ac:dyDescent="0.25">
      <c r="A597" t="str">
        <f>""</f>
        <v/>
      </c>
      <c r="B597" t="str">
        <f>""</f>
        <v/>
      </c>
      <c r="G597" t="str">
        <f>"0885404"</f>
        <v>0885404</v>
      </c>
      <c r="H597" t="str">
        <f>"INV 0885404"</f>
        <v>INV 0885404</v>
      </c>
      <c r="I597" s="4">
        <v>430</v>
      </c>
      <c r="J597" t="str">
        <f>"INV 0885404"</f>
        <v>INV 0885404</v>
      </c>
    </row>
    <row r="598" spans="1:10" x14ac:dyDescent="0.25">
      <c r="A598" t="str">
        <f>""</f>
        <v/>
      </c>
      <c r="B598" t="str">
        <f>""</f>
        <v/>
      </c>
      <c r="G598" t="str">
        <f>""</f>
        <v/>
      </c>
      <c r="H598" t="str">
        <f>""</f>
        <v/>
      </c>
      <c r="I598" s="4">
        <v>430</v>
      </c>
      <c r="J598" t="str">
        <f>"INV 0885404"</f>
        <v>INV 0885404</v>
      </c>
    </row>
    <row r="599" spans="1:10" x14ac:dyDescent="0.25">
      <c r="A599" t="str">
        <f>""</f>
        <v/>
      </c>
      <c r="B599" t="str">
        <f>""</f>
        <v/>
      </c>
      <c r="G599" t="str">
        <f>"0885416"</f>
        <v>0885416</v>
      </c>
      <c r="H599" t="str">
        <f>"INV 0885416"</f>
        <v>INV 0885416</v>
      </c>
      <c r="I599" s="4">
        <v>430</v>
      </c>
      <c r="J599" t="str">
        <f>"INV 0885416"</f>
        <v>INV 0885416</v>
      </c>
    </row>
    <row r="600" spans="1:10" x14ac:dyDescent="0.25">
      <c r="A600" t="str">
        <f>""</f>
        <v/>
      </c>
      <c r="B600" t="str">
        <f>""</f>
        <v/>
      </c>
      <c r="G600" t="str">
        <f>""</f>
        <v/>
      </c>
      <c r="H600" t="str">
        <f>""</f>
        <v/>
      </c>
      <c r="I600" s="4">
        <v>430</v>
      </c>
      <c r="J600" t="str">
        <f>"INV 0885416"</f>
        <v>INV 0885416</v>
      </c>
    </row>
    <row r="601" spans="1:10" x14ac:dyDescent="0.25">
      <c r="A601" t="str">
        <f>""</f>
        <v/>
      </c>
      <c r="B601" t="str">
        <f>""</f>
        <v/>
      </c>
      <c r="G601" t="str">
        <f>"0885660"</f>
        <v>0885660</v>
      </c>
      <c r="H601" t="str">
        <f>"INV0885660"</f>
        <v>INV0885660</v>
      </c>
      <c r="I601" s="4">
        <v>230.94</v>
      </c>
      <c r="J601" t="str">
        <f>"INV0885660"</f>
        <v>INV0885660</v>
      </c>
    </row>
    <row r="602" spans="1:10" x14ac:dyDescent="0.25">
      <c r="A602" t="str">
        <f>""</f>
        <v/>
      </c>
      <c r="B602" t="str">
        <f>""</f>
        <v/>
      </c>
      <c r="G602" t="str">
        <f>"0886934"</f>
        <v>0886934</v>
      </c>
      <c r="H602" t="str">
        <f>"INV 0886934 / 0887227"</f>
        <v>INV 0886934 / 0887227</v>
      </c>
      <c r="I602" s="4">
        <v>359.95</v>
      </c>
      <c r="J602" t="str">
        <f>"INV 0886934"</f>
        <v>INV 0886934</v>
      </c>
    </row>
    <row r="603" spans="1:10" x14ac:dyDescent="0.25">
      <c r="A603" t="str">
        <f>""</f>
        <v/>
      </c>
      <c r="B603" t="str">
        <f>""</f>
        <v/>
      </c>
      <c r="G603" t="str">
        <f>""</f>
        <v/>
      </c>
      <c r="H603" t="str">
        <f>""</f>
        <v/>
      </c>
      <c r="I603" s="4">
        <v>4.95</v>
      </c>
      <c r="J603" t="str">
        <f>"INV 0887227"</f>
        <v>INV 0887227</v>
      </c>
    </row>
    <row r="604" spans="1:10" x14ac:dyDescent="0.25">
      <c r="A604" t="str">
        <f>""</f>
        <v/>
      </c>
      <c r="B604" t="str">
        <f>""</f>
        <v/>
      </c>
      <c r="G604" t="str">
        <f>"0887225"</f>
        <v>0887225</v>
      </c>
      <c r="H604" t="str">
        <f>"INV 0887225 / 0887381"</f>
        <v>INV 0887225 / 0887381</v>
      </c>
      <c r="I604" s="4">
        <v>4.95</v>
      </c>
      <c r="J604" t="str">
        <f>"INV 0887225"</f>
        <v>INV 0887225</v>
      </c>
    </row>
    <row r="605" spans="1:10" x14ac:dyDescent="0.25">
      <c r="A605" t="str">
        <f>""</f>
        <v/>
      </c>
      <c r="B605" t="str">
        <f>""</f>
        <v/>
      </c>
      <c r="G605" t="str">
        <f>""</f>
        <v/>
      </c>
      <c r="H605" t="str">
        <f>""</f>
        <v/>
      </c>
      <c r="I605" s="4">
        <v>359.95</v>
      </c>
      <c r="J605" t="str">
        <f>"INV 0887381"</f>
        <v>INV 0887381</v>
      </c>
    </row>
    <row r="606" spans="1:10" x14ac:dyDescent="0.25">
      <c r="A606" t="str">
        <f>""</f>
        <v/>
      </c>
      <c r="B606" t="str">
        <f>""</f>
        <v/>
      </c>
      <c r="G606" t="str">
        <f>"0887263"</f>
        <v>0887263</v>
      </c>
      <c r="H606" t="str">
        <f>"INV0887263"</f>
        <v>INV0887263</v>
      </c>
      <c r="I606" s="4">
        <v>115.47</v>
      </c>
      <c r="J606" t="str">
        <f>"INV0887263"</f>
        <v>INV0887263</v>
      </c>
    </row>
    <row r="607" spans="1:10" x14ac:dyDescent="0.25">
      <c r="A607" t="str">
        <f>"01"</f>
        <v>01</v>
      </c>
      <c r="B607" t="str">
        <f>"002838"</f>
        <v>002838</v>
      </c>
      <c r="C607" t="s">
        <v>150</v>
      </c>
      <c r="D607">
        <v>139303</v>
      </c>
      <c r="E607" s="4">
        <v>27</v>
      </c>
      <c r="F607" s="5">
        <v>44620</v>
      </c>
      <c r="G607" t="str">
        <f>"13390- 12/27/21"</f>
        <v>13390- 12/27/21</v>
      </c>
      <c r="H607" t="str">
        <f>"SERVICE"</f>
        <v>SERVICE</v>
      </c>
      <c r="I607" s="4">
        <v>27</v>
      </c>
      <c r="J607" t="str">
        <f>"SERVICE"</f>
        <v>SERVICE</v>
      </c>
    </row>
    <row r="608" spans="1:10" x14ac:dyDescent="0.25">
      <c r="A608" t="str">
        <f>"01"</f>
        <v>01</v>
      </c>
      <c r="B608" t="str">
        <f>"T3667"</f>
        <v>T3667</v>
      </c>
      <c r="C608" t="s">
        <v>151</v>
      </c>
      <c r="D608">
        <v>5801</v>
      </c>
      <c r="E608" s="4">
        <v>2077.1799999999998</v>
      </c>
      <c r="F608" s="5">
        <v>44607</v>
      </c>
      <c r="G608" t="str">
        <f>"22-29188"</f>
        <v>22-29188</v>
      </c>
      <c r="H608" t="str">
        <f>"GULF COAST PAPER CO. INC."</f>
        <v>GULF COAST PAPER CO. INC.</v>
      </c>
      <c r="I608" s="4">
        <v>23.45</v>
      </c>
      <c r="J608" t="str">
        <f>"NABC 7116"</f>
        <v>NABC 7116</v>
      </c>
    </row>
    <row r="609" spans="1:10" x14ac:dyDescent="0.25">
      <c r="A609" t="str">
        <f>""</f>
        <v/>
      </c>
      <c r="B609" t="str">
        <f>""</f>
        <v/>
      </c>
      <c r="G609" t="str">
        <f>""</f>
        <v/>
      </c>
      <c r="H609" t="str">
        <f>""</f>
        <v/>
      </c>
      <c r="I609" s="4">
        <v>28</v>
      </c>
      <c r="J609" t="str">
        <f>"CREWBOWLCLINGING"</f>
        <v>CREWBOWLCLINGING</v>
      </c>
    </row>
    <row r="610" spans="1:10" x14ac:dyDescent="0.25">
      <c r="A610" t="str">
        <f>""</f>
        <v/>
      </c>
      <c r="B610" t="str">
        <f>""</f>
        <v/>
      </c>
      <c r="G610" t="str">
        <f>""</f>
        <v/>
      </c>
      <c r="H610" t="str">
        <f>""</f>
        <v/>
      </c>
      <c r="I610" s="4">
        <v>491.4</v>
      </c>
      <c r="J610" t="str">
        <f>"GP19371"</f>
        <v>GP19371</v>
      </c>
    </row>
    <row r="611" spans="1:10" x14ac:dyDescent="0.25">
      <c r="A611" t="str">
        <f>""</f>
        <v/>
      </c>
      <c r="B611" t="str">
        <f>""</f>
        <v/>
      </c>
      <c r="G611" t="str">
        <f>""</f>
        <v/>
      </c>
      <c r="H611" t="str">
        <f>""</f>
        <v/>
      </c>
      <c r="I611" s="4">
        <v>444.4</v>
      </c>
      <c r="J611" t="str">
        <f>"GP89420"</f>
        <v>GP89420</v>
      </c>
    </row>
    <row r="612" spans="1:10" x14ac:dyDescent="0.25">
      <c r="A612" t="str">
        <f>""</f>
        <v/>
      </c>
      <c r="B612" t="str">
        <f>""</f>
        <v/>
      </c>
      <c r="G612" t="str">
        <f>""</f>
        <v/>
      </c>
      <c r="H612" t="str">
        <f>""</f>
        <v/>
      </c>
      <c r="I612" s="4">
        <v>437.52</v>
      </c>
      <c r="J612" t="str">
        <f>"GP89480"</f>
        <v>GP89480</v>
      </c>
    </row>
    <row r="613" spans="1:10" x14ac:dyDescent="0.25">
      <c r="A613" t="str">
        <f>""</f>
        <v/>
      </c>
      <c r="B613" t="str">
        <f>""</f>
        <v/>
      </c>
      <c r="G613" t="str">
        <f>""</f>
        <v/>
      </c>
      <c r="H613" t="str">
        <f>""</f>
        <v/>
      </c>
      <c r="I613" s="4">
        <v>24.51</v>
      </c>
      <c r="J613" t="str">
        <f>"GP2389"</f>
        <v>GP2389</v>
      </c>
    </row>
    <row r="614" spans="1:10" x14ac:dyDescent="0.25">
      <c r="A614" t="str">
        <f>""</f>
        <v/>
      </c>
      <c r="B614" t="str">
        <f>""</f>
        <v/>
      </c>
      <c r="G614" t="str">
        <f>""</f>
        <v/>
      </c>
      <c r="H614" t="str">
        <f>""</f>
        <v/>
      </c>
      <c r="I614" s="4">
        <v>627.9</v>
      </c>
      <c r="J614" t="str">
        <f>"GP42715"</f>
        <v>GP42715</v>
      </c>
    </row>
    <row r="615" spans="1:10" x14ac:dyDescent="0.25">
      <c r="A615" t="str">
        <f>"01"</f>
        <v>01</v>
      </c>
      <c r="B615" t="str">
        <f>"006256"</f>
        <v>006256</v>
      </c>
      <c r="C615" t="s">
        <v>152</v>
      </c>
      <c r="D615">
        <v>139075</v>
      </c>
      <c r="E615" s="4">
        <v>255</v>
      </c>
      <c r="F615" s="5">
        <v>44606</v>
      </c>
      <c r="G615" t="str">
        <f>"1204334"</f>
        <v>1204334</v>
      </c>
      <c r="H615" t="str">
        <f>"USED OIL/PCT4"</f>
        <v>USED OIL/PCT4</v>
      </c>
      <c r="I615" s="4">
        <v>85</v>
      </c>
      <c r="J615" t="str">
        <f>"USED OIL/PCT4"</f>
        <v>USED OIL/PCT4</v>
      </c>
    </row>
    <row r="616" spans="1:10" x14ac:dyDescent="0.25">
      <c r="A616" t="str">
        <f>""</f>
        <v/>
      </c>
      <c r="B616" t="str">
        <f>""</f>
        <v/>
      </c>
      <c r="G616" t="str">
        <f>"1208693"</f>
        <v>1208693</v>
      </c>
      <c r="H616" t="str">
        <f>"ACCT#55026/PCT#4"</f>
        <v>ACCT#55026/PCT#4</v>
      </c>
      <c r="I616" s="4">
        <v>170</v>
      </c>
      <c r="J616" t="str">
        <f>"ACCT#55026/PCT#4"</f>
        <v>ACCT#55026/PCT#4</v>
      </c>
    </row>
    <row r="617" spans="1:10" x14ac:dyDescent="0.25">
      <c r="A617" t="str">
        <f>"01"</f>
        <v>01</v>
      </c>
      <c r="B617" t="str">
        <f>"006256"</f>
        <v>006256</v>
      </c>
      <c r="C617" t="s">
        <v>152</v>
      </c>
      <c r="D617">
        <v>139304</v>
      </c>
      <c r="E617" s="4">
        <v>85</v>
      </c>
      <c r="F617" s="5">
        <v>44620</v>
      </c>
      <c r="G617" t="str">
        <f>"1216409"</f>
        <v>1216409</v>
      </c>
      <c r="H617" t="str">
        <f>"ACCT#55026/PCT#4"</f>
        <v>ACCT#55026/PCT#4</v>
      </c>
      <c r="I617" s="4">
        <v>85</v>
      </c>
      <c r="J617" t="str">
        <f>"ACCT#55026/PCT#4"</f>
        <v>ACCT#55026/PCT#4</v>
      </c>
    </row>
    <row r="618" spans="1:10" x14ac:dyDescent="0.25">
      <c r="A618" t="str">
        <f>"01"</f>
        <v>01</v>
      </c>
      <c r="B618" t="str">
        <f>"003170"</f>
        <v>003170</v>
      </c>
      <c r="C618" t="s">
        <v>153</v>
      </c>
      <c r="D618">
        <v>139076</v>
      </c>
      <c r="E618" s="4">
        <v>150</v>
      </c>
      <c r="F618" s="5">
        <v>44606</v>
      </c>
      <c r="G618" t="str">
        <f>"12518"</f>
        <v>12518</v>
      </c>
      <c r="H618" t="str">
        <f t="shared" ref="H618:H623" si="19">"SERVICE"</f>
        <v>SERVICE</v>
      </c>
      <c r="I618" s="4">
        <v>150</v>
      </c>
      <c r="J618" t="str">
        <f t="shared" ref="J618:J623" si="20">"SERVICE"</f>
        <v>SERVICE</v>
      </c>
    </row>
    <row r="619" spans="1:10" x14ac:dyDescent="0.25">
      <c r="A619" t="str">
        <f>"01"</f>
        <v>01</v>
      </c>
      <c r="B619" t="str">
        <f>"003170"</f>
        <v>003170</v>
      </c>
      <c r="C619" t="s">
        <v>153</v>
      </c>
      <c r="D619">
        <v>139305</v>
      </c>
      <c r="E619" s="4">
        <v>300</v>
      </c>
      <c r="F619" s="5">
        <v>44620</v>
      </c>
      <c r="G619" t="str">
        <f>"13181"</f>
        <v>13181</v>
      </c>
      <c r="H619" t="str">
        <f t="shared" si="19"/>
        <v>SERVICE</v>
      </c>
      <c r="I619" s="4">
        <v>150</v>
      </c>
      <c r="J619" t="str">
        <f t="shared" si="20"/>
        <v>SERVICE</v>
      </c>
    </row>
    <row r="620" spans="1:10" x14ac:dyDescent="0.25">
      <c r="A620" t="str">
        <f>""</f>
        <v/>
      </c>
      <c r="B620" t="str">
        <f>""</f>
        <v/>
      </c>
      <c r="G620" t="str">
        <f>"13253"</f>
        <v>13253</v>
      </c>
      <c r="H620" t="str">
        <f t="shared" si="19"/>
        <v>SERVICE</v>
      </c>
      <c r="I620" s="4">
        <v>75</v>
      </c>
      <c r="J620" t="str">
        <f t="shared" si="20"/>
        <v>SERVICE</v>
      </c>
    </row>
    <row r="621" spans="1:10" x14ac:dyDescent="0.25">
      <c r="A621" t="str">
        <f>""</f>
        <v/>
      </c>
      <c r="B621" t="str">
        <f>""</f>
        <v/>
      </c>
      <c r="G621" t="str">
        <f>"13281"</f>
        <v>13281</v>
      </c>
      <c r="H621" t="str">
        <f t="shared" si="19"/>
        <v>SERVICE</v>
      </c>
      <c r="I621" s="4">
        <v>75</v>
      </c>
      <c r="J621" t="str">
        <f t="shared" si="20"/>
        <v>SERVICE</v>
      </c>
    </row>
    <row r="622" spans="1:10" x14ac:dyDescent="0.25">
      <c r="A622" t="str">
        <f>"01"</f>
        <v>01</v>
      </c>
      <c r="B622" t="str">
        <f>"002470"</f>
        <v>002470</v>
      </c>
      <c r="C622" t="s">
        <v>154</v>
      </c>
      <c r="D622">
        <v>139077</v>
      </c>
      <c r="E622" s="4">
        <v>150</v>
      </c>
      <c r="F622" s="5">
        <v>44606</v>
      </c>
      <c r="G622" t="str">
        <f>"12498"</f>
        <v>12498</v>
      </c>
      <c r="H622" t="str">
        <f t="shared" si="19"/>
        <v>SERVICE</v>
      </c>
      <c r="I622" s="4">
        <v>150</v>
      </c>
      <c r="J622" t="str">
        <f t="shared" si="20"/>
        <v>SERVICE</v>
      </c>
    </row>
    <row r="623" spans="1:10" x14ac:dyDescent="0.25">
      <c r="A623" t="str">
        <f>"01"</f>
        <v>01</v>
      </c>
      <c r="B623" t="str">
        <f>"002748"</f>
        <v>002748</v>
      </c>
      <c r="C623" t="s">
        <v>155</v>
      </c>
      <c r="D623">
        <v>139306</v>
      </c>
      <c r="E623" s="4">
        <v>75</v>
      </c>
      <c r="F623" s="5">
        <v>44620</v>
      </c>
      <c r="G623" t="str">
        <f>"13147"</f>
        <v>13147</v>
      </c>
      <c r="H623" t="str">
        <f t="shared" si="19"/>
        <v>SERVICE</v>
      </c>
      <c r="I623" s="4">
        <v>75</v>
      </c>
      <c r="J623" t="str">
        <f t="shared" si="20"/>
        <v>SERVICE</v>
      </c>
    </row>
    <row r="624" spans="1:10" x14ac:dyDescent="0.25">
      <c r="A624" t="str">
        <f>"01"</f>
        <v>01</v>
      </c>
      <c r="B624" t="str">
        <f>"005856"</f>
        <v>005856</v>
      </c>
      <c r="C624" t="s">
        <v>156</v>
      </c>
      <c r="D624">
        <v>139307</v>
      </c>
      <c r="E624" s="4">
        <v>1067.8</v>
      </c>
      <c r="F624" s="5">
        <v>44620</v>
      </c>
      <c r="G624" t="str">
        <f>"INV832067"</f>
        <v>INV832067</v>
      </c>
      <c r="H624" t="str">
        <f>"INV832067"</f>
        <v>INV832067</v>
      </c>
      <c r="I624" s="4">
        <v>1067.8</v>
      </c>
      <c r="J624" t="str">
        <f>"INV832067"</f>
        <v>INV832067</v>
      </c>
    </row>
    <row r="625" spans="1:10" x14ac:dyDescent="0.25">
      <c r="A625" t="str">
        <f>"01"</f>
        <v>01</v>
      </c>
      <c r="B625" t="str">
        <f>"005221"</f>
        <v>005221</v>
      </c>
      <c r="C625" t="s">
        <v>157</v>
      </c>
      <c r="D625">
        <v>139078</v>
      </c>
      <c r="E625" s="4">
        <v>239.94</v>
      </c>
      <c r="F625" s="5">
        <v>44606</v>
      </c>
      <c r="G625" t="str">
        <f>"32336"</f>
        <v>32336</v>
      </c>
      <c r="H625" t="str">
        <f>"ACCT#937/PCT#3"</f>
        <v>ACCT#937/PCT#3</v>
      </c>
      <c r="I625" s="4">
        <v>239.94</v>
      </c>
      <c r="J625" t="str">
        <f>"ACCT#937/PCT#3"</f>
        <v>ACCT#937/PCT#3</v>
      </c>
    </row>
    <row r="626" spans="1:10" x14ac:dyDescent="0.25">
      <c r="A626" t="str">
        <f>"01"</f>
        <v>01</v>
      </c>
      <c r="B626" t="str">
        <f>"T14294"</f>
        <v>T14294</v>
      </c>
      <c r="C626" t="s">
        <v>158</v>
      </c>
      <c r="D626">
        <v>139308</v>
      </c>
      <c r="E626" s="4">
        <v>5768.69</v>
      </c>
      <c r="F626" s="5">
        <v>44620</v>
      </c>
      <c r="G626" t="str">
        <f>"10912778"</f>
        <v>10912778</v>
      </c>
      <c r="H626" t="str">
        <f>"ACCT#0080243/PCT#1"</f>
        <v>ACCT#0080243/PCT#1</v>
      </c>
      <c r="I626" s="4">
        <v>5044.67</v>
      </c>
      <c r="J626" t="str">
        <f>"ACCT#0080243/PCT#1"</f>
        <v>ACCT#0080243/PCT#1</v>
      </c>
    </row>
    <row r="627" spans="1:10" x14ac:dyDescent="0.25">
      <c r="A627" t="str">
        <f>""</f>
        <v/>
      </c>
      <c r="B627" t="str">
        <f>""</f>
        <v/>
      </c>
      <c r="G627" t="str">
        <f>"10921454"</f>
        <v>10921454</v>
      </c>
      <c r="H627" t="str">
        <f>"CUST#3324/PCT#4"</f>
        <v>CUST#3324/PCT#4</v>
      </c>
      <c r="I627" s="4">
        <v>724.02</v>
      </c>
      <c r="J627" t="str">
        <f>"CUST#3324/PCT#4"</f>
        <v>CUST#3324/PCT#4</v>
      </c>
    </row>
    <row r="628" spans="1:10" x14ac:dyDescent="0.25">
      <c r="A628" t="str">
        <f>"01"</f>
        <v>01</v>
      </c>
      <c r="B628" t="str">
        <f>"006862"</f>
        <v>006862</v>
      </c>
      <c r="C628" t="s">
        <v>159</v>
      </c>
      <c r="D628">
        <v>139079</v>
      </c>
      <c r="E628" s="4">
        <v>876.06</v>
      </c>
      <c r="F628" s="5">
        <v>44606</v>
      </c>
      <c r="G628" t="str">
        <f>"241048280"</f>
        <v>241048280</v>
      </c>
      <c r="H628" t="str">
        <f>"CUST#842605/ANIMAL SHELTER"</f>
        <v>CUST#842605/ANIMAL SHELTER</v>
      </c>
      <c r="I628" s="4">
        <v>186.98</v>
      </c>
      <c r="J628" t="str">
        <f>"CUST#842605/ANIMAL SHELTER"</f>
        <v>CUST#842605/ANIMAL SHELTER</v>
      </c>
    </row>
    <row r="629" spans="1:10" x14ac:dyDescent="0.25">
      <c r="A629" t="str">
        <f>""</f>
        <v/>
      </c>
      <c r="B629" t="str">
        <f>""</f>
        <v/>
      </c>
      <c r="G629" t="str">
        <f>"241110530"</f>
        <v>241110530</v>
      </c>
      <c r="H629" t="str">
        <f>"ACCT#842605/ANIMAL SHELTER"</f>
        <v>ACCT#842605/ANIMAL SHELTER</v>
      </c>
      <c r="I629" s="4">
        <v>142.85</v>
      </c>
      <c r="J629" t="str">
        <f>"ACCT#842605/ANIMAL SHELTER"</f>
        <v>ACCT#842605/ANIMAL SHELTER</v>
      </c>
    </row>
    <row r="630" spans="1:10" x14ac:dyDescent="0.25">
      <c r="A630" t="str">
        <f>""</f>
        <v/>
      </c>
      <c r="B630" t="str">
        <f>""</f>
        <v/>
      </c>
      <c r="G630" t="str">
        <f>"241181073"</f>
        <v>241181073</v>
      </c>
      <c r="H630" t="str">
        <f>"ACCT#842605/ANIMAL SHELTER"</f>
        <v>ACCT#842605/ANIMAL SHELTER</v>
      </c>
      <c r="I630" s="4">
        <v>285.7</v>
      </c>
      <c r="J630" t="str">
        <f>"ACCT#842605/ANIMAL SHELTER"</f>
        <v>ACCT#842605/ANIMAL SHELTER</v>
      </c>
    </row>
    <row r="631" spans="1:10" x14ac:dyDescent="0.25">
      <c r="A631" t="str">
        <f>""</f>
        <v/>
      </c>
      <c r="B631" t="str">
        <f>""</f>
        <v/>
      </c>
      <c r="G631" t="str">
        <f>"241249376"</f>
        <v>241249376</v>
      </c>
      <c r="H631" t="str">
        <f>"ACCT#842605/ANIMAL SHELTER"</f>
        <v>ACCT#842605/ANIMAL SHELTER</v>
      </c>
      <c r="I631" s="4">
        <v>142.85</v>
      </c>
      <c r="J631" t="str">
        <f>"ACCT#842605/ANIMAL SHELTER"</f>
        <v>ACCT#842605/ANIMAL SHELTER</v>
      </c>
    </row>
    <row r="632" spans="1:10" x14ac:dyDescent="0.25">
      <c r="A632" t="str">
        <f>""</f>
        <v/>
      </c>
      <c r="B632" t="str">
        <f>""</f>
        <v/>
      </c>
      <c r="G632" t="str">
        <f>"241319691"</f>
        <v>241319691</v>
      </c>
      <c r="H632" t="str">
        <f>"ACCT#842605/ANIMAL SHELTER"</f>
        <v>ACCT#842605/ANIMAL SHELTER</v>
      </c>
      <c r="I632" s="4">
        <v>117.68</v>
      </c>
      <c r="J632" t="str">
        <f>"ACCT#842605/ANIMAL SHELTER"</f>
        <v>ACCT#842605/ANIMAL SHELTER</v>
      </c>
    </row>
    <row r="633" spans="1:10" x14ac:dyDescent="0.25">
      <c r="A633" t="str">
        <f>"01"</f>
        <v>01</v>
      </c>
      <c r="B633" t="str">
        <f>"HPC"</f>
        <v>HPC</v>
      </c>
      <c r="C633" t="s">
        <v>160</v>
      </c>
      <c r="D633">
        <v>5789</v>
      </c>
      <c r="E633" s="4">
        <v>650</v>
      </c>
      <c r="F633" s="5">
        <v>44607</v>
      </c>
      <c r="G633" t="str">
        <f>"202202088828"</f>
        <v>202202088828</v>
      </c>
      <c r="H633" t="str">
        <f>"BASCOM L HODGES JR"</f>
        <v>BASCOM L HODGES JR</v>
      </c>
      <c r="I633" s="4">
        <v>650</v>
      </c>
      <c r="J633" t="str">
        <f>""</f>
        <v/>
      </c>
    </row>
    <row r="634" spans="1:10" x14ac:dyDescent="0.25">
      <c r="A634" t="str">
        <f>"01"</f>
        <v>01</v>
      </c>
      <c r="B634" t="str">
        <f>"ECKEL"</f>
        <v>ECKEL</v>
      </c>
      <c r="C634" t="s">
        <v>161</v>
      </c>
      <c r="D634">
        <v>139080</v>
      </c>
      <c r="E634" s="4">
        <v>525</v>
      </c>
      <c r="F634" s="5">
        <v>44606</v>
      </c>
      <c r="G634" t="str">
        <f>"202201268562"</f>
        <v>202201268562</v>
      </c>
      <c r="H634" t="str">
        <f>"21-20635"</f>
        <v>21-20635</v>
      </c>
      <c r="I634" s="4">
        <v>250</v>
      </c>
      <c r="J634" t="str">
        <f>"21-20635"</f>
        <v>21-20635</v>
      </c>
    </row>
    <row r="635" spans="1:10" x14ac:dyDescent="0.25">
      <c r="A635" t="str">
        <f>""</f>
        <v/>
      </c>
      <c r="B635" t="str">
        <f>""</f>
        <v/>
      </c>
      <c r="G635" t="str">
        <f>"202201268563"</f>
        <v>202201268563</v>
      </c>
      <c r="H635" t="str">
        <f>"21-20884"</f>
        <v>21-20884</v>
      </c>
      <c r="I635" s="4">
        <v>125</v>
      </c>
      <c r="J635" t="str">
        <f>"21-20884"</f>
        <v>21-20884</v>
      </c>
    </row>
    <row r="636" spans="1:10" x14ac:dyDescent="0.25">
      <c r="A636" t="str">
        <f>""</f>
        <v/>
      </c>
      <c r="B636" t="str">
        <f>""</f>
        <v/>
      </c>
      <c r="G636" t="str">
        <f>"202202098858"</f>
        <v>202202098858</v>
      </c>
      <c r="H636" t="str">
        <f>"18-19246"</f>
        <v>18-19246</v>
      </c>
      <c r="I636" s="4">
        <v>150</v>
      </c>
      <c r="J636" t="str">
        <f>"18-19246"</f>
        <v>18-19246</v>
      </c>
    </row>
    <row r="637" spans="1:10" x14ac:dyDescent="0.25">
      <c r="A637" t="str">
        <f>"01"</f>
        <v>01</v>
      </c>
      <c r="B637" t="str">
        <f>"ECKEL"</f>
        <v>ECKEL</v>
      </c>
      <c r="C637" t="s">
        <v>161</v>
      </c>
      <c r="D637">
        <v>139309</v>
      </c>
      <c r="E637" s="4">
        <v>1337.5</v>
      </c>
      <c r="F637" s="5">
        <v>44620</v>
      </c>
      <c r="G637" t="str">
        <f>"202202179202"</f>
        <v>202202179202</v>
      </c>
      <c r="H637" t="str">
        <f>"57-749"</f>
        <v>57-749</v>
      </c>
      <c r="I637" s="4">
        <v>250</v>
      </c>
      <c r="J637" t="str">
        <f>"57-749"</f>
        <v>57-749</v>
      </c>
    </row>
    <row r="638" spans="1:10" x14ac:dyDescent="0.25">
      <c r="A638" t="str">
        <f>""</f>
        <v/>
      </c>
      <c r="B638" t="str">
        <f>""</f>
        <v/>
      </c>
      <c r="G638" t="str">
        <f>"202202179203"</f>
        <v>202202179203</v>
      </c>
      <c r="H638" t="str">
        <f>"57-683"</f>
        <v>57-683</v>
      </c>
      <c r="I638" s="4">
        <v>250</v>
      </c>
      <c r="J638" t="str">
        <f>"57-683"</f>
        <v>57-683</v>
      </c>
    </row>
    <row r="639" spans="1:10" x14ac:dyDescent="0.25">
      <c r="A639" t="str">
        <f>""</f>
        <v/>
      </c>
      <c r="B639" t="str">
        <f>""</f>
        <v/>
      </c>
      <c r="G639" t="str">
        <f>"202202179204"</f>
        <v>202202179204</v>
      </c>
      <c r="H639" t="str">
        <f>"57-728"</f>
        <v>57-728</v>
      </c>
      <c r="I639" s="4">
        <v>250</v>
      </c>
      <c r="J639" t="str">
        <f>"57-728"</f>
        <v>57-728</v>
      </c>
    </row>
    <row r="640" spans="1:10" x14ac:dyDescent="0.25">
      <c r="A640" t="str">
        <f>""</f>
        <v/>
      </c>
      <c r="B640" t="str">
        <f>""</f>
        <v/>
      </c>
      <c r="G640" t="str">
        <f>"202202179205"</f>
        <v>202202179205</v>
      </c>
      <c r="H640" t="str">
        <f>"57-618"</f>
        <v>57-618</v>
      </c>
      <c r="I640" s="4">
        <v>250</v>
      </c>
      <c r="J640" t="str">
        <f>"57-618"</f>
        <v>57-618</v>
      </c>
    </row>
    <row r="641" spans="1:10" x14ac:dyDescent="0.25">
      <c r="A641" t="str">
        <f>""</f>
        <v/>
      </c>
      <c r="B641" t="str">
        <f>""</f>
        <v/>
      </c>
      <c r="G641" t="str">
        <f>"202202179213"</f>
        <v>202202179213</v>
      </c>
      <c r="H641" t="str">
        <f>"21-20884"</f>
        <v>21-20884</v>
      </c>
      <c r="I641" s="4">
        <v>337.5</v>
      </c>
      <c r="J641" t="str">
        <f>"21-20884"</f>
        <v>21-20884</v>
      </c>
    </row>
    <row r="642" spans="1:10" x14ac:dyDescent="0.25">
      <c r="A642" t="str">
        <f>"01"</f>
        <v>01</v>
      </c>
      <c r="B642" t="str">
        <f>"HM"</f>
        <v>HM</v>
      </c>
      <c r="C642" t="s">
        <v>162</v>
      </c>
      <c r="D642">
        <v>5788</v>
      </c>
      <c r="E642" s="4">
        <v>4062.08</v>
      </c>
      <c r="F642" s="5">
        <v>44607</v>
      </c>
      <c r="G642" t="str">
        <f>"PIM60079411"</f>
        <v>PIM60079411</v>
      </c>
      <c r="H642" t="str">
        <f>"CUST#0129200/PCT#4"</f>
        <v>CUST#0129200/PCT#4</v>
      </c>
      <c r="I642" s="4">
        <v>3.24</v>
      </c>
      <c r="J642" t="str">
        <f>"CUST#0129200/PCT#4"</f>
        <v>CUST#0129200/PCT#4</v>
      </c>
    </row>
    <row r="643" spans="1:10" x14ac:dyDescent="0.25">
      <c r="A643" t="str">
        <f>""</f>
        <v/>
      </c>
      <c r="B643" t="str">
        <f>""</f>
        <v/>
      </c>
      <c r="G643" t="str">
        <f>"PIMA0370902"</f>
        <v>PIMA0370902</v>
      </c>
      <c r="H643" t="str">
        <f>"CUST#0129150/PCT#3"</f>
        <v>CUST#0129150/PCT#3</v>
      </c>
      <c r="I643" s="4">
        <v>394.93</v>
      </c>
      <c r="J643" t="str">
        <f>"CUST#0129150/PCT#3"</f>
        <v>CUST#0129150/PCT#3</v>
      </c>
    </row>
    <row r="644" spans="1:10" x14ac:dyDescent="0.25">
      <c r="A644" t="str">
        <f>""</f>
        <v/>
      </c>
      <c r="B644" t="str">
        <f>""</f>
        <v/>
      </c>
      <c r="G644" t="str">
        <f>"PIMA0371999"</f>
        <v>PIMA0371999</v>
      </c>
      <c r="H644" t="str">
        <f>"CUST#0129150/PCT#3"</f>
        <v>CUST#0129150/PCT#3</v>
      </c>
      <c r="I644" s="4">
        <v>166.36</v>
      </c>
      <c r="J644" t="str">
        <f>"CUST#0129150/PCT#3"</f>
        <v>CUST#0129150/PCT#3</v>
      </c>
    </row>
    <row r="645" spans="1:10" x14ac:dyDescent="0.25">
      <c r="A645" t="str">
        <f>""</f>
        <v/>
      </c>
      <c r="B645" t="str">
        <f>""</f>
        <v/>
      </c>
      <c r="G645" t="str">
        <f>"WIUS0150349"</f>
        <v>WIUS0150349</v>
      </c>
      <c r="H645" t="str">
        <f>"CUST#0129200/PCT#4"</f>
        <v>CUST#0129200/PCT#4</v>
      </c>
      <c r="I645" s="4">
        <v>2172.5500000000002</v>
      </c>
      <c r="J645" t="str">
        <f>"CUST#0129200/PCT#4"</f>
        <v>CUST#0129200/PCT#4</v>
      </c>
    </row>
    <row r="646" spans="1:10" x14ac:dyDescent="0.25">
      <c r="A646" t="str">
        <f>""</f>
        <v/>
      </c>
      <c r="B646" t="str">
        <f>""</f>
        <v/>
      </c>
      <c r="G646" t="str">
        <f>"WIVN0023157"</f>
        <v>WIVN0023157</v>
      </c>
      <c r="H646" t="str">
        <f>"CUST#0129200/PCT#4"</f>
        <v>CUST#0129200/PCT#4</v>
      </c>
      <c r="I646" s="4">
        <v>1325</v>
      </c>
      <c r="J646" t="str">
        <f>"CUST#0129200/PCT#4"</f>
        <v>CUST#0129200/PCT#4</v>
      </c>
    </row>
    <row r="647" spans="1:10" x14ac:dyDescent="0.25">
      <c r="A647" t="str">
        <f>"01"</f>
        <v>01</v>
      </c>
      <c r="B647" t="str">
        <f>"003056"</f>
        <v>003056</v>
      </c>
      <c r="C647" t="s">
        <v>163</v>
      </c>
      <c r="D647">
        <v>139081</v>
      </c>
      <c r="E647" s="4">
        <v>1863.54</v>
      </c>
      <c r="F647" s="5">
        <v>44606</v>
      </c>
      <c r="G647" t="str">
        <f>"202202088814"</f>
        <v>202202088814</v>
      </c>
      <c r="H647" t="str">
        <f>"01.28"</f>
        <v>01.28</v>
      </c>
      <c r="I647" s="4">
        <v>28.9</v>
      </c>
      <c r="J647" t="str">
        <f>"2531696"</f>
        <v>2531696</v>
      </c>
    </row>
    <row r="648" spans="1:10" x14ac:dyDescent="0.25">
      <c r="A648" t="str">
        <f>""</f>
        <v/>
      </c>
      <c r="B648" t="str">
        <f>""</f>
        <v/>
      </c>
      <c r="G648" t="str">
        <f>""</f>
        <v/>
      </c>
      <c r="H648" t="str">
        <f>""</f>
        <v/>
      </c>
      <c r="I648" s="4">
        <v>24.65</v>
      </c>
      <c r="J648" t="str">
        <f>"5513966"</f>
        <v>5513966</v>
      </c>
    </row>
    <row r="649" spans="1:10" x14ac:dyDescent="0.25">
      <c r="A649" t="str">
        <f>""</f>
        <v/>
      </c>
      <c r="B649" t="str">
        <f>""</f>
        <v/>
      </c>
      <c r="G649" t="str">
        <f>""</f>
        <v/>
      </c>
      <c r="H649" t="str">
        <f>""</f>
        <v/>
      </c>
      <c r="I649" s="4">
        <v>10.88</v>
      </c>
      <c r="J649" t="str">
        <f>"8525239"</f>
        <v>8525239</v>
      </c>
    </row>
    <row r="650" spans="1:10" x14ac:dyDescent="0.25">
      <c r="A650" t="str">
        <f>""</f>
        <v/>
      </c>
      <c r="B650" t="str">
        <f>""</f>
        <v/>
      </c>
      <c r="G650" t="str">
        <f>""</f>
        <v/>
      </c>
      <c r="H650" t="str">
        <f>""</f>
        <v/>
      </c>
      <c r="I650" s="4">
        <v>26.98</v>
      </c>
      <c r="J650" t="str">
        <f>"3025618"</f>
        <v>3025618</v>
      </c>
    </row>
    <row r="651" spans="1:10" x14ac:dyDescent="0.25">
      <c r="A651" t="str">
        <f>""</f>
        <v/>
      </c>
      <c r="B651" t="str">
        <f>""</f>
        <v/>
      </c>
      <c r="G651" t="str">
        <f>""</f>
        <v/>
      </c>
      <c r="H651" t="str">
        <f>""</f>
        <v/>
      </c>
      <c r="I651" s="4">
        <v>41.48</v>
      </c>
      <c r="J651" t="str">
        <f>"8021142"</f>
        <v>8021142</v>
      </c>
    </row>
    <row r="652" spans="1:10" x14ac:dyDescent="0.25">
      <c r="A652" t="str">
        <f>""</f>
        <v/>
      </c>
      <c r="B652" t="str">
        <f>""</f>
        <v/>
      </c>
      <c r="G652" t="str">
        <f>""</f>
        <v/>
      </c>
      <c r="H652" t="str">
        <f>""</f>
        <v/>
      </c>
      <c r="I652" s="4">
        <v>95.67</v>
      </c>
      <c r="J652" t="str">
        <f>"7103705"</f>
        <v>7103705</v>
      </c>
    </row>
    <row r="653" spans="1:10" x14ac:dyDescent="0.25">
      <c r="A653" t="str">
        <f>""</f>
        <v/>
      </c>
      <c r="B653" t="str">
        <f>""</f>
        <v/>
      </c>
      <c r="G653" t="str">
        <f>""</f>
        <v/>
      </c>
      <c r="H653" t="str">
        <f>""</f>
        <v/>
      </c>
      <c r="I653" s="4">
        <v>103.55</v>
      </c>
      <c r="J653" t="str">
        <f>"7532780"</f>
        <v>7532780</v>
      </c>
    </row>
    <row r="654" spans="1:10" x14ac:dyDescent="0.25">
      <c r="A654" t="str">
        <f>""</f>
        <v/>
      </c>
      <c r="B654" t="str">
        <f>""</f>
        <v/>
      </c>
      <c r="G654" t="str">
        <f>""</f>
        <v/>
      </c>
      <c r="H654" t="str">
        <f>""</f>
        <v/>
      </c>
      <c r="I654" s="4">
        <v>-103.55</v>
      </c>
      <c r="J654" t="str">
        <f>"7103704"</f>
        <v>7103704</v>
      </c>
    </row>
    <row r="655" spans="1:10" x14ac:dyDescent="0.25">
      <c r="A655" t="str">
        <f>""</f>
        <v/>
      </c>
      <c r="B655" t="str">
        <f>""</f>
        <v/>
      </c>
      <c r="G655" t="str">
        <f>""</f>
        <v/>
      </c>
      <c r="H655" t="str">
        <f>""</f>
        <v/>
      </c>
      <c r="I655" s="4">
        <v>218.32</v>
      </c>
      <c r="J655" t="str">
        <f>"9531146"</f>
        <v>9531146</v>
      </c>
    </row>
    <row r="656" spans="1:10" x14ac:dyDescent="0.25">
      <c r="A656" t="str">
        <f>""</f>
        <v/>
      </c>
      <c r="B656" t="str">
        <f>""</f>
        <v/>
      </c>
      <c r="G656" t="str">
        <f>""</f>
        <v/>
      </c>
      <c r="H656" t="str">
        <f>""</f>
        <v/>
      </c>
      <c r="I656" s="4">
        <v>10.98</v>
      </c>
      <c r="J656" t="str">
        <f>"4523698"</f>
        <v>4523698</v>
      </c>
    </row>
    <row r="657" spans="1:10" x14ac:dyDescent="0.25">
      <c r="A657" t="str">
        <f>""</f>
        <v/>
      </c>
      <c r="B657" t="str">
        <f>""</f>
        <v/>
      </c>
      <c r="G657" t="str">
        <f>""</f>
        <v/>
      </c>
      <c r="H657" t="str">
        <f>""</f>
        <v/>
      </c>
      <c r="I657" s="4">
        <v>27.96</v>
      </c>
      <c r="J657" t="str">
        <f>"3540096"</f>
        <v>3540096</v>
      </c>
    </row>
    <row r="658" spans="1:10" x14ac:dyDescent="0.25">
      <c r="A658" t="str">
        <f>""</f>
        <v/>
      </c>
      <c r="B658" t="str">
        <f>""</f>
        <v/>
      </c>
      <c r="G658" t="str">
        <f>""</f>
        <v/>
      </c>
      <c r="H658" t="str">
        <f>""</f>
        <v/>
      </c>
      <c r="I658" s="4">
        <v>209.02</v>
      </c>
      <c r="J658" t="str">
        <f>"2025773"</f>
        <v>2025773</v>
      </c>
    </row>
    <row r="659" spans="1:10" x14ac:dyDescent="0.25">
      <c r="A659" t="str">
        <f>""</f>
        <v/>
      </c>
      <c r="B659" t="str">
        <f>""</f>
        <v/>
      </c>
      <c r="G659" t="str">
        <f>""</f>
        <v/>
      </c>
      <c r="H659" t="str">
        <f>""</f>
        <v/>
      </c>
      <c r="I659" s="4">
        <v>280.94</v>
      </c>
      <c r="J659" t="str">
        <f>"7013620"</f>
        <v>7013620</v>
      </c>
    </row>
    <row r="660" spans="1:10" x14ac:dyDescent="0.25">
      <c r="A660" t="str">
        <f>""</f>
        <v/>
      </c>
      <c r="B660" t="str">
        <f>""</f>
        <v/>
      </c>
      <c r="G660" t="str">
        <f>""</f>
        <v/>
      </c>
      <c r="H660" t="str">
        <f>""</f>
        <v/>
      </c>
      <c r="I660" s="4">
        <v>191.17</v>
      </c>
      <c r="J660" t="str">
        <f>"8532697"</f>
        <v>8532697</v>
      </c>
    </row>
    <row r="661" spans="1:10" x14ac:dyDescent="0.25">
      <c r="A661" t="str">
        <f>""</f>
        <v/>
      </c>
      <c r="B661" t="str">
        <f>""</f>
        <v/>
      </c>
      <c r="G661" t="str">
        <f>""</f>
        <v/>
      </c>
      <c r="H661" t="str">
        <f>""</f>
        <v/>
      </c>
      <c r="I661" s="4">
        <v>170.01</v>
      </c>
      <c r="J661" t="str">
        <f>"515163"</f>
        <v>515163</v>
      </c>
    </row>
    <row r="662" spans="1:10" x14ac:dyDescent="0.25">
      <c r="A662" t="str">
        <f>""</f>
        <v/>
      </c>
      <c r="B662" t="str">
        <f>""</f>
        <v/>
      </c>
      <c r="G662" t="str">
        <f>""</f>
        <v/>
      </c>
      <c r="H662" t="str">
        <f>""</f>
        <v/>
      </c>
      <c r="I662" s="4">
        <v>481.86</v>
      </c>
      <c r="J662" t="str">
        <f>"541176"</f>
        <v>541176</v>
      </c>
    </row>
    <row r="663" spans="1:10" x14ac:dyDescent="0.25">
      <c r="A663" t="str">
        <f>""</f>
        <v/>
      </c>
      <c r="B663" t="str">
        <f>""</f>
        <v/>
      </c>
      <c r="G663" t="str">
        <f>""</f>
        <v/>
      </c>
      <c r="H663" t="str">
        <f>""</f>
        <v/>
      </c>
      <c r="I663" s="4">
        <v>14.31</v>
      </c>
      <c r="J663" t="str">
        <f>"9021037"</f>
        <v>9021037</v>
      </c>
    </row>
    <row r="664" spans="1:10" x14ac:dyDescent="0.25">
      <c r="A664" t="str">
        <f>""</f>
        <v/>
      </c>
      <c r="B664" t="str">
        <f>""</f>
        <v/>
      </c>
      <c r="G664" t="str">
        <f>""</f>
        <v/>
      </c>
      <c r="H664" t="str">
        <f>""</f>
        <v/>
      </c>
      <c r="I664" s="4">
        <v>30.41</v>
      </c>
      <c r="J664" t="str">
        <f>"25024"</f>
        <v>25024</v>
      </c>
    </row>
    <row r="665" spans="1:10" x14ac:dyDescent="0.25">
      <c r="A665" t="str">
        <f>"01"</f>
        <v>01</v>
      </c>
      <c r="B665" t="str">
        <f>"000118"</f>
        <v>000118</v>
      </c>
      <c r="C665" t="s">
        <v>164</v>
      </c>
      <c r="D665">
        <v>139310</v>
      </c>
      <c r="E665" s="4">
        <v>750</v>
      </c>
      <c r="F665" s="5">
        <v>44620</v>
      </c>
      <c r="G665" t="str">
        <f>"100"</f>
        <v>100</v>
      </c>
      <c r="H665" t="str">
        <f>"INV 100"</f>
        <v>INV 100</v>
      </c>
      <c r="I665" s="4">
        <v>750</v>
      </c>
      <c r="J665" t="str">
        <f>"INV 100"</f>
        <v>INV 100</v>
      </c>
    </row>
    <row r="666" spans="1:10" x14ac:dyDescent="0.25">
      <c r="A666" t="str">
        <f>"01"</f>
        <v>01</v>
      </c>
      <c r="B666" t="str">
        <f>"006001"</f>
        <v>006001</v>
      </c>
      <c r="C666" t="s">
        <v>165</v>
      </c>
      <c r="D666">
        <v>5775</v>
      </c>
      <c r="E666" s="4">
        <v>215</v>
      </c>
      <c r="F666" s="5">
        <v>44607</v>
      </c>
      <c r="G666" t="str">
        <f>"0552577577"</f>
        <v>0552577577</v>
      </c>
      <c r="H666" t="str">
        <f>"CUST#121645/BOAT LAUNCH"</f>
        <v>CUST#121645/BOAT LAUNCH</v>
      </c>
      <c r="I666" s="4">
        <v>215</v>
      </c>
      <c r="J666" t="str">
        <f>"CUST#121645/BOAT LAUNCH"</f>
        <v>CUST#121645/BOAT LAUNCH</v>
      </c>
    </row>
    <row r="667" spans="1:10" x14ac:dyDescent="0.25">
      <c r="A667" t="str">
        <f>"01"</f>
        <v>01</v>
      </c>
      <c r="B667" t="str">
        <f>"006020"</f>
        <v>006020</v>
      </c>
      <c r="C667" t="s">
        <v>166</v>
      </c>
      <c r="D667">
        <v>139082</v>
      </c>
      <c r="E667" s="4">
        <v>2405</v>
      </c>
      <c r="F667" s="5">
        <v>44606</v>
      </c>
      <c r="G667" t="str">
        <f>"202202088831"</f>
        <v>202202088831</v>
      </c>
      <c r="H667" t="str">
        <f>"INV WI-35275-T9V1"</f>
        <v>INV WI-35275-T9V1</v>
      </c>
      <c r="I667" s="4">
        <v>2405</v>
      </c>
      <c r="J667" t="str">
        <f>"INV WI-35275-T9V1"</f>
        <v>INV WI-35275-T9V1</v>
      </c>
    </row>
    <row r="668" spans="1:10" x14ac:dyDescent="0.25">
      <c r="A668" t="str">
        <f>"01"</f>
        <v>01</v>
      </c>
      <c r="B668" t="str">
        <f>"002840"</f>
        <v>002840</v>
      </c>
      <c r="C668" t="s">
        <v>167</v>
      </c>
      <c r="D668">
        <v>139311</v>
      </c>
      <c r="E668" s="4">
        <v>60</v>
      </c>
      <c r="F668" s="5">
        <v>44620</v>
      </c>
      <c r="G668" t="str">
        <f>"12506"</f>
        <v>12506</v>
      </c>
      <c r="H668" t="str">
        <f>"SERVICE"</f>
        <v>SERVICE</v>
      </c>
      <c r="I668" s="4">
        <v>60</v>
      </c>
      <c r="J668" t="str">
        <f>"SERVICE"</f>
        <v>SERVICE</v>
      </c>
    </row>
    <row r="669" spans="1:10" x14ac:dyDescent="0.25">
      <c r="A669" t="str">
        <f>"01"</f>
        <v>01</v>
      </c>
      <c r="B669" t="str">
        <f>"006651"</f>
        <v>006651</v>
      </c>
      <c r="C669" t="s">
        <v>168</v>
      </c>
      <c r="D669">
        <v>139083</v>
      </c>
      <c r="E669" s="4">
        <v>9045.66</v>
      </c>
      <c r="F669" s="5">
        <v>44606</v>
      </c>
      <c r="G669" t="str">
        <f>"228546"</f>
        <v>228546</v>
      </c>
      <c r="H669" t="str">
        <f>"Automowers 550 &amp; 520"</f>
        <v>Automowers 550 &amp; 520</v>
      </c>
      <c r="I669" s="4">
        <v>5147.9799999999996</v>
      </c>
      <c r="J669" t="str">
        <f>"Automowers 550"</f>
        <v>Automowers 550</v>
      </c>
    </row>
    <row r="670" spans="1:10" x14ac:dyDescent="0.25">
      <c r="A670" t="str">
        <f>""</f>
        <v/>
      </c>
      <c r="B670" t="str">
        <f>""</f>
        <v/>
      </c>
      <c r="G670" t="str">
        <f>""</f>
        <v/>
      </c>
      <c r="H670" t="str">
        <f>""</f>
        <v/>
      </c>
      <c r="I670" s="4">
        <v>1637.99</v>
      </c>
      <c r="J670" t="str">
        <f>"Automowers 520"</f>
        <v>Automowers 520</v>
      </c>
    </row>
    <row r="671" spans="1:10" x14ac:dyDescent="0.25">
      <c r="A671" t="str">
        <f>""</f>
        <v/>
      </c>
      <c r="B671" t="str">
        <f>""</f>
        <v/>
      </c>
      <c r="G671" t="str">
        <f>""</f>
        <v/>
      </c>
      <c r="H671" t="str">
        <f>""</f>
        <v/>
      </c>
      <c r="I671" s="4">
        <v>119.99</v>
      </c>
      <c r="J671" t="str">
        <f>"WIRE 500M HD BLK"</f>
        <v>WIRE 500M HD BLK</v>
      </c>
    </row>
    <row r="672" spans="1:10" x14ac:dyDescent="0.25">
      <c r="A672" t="str">
        <f>""</f>
        <v/>
      </c>
      <c r="B672" t="str">
        <f>""</f>
        <v/>
      </c>
      <c r="G672" t="str">
        <f>""</f>
        <v/>
      </c>
      <c r="H672" t="str">
        <f>""</f>
        <v/>
      </c>
      <c r="I672" s="4">
        <v>13.79</v>
      </c>
      <c r="J672" t="str">
        <f>"HUS AM STAPLE 100PCS"</f>
        <v>HUS AM STAPLE 100PCS</v>
      </c>
    </row>
    <row r="673" spans="1:10" x14ac:dyDescent="0.25">
      <c r="A673" t="str">
        <f>""</f>
        <v/>
      </c>
      <c r="B673" t="str">
        <f>""</f>
        <v/>
      </c>
      <c r="G673" t="str">
        <f>""</f>
        <v/>
      </c>
      <c r="H673" t="str">
        <f>""</f>
        <v/>
      </c>
      <c r="I673" s="4">
        <v>42.24</v>
      </c>
      <c r="J673" t="str">
        <f>"HUS COUPLER SPLICER"</f>
        <v>HUS COUPLER SPLICER</v>
      </c>
    </row>
    <row r="674" spans="1:10" x14ac:dyDescent="0.25">
      <c r="A674" t="str">
        <f>""</f>
        <v/>
      </c>
      <c r="B674" t="str">
        <f>""</f>
        <v/>
      </c>
      <c r="G674" t="str">
        <f>""</f>
        <v/>
      </c>
      <c r="H674" t="str">
        <f>""</f>
        <v/>
      </c>
      <c r="I674" s="4">
        <v>11.68</v>
      </c>
      <c r="J674" t="str">
        <f>"HUS CONN 5 PCS"</f>
        <v>HUS CONN 5 PCS</v>
      </c>
    </row>
    <row r="675" spans="1:10" x14ac:dyDescent="0.25">
      <c r="A675" t="str">
        <f>""</f>
        <v/>
      </c>
      <c r="B675" t="str">
        <f>""</f>
        <v/>
      </c>
      <c r="G675" t="str">
        <f>""</f>
        <v/>
      </c>
      <c r="H675" t="str">
        <f>""</f>
        <v/>
      </c>
      <c r="I675" s="4">
        <v>2071.9899999999998</v>
      </c>
      <c r="J675" t="str">
        <f>"CABLE LAYER"</f>
        <v>CABLE LAYER</v>
      </c>
    </row>
    <row r="676" spans="1:10" x14ac:dyDescent="0.25">
      <c r="A676" t="str">
        <f>"01"</f>
        <v>01</v>
      </c>
      <c r="B676" t="str">
        <f>"003545"</f>
        <v>003545</v>
      </c>
      <c r="C676" t="s">
        <v>169</v>
      </c>
      <c r="D676">
        <v>5757</v>
      </c>
      <c r="E676" s="4">
        <v>83.4</v>
      </c>
      <c r="F676" s="5">
        <v>44607</v>
      </c>
      <c r="G676" t="str">
        <f>"209267"</f>
        <v>209267</v>
      </c>
      <c r="H676" t="str">
        <f>"SUPPLIES/PCT#1"</f>
        <v>SUPPLIES/PCT#1</v>
      </c>
      <c r="I676" s="4">
        <v>36.4</v>
      </c>
      <c r="J676" t="str">
        <f>"SUPPLIES/PCT#1"</f>
        <v>SUPPLIES/PCT#1</v>
      </c>
    </row>
    <row r="677" spans="1:10" x14ac:dyDescent="0.25">
      <c r="A677" t="str">
        <f>""</f>
        <v/>
      </c>
      <c r="B677" t="str">
        <f>""</f>
        <v/>
      </c>
      <c r="G677" t="str">
        <f>"209280"</f>
        <v>209280</v>
      </c>
      <c r="H677" t="str">
        <f>"LONG HOSE PIPE/PCT#3"</f>
        <v>LONG HOSE PIPE/PCT#3</v>
      </c>
      <c r="I677" s="4">
        <v>47</v>
      </c>
      <c r="J677" t="str">
        <f>"LONG HOSE PIPE/PCT#3"</f>
        <v>LONG HOSE PIPE/PCT#3</v>
      </c>
    </row>
    <row r="678" spans="1:10" x14ac:dyDescent="0.25">
      <c r="A678" t="str">
        <f>"01"</f>
        <v>01</v>
      </c>
      <c r="B678" t="str">
        <f>"000693"</f>
        <v>000693</v>
      </c>
      <c r="C678" t="s">
        <v>170</v>
      </c>
      <c r="D678">
        <v>139084</v>
      </c>
      <c r="E678" s="4">
        <v>282</v>
      </c>
      <c r="F678" s="5">
        <v>44606</v>
      </c>
      <c r="G678" t="str">
        <f>"3099692768"</f>
        <v>3099692768</v>
      </c>
      <c r="H678" t="str">
        <f>"ACCT#187947/ANIMAL SHELTER"</f>
        <v>ACCT#187947/ANIMAL SHELTER</v>
      </c>
      <c r="I678" s="4">
        <v>282</v>
      </c>
      <c r="J678" t="str">
        <f>"ACCT#187947/ANIMAL SHELTER"</f>
        <v>ACCT#187947/ANIMAL SHELTER</v>
      </c>
    </row>
    <row r="679" spans="1:10" x14ac:dyDescent="0.25">
      <c r="A679" t="str">
        <f>"01"</f>
        <v>01</v>
      </c>
      <c r="B679" t="str">
        <f>"T11576"</f>
        <v>T11576</v>
      </c>
      <c r="C679" t="s">
        <v>171</v>
      </c>
      <c r="D679">
        <v>5798</v>
      </c>
      <c r="E679" s="4">
        <v>4860</v>
      </c>
      <c r="F679" s="5">
        <v>44607</v>
      </c>
      <c r="G679" t="str">
        <f>"72940"</f>
        <v>72940</v>
      </c>
      <c r="H679" t="str">
        <f>"PROFESSIONAL SVCS/FEB 2022"</f>
        <v>PROFESSIONAL SVCS/FEB 2022</v>
      </c>
      <c r="I679" s="4">
        <v>1973</v>
      </c>
      <c r="J679" t="str">
        <f>"PROFESSIONAL SVCS/FEB 2022"</f>
        <v>PROFESSIONAL SVCS/FEB 2022</v>
      </c>
    </row>
    <row r="680" spans="1:10" x14ac:dyDescent="0.25">
      <c r="A680" t="str">
        <f>""</f>
        <v/>
      </c>
      <c r="B680" t="str">
        <f>""</f>
        <v/>
      </c>
      <c r="G680" t="str">
        <f>""</f>
        <v/>
      </c>
      <c r="H680" t="str">
        <f>""</f>
        <v/>
      </c>
      <c r="I680" s="4">
        <v>457</v>
      </c>
      <c r="J680" t="str">
        <f>"PROFESSIONAL SVCS/FEB 2022"</f>
        <v>PROFESSIONAL SVCS/FEB 2022</v>
      </c>
    </row>
    <row r="681" spans="1:10" x14ac:dyDescent="0.25">
      <c r="A681" t="str">
        <f>""</f>
        <v/>
      </c>
      <c r="B681" t="str">
        <f>""</f>
        <v/>
      </c>
      <c r="G681" t="str">
        <f>"73104"</f>
        <v>73104</v>
      </c>
      <c r="H681" t="str">
        <f>"PROF SVCS - MARCH 2022"</f>
        <v>PROF SVCS - MARCH 2022</v>
      </c>
      <c r="I681" s="4">
        <v>1973</v>
      </c>
      <c r="J681" t="str">
        <f>"PROF SVCS - MARCH 2022"</f>
        <v>PROF SVCS - MARCH 2022</v>
      </c>
    </row>
    <row r="682" spans="1:10" x14ac:dyDescent="0.25">
      <c r="A682" t="str">
        <f>""</f>
        <v/>
      </c>
      <c r="B682" t="str">
        <f>""</f>
        <v/>
      </c>
      <c r="G682" t="str">
        <f>""</f>
        <v/>
      </c>
      <c r="H682" t="str">
        <f>""</f>
        <v/>
      </c>
      <c r="I682" s="4">
        <v>457</v>
      </c>
      <c r="J682" t="str">
        <f>"PROF SVCS - MARCH 2022"</f>
        <v>PROF SVCS - MARCH 2022</v>
      </c>
    </row>
    <row r="683" spans="1:10" x14ac:dyDescent="0.25">
      <c r="A683" t="str">
        <f>"01"</f>
        <v>01</v>
      </c>
      <c r="B683" t="str">
        <f>"004993"</f>
        <v>004993</v>
      </c>
      <c r="C683" t="s">
        <v>172</v>
      </c>
      <c r="D683">
        <v>5766</v>
      </c>
      <c r="E683" s="4">
        <v>615.69000000000005</v>
      </c>
      <c r="F683" s="5">
        <v>44607</v>
      </c>
      <c r="G683" t="str">
        <f>"190840A"</f>
        <v>190840A</v>
      </c>
      <c r="H683" t="str">
        <f>"CUST#31226"</f>
        <v>CUST#31226</v>
      </c>
      <c r="I683" s="4">
        <v>615.69000000000005</v>
      </c>
      <c r="J683" t="str">
        <f>"CUST#31226"</f>
        <v>CUST#31226</v>
      </c>
    </row>
    <row r="684" spans="1:10" x14ac:dyDescent="0.25">
      <c r="A684" t="str">
        <f>"01"</f>
        <v>01</v>
      </c>
      <c r="B684" t="str">
        <f>"IRON"</f>
        <v>IRON</v>
      </c>
      <c r="C684" t="s">
        <v>173</v>
      </c>
      <c r="D684">
        <v>139085</v>
      </c>
      <c r="E684" s="4">
        <v>182.72</v>
      </c>
      <c r="F684" s="5">
        <v>44606</v>
      </c>
      <c r="G684" t="str">
        <f>"GHBL332"</f>
        <v>GHBL332</v>
      </c>
      <c r="H684" t="str">
        <f>"CUST#AX773/BASTROP"</f>
        <v>CUST#AX773/BASTROP</v>
      </c>
      <c r="I684" s="4">
        <v>182.72</v>
      </c>
      <c r="J684" t="str">
        <f>"CUST#AX773/BASTROP"</f>
        <v>CUST#AX773/BASTROP</v>
      </c>
    </row>
    <row r="685" spans="1:10" x14ac:dyDescent="0.25">
      <c r="A685" t="str">
        <f>"01"</f>
        <v>01</v>
      </c>
      <c r="B685" t="str">
        <f>"006344"</f>
        <v>006344</v>
      </c>
      <c r="C685" t="s">
        <v>174</v>
      </c>
      <c r="D685">
        <v>139086</v>
      </c>
      <c r="E685" s="4">
        <v>597.96</v>
      </c>
      <c r="F685" s="5">
        <v>44606</v>
      </c>
      <c r="G685" t="str">
        <f>"0596733"</f>
        <v>0596733</v>
      </c>
      <c r="H685" t="str">
        <f>"INV 0596733"</f>
        <v>INV 0596733</v>
      </c>
      <c r="I685" s="4">
        <v>597.96</v>
      </c>
      <c r="J685" t="str">
        <f>"INV 0596733"</f>
        <v>INV 0596733</v>
      </c>
    </row>
    <row r="686" spans="1:10" x14ac:dyDescent="0.25">
      <c r="A686" t="str">
        <f>"01"</f>
        <v>01</v>
      </c>
      <c r="B686" t="str">
        <f>"006791"</f>
        <v>006791</v>
      </c>
      <c r="C686" t="s">
        <v>175</v>
      </c>
      <c r="D686">
        <v>139087</v>
      </c>
      <c r="E686" s="4">
        <v>73.92</v>
      </c>
      <c r="F686" s="5">
        <v>44606</v>
      </c>
      <c r="G686" t="str">
        <f>"202202088806"</f>
        <v>202202088806</v>
      </c>
      <c r="H686" t="str">
        <f>"REIMBURSE/JAMES MONTGOMERY"</f>
        <v>REIMBURSE/JAMES MONTGOMERY</v>
      </c>
      <c r="I686" s="4">
        <v>66.92</v>
      </c>
      <c r="J686" t="str">
        <f t="shared" ref="J686:J692" si="21">"REIMBURSE/JAMES MONTGOMERY"</f>
        <v>REIMBURSE/JAMES MONTGOMERY</v>
      </c>
    </row>
    <row r="687" spans="1:10" x14ac:dyDescent="0.25">
      <c r="A687" t="str">
        <f>""</f>
        <v/>
      </c>
      <c r="B687" t="str">
        <f>""</f>
        <v/>
      </c>
      <c r="G687" t="str">
        <f>""</f>
        <v/>
      </c>
      <c r="H687" t="str">
        <f>""</f>
        <v/>
      </c>
      <c r="I687" s="4">
        <v>7</v>
      </c>
      <c r="J687" t="str">
        <f t="shared" si="21"/>
        <v>REIMBURSE/JAMES MONTGOMERY</v>
      </c>
    </row>
    <row r="688" spans="1:10" x14ac:dyDescent="0.25">
      <c r="A688" t="str">
        <f>"01"</f>
        <v>01</v>
      </c>
      <c r="B688" t="str">
        <f>"006791"</f>
        <v>006791</v>
      </c>
      <c r="C688" t="s">
        <v>175</v>
      </c>
      <c r="D688">
        <v>139312</v>
      </c>
      <c r="E688" s="4">
        <v>184.6</v>
      </c>
      <c r="F688" s="5">
        <v>44620</v>
      </c>
      <c r="G688" t="str">
        <f>"202202239339"</f>
        <v>202202239339</v>
      </c>
      <c r="H688" t="str">
        <f>"REIMBURSE/JAMES MONTGOMERY"</f>
        <v>REIMBURSE/JAMES MONTGOMERY</v>
      </c>
      <c r="I688" s="4">
        <v>50.04</v>
      </c>
      <c r="J688" t="str">
        <f t="shared" si="21"/>
        <v>REIMBURSE/JAMES MONTGOMERY</v>
      </c>
    </row>
    <row r="689" spans="1:10" x14ac:dyDescent="0.25">
      <c r="A689" t="str">
        <f>""</f>
        <v/>
      </c>
      <c r="B689" t="str">
        <f>""</f>
        <v/>
      </c>
      <c r="G689" t="str">
        <f>""</f>
        <v/>
      </c>
      <c r="H689" t="str">
        <f>""</f>
        <v/>
      </c>
      <c r="I689" s="4">
        <v>4.5</v>
      </c>
      <c r="J689" t="str">
        <f t="shared" si="21"/>
        <v>REIMBURSE/JAMES MONTGOMERY</v>
      </c>
    </row>
    <row r="690" spans="1:10" x14ac:dyDescent="0.25">
      <c r="A690" t="str">
        <f>""</f>
        <v/>
      </c>
      <c r="B690" t="str">
        <f>""</f>
        <v/>
      </c>
      <c r="G690" t="str">
        <f>""</f>
        <v/>
      </c>
      <c r="H690" t="str">
        <f>""</f>
        <v/>
      </c>
      <c r="I690" s="4">
        <v>91.72</v>
      </c>
      <c r="J690" t="str">
        <f t="shared" si="21"/>
        <v>REIMBURSE/JAMES MONTGOMERY</v>
      </c>
    </row>
    <row r="691" spans="1:10" x14ac:dyDescent="0.25">
      <c r="A691" t="str">
        <f>""</f>
        <v/>
      </c>
      <c r="B691" t="str">
        <f>""</f>
        <v/>
      </c>
      <c r="G691" t="str">
        <f>""</f>
        <v/>
      </c>
      <c r="H691" t="str">
        <f>""</f>
        <v/>
      </c>
      <c r="I691" s="4">
        <v>9.8000000000000007</v>
      </c>
      <c r="J691" t="str">
        <f t="shared" si="21"/>
        <v>REIMBURSE/JAMES MONTGOMERY</v>
      </c>
    </row>
    <row r="692" spans="1:10" x14ac:dyDescent="0.25">
      <c r="A692" t="str">
        <f>""</f>
        <v/>
      </c>
      <c r="B692" t="str">
        <f>""</f>
        <v/>
      </c>
      <c r="G692" t="str">
        <f>""</f>
        <v/>
      </c>
      <c r="H692" t="str">
        <f>""</f>
        <v/>
      </c>
      <c r="I692" s="4">
        <v>28.54</v>
      </c>
      <c r="J692" t="str">
        <f t="shared" si="21"/>
        <v>REIMBURSE/JAMES MONTGOMERY</v>
      </c>
    </row>
    <row r="693" spans="1:10" x14ac:dyDescent="0.25">
      <c r="A693" t="str">
        <f>"01"</f>
        <v>01</v>
      </c>
      <c r="B693" t="str">
        <f>"T7860"</f>
        <v>T7860</v>
      </c>
      <c r="C693" t="s">
        <v>176</v>
      </c>
      <c r="D693">
        <v>5805</v>
      </c>
      <c r="E693" s="4">
        <v>2200</v>
      </c>
      <c r="F693" s="5">
        <v>44607</v>
      </c>
      <c r="G693" t="str">
        <f>"12242"</f>
        <v>12242</v>
      </c>
      <c r="H693" t="str">
        <f>"AD LITEM FEE"</f>
        <v>AD LITEM FEE</v>
      </c>
      <c r="I693" s="4">
        <v>150</v>
      </c>
      <c r="J693" t="str">
        <f>"AD LITEM FEE"</f>
        <v>AD LITEM FEE</v>
      </c>
    </row>
    <row r="694" spans="1:10" x14ac:dyDescent="0.25">
      <c r="A694" t="str">
        <f>""</f>
        <v/>
      </c>
      <c r="B694" t="str">
        <f>""</f>
        <v/>
      </c>
      <c r="G694" t="str">
        <f>"12264"</f>
        <v>12264</v>
      </c>
      <c r="H694" t="str">
        <f>"AD LITEM FEE"</f>
        <v>AD LITEM FEE</v>
      </c>
      <c r="I694" s="4">
        <v>150</v>
      </c>
      <c r="J694" t="str">
        <f>"AD LITEM FEE"</f>
        <v>AD LITEM FEE</v>
      </c>
    </row>
    <row r="695" spans="1:10" x14ac:dyDescent="0.25">
      <c r="A695" t="str">
        <f>""</f>
        <v/>
      </c>
      <c r="B695" t="str">
        <f>""</f>
        <v/>
      </c>
      <c r="G695" t="str">
        <f>"12273"</f>
        <v>12273</v>
      </c>
      <c r="H695" t="str">
        <f>"AD LITEM FEE"</f>
        <v>AD LITEM FEE</v>
      </c>
      <c r="I695" s="4">
        <v>150</v>
      </c>
      <c r="J695" t="str">
        <f>"AD LITEM FEE"</f>
        <v>AD LITEM FEE</v>
      </c>
    </row>
    <row r="696" spans="1:10" x14ac:dyDescent="0.25">
      <c r="A696" t="str">
        <f>""</f>
        <v/>
      </c>
      <c r="B696" t="str">
        <f>""</f>
        <v/>
      </c>
      <c r="G696" t="str">
        <f>"12276"</f>
        <v>12276</v>
      </c>
      <c r="H696" t="str">
        <f>"AD LITEM FEE"</f>
        <v>AD LITEM FEE</v>
      </c>
      <c r="I696" s="4">
        <v>150</v>
      </c>
      <c r="J696" t="str">
        <f>"AD LITEM FEE"</f>
        <v>AD LITEM FEE</v>
      </c>
    </row>
    <row r="697" spans="1:10" x14ac:dyDescent="0.25">
      <c r="A697" t="str">
        <f>""</f>
        <v/>
      </c>
      <c r="B697" t="str">
        <f>""</f>
        <v/>
      </c>
      <c r="G697" t="str">
        <f>"12313"</f>
        <v>12313</v>
      </c>
      <c r="H697" t="str">
        <f>"AD LITEM"</f>
        <v>AD LITEM</v>
      </c>
      <c r="I697" s="4">
        <v>150</v>
      </c>
      <c r="J697" t="str">
        <f>"AD LITEM"</f>
        <v>AD LITEM</v>
      </c>
    </row>
    <row r="698" spans="1:10" x14ac:dyDescent="0.25">
      <c r="A698" t="str">
        <f>""</f>
        <v/>
      </c>
      <c r="B698" t="str">
        <f>""</f>
        <v/>
      </c>
      <c r="G698" t="str">
        <f>"12454"</f>
        <v>12454</v>
      </c>
      <c r="H698" t="str">
        <f>"AD LITEM FEE"</f>
        <v>AD LITEM FEE</v>
      </c>
      <c r="I698" s="4">
        <v>150</v>
      </c>
      <c r="J698" t="str">
        <f>"AD LITEM FEE"</f>
        <v>AD LITEM FEE</v>
      </c>
    </row>
    <row r="699" spans="1:10" x14ac:dyDescent="0.25">
      <c r="A699" t="str">
        <f>""</f>
        <v/>
      </c>
      <c r="B699" t="str">
        <f>""</f>
        <v/>
      </c>
      <c r="G699" t="str">
        <f>"12518"</f>
        <v>12518</v>
      </c>
      <c r="H699" t="str">
        <f>"AD LITEM FEE"</f>
        <v>AD LITEM FEE</v>
      </c>
      <c r="I699" s="4">
        <v>150</v>
      </c>
      <c r="J699" t="str">
        <f>"AD LITEM FEE"</f>
        <v>AD LITEM FEE</v>
      </c>
    </row>
    <row r="700" spans="1:10" x14ac:dyDescent="0.25">
      <c r="A700" t="str">
        <f>""</f>
        <v/>
      </c>
      <c r="B700" t="str">
        <f>""</f>
        <v/>
      </c>
      <c r="G700" t="str">
        <f>"12534"</f>
        <v>12534</v>
      </c>
      <c r="H700" t="str">
        <f>"AD LITEM"</f>
        <v>AD LITEM</v>
      </c>
      <c r="I700" s="4">
        <v>150</v>
      </c>
      <c r="J700" t="str">
        <f>"AD LITEM"</f>
        <v>AD LITEM</v>
      </c>
    </row>
    <row r="701" spans="1:10" x14ac:dyDescent="0.25">
      <c r="A701" t="str">
        <f>""</f>
        <v/>
      </c>
      <c r="B701" t="str">
        <f>""</f>
        <v/>
      </c>
      <c r="G701" t="str">
        <f>"12897"</f>
        <v>12897</v>
      </c>
      <c r="H701" t="str">
        <f>"AD LITEM FEE"</f>
        <v>AD LITEM FEE</v>
      </c>
      <c r="I701" s="4">
        <v>150</v>
      </c>
      <c r="J701" t="str">
        <f>"AD LITEM FEE"</f>
        <v>AD LITEM FEE</v>
      </c>
    </row>
    <row r="702" spans="1:10" x14ac:dyDescent="0.25">
      <c r="A702" t="str">
        <f>""</f>
        <v/>
      </c>
      <c r="B702" t="str">
        <f>""</f>
        <v/>
      </c>
      <c r="G702" t="str">
        <f>"12906"</f>
        <v>12906</v>
      </c>
      <c r="H702" t="str">
        <f>"AD LITEM FEE"</f>
        <v>AD LITEM FEE</v>
      </c>
      <c r="I702" s="4">
        <v>150</v>
      </c>
      <c r="J702" t="str">
        <f>"AD LITEM FEE"</f>
        <v>AD LITEM FEE</v>
      </c>
    </row>
    <row r="703" spans="1:10" x14ac:dyDescent="0.25">
      <c r="A703" t="str">
        <f>""</f>
        <v/>
      </c>
      <c r="B703" t="str">
        <f>""</f>
        <v/>
      </c>
      <c r="G703" t="str">
        <f>"13042"</f>
        <v>13042</v>
      </c>
      <c r="H703" t="str">
        <f>"AD LITEM FEE"</f>
        <v>AD LITEM FEE</v>
      </c>
      <c r="I703" s="4">
        <v>150</v>
      </c>
      <c r="J703" t="str">
        <f>"AD LITEM FEE"</f>
        <v>AD LITEM FEE</v>
      </c>
    </row>
    <row r="704" spans="1:10" x14ac:dyDescent="0.25">
      <c r="A704" t="str">
        <f>""</f>
        <v/>
      </c>
      <c r="B704" t="str">
        <f>""</f>
        <v/>
      </c>
      <c r="G704" t="str">
        <f>"202201258531"</f>
        <v>202201258531</v>
      </c>
      <c r="H704" t="str">
        <f>"423-5522"</f>
        <v>423-5522</v>
      </c>
      <c r="I704" s="4">
        <v>300</v>
      </c>
      <c r="J704" t="str">
        <f>"423-5522"</f>
        <v>423-5522</v>
      </c>
    </row>
    <row r="705" spans="1:10" x14ac:dyDescent="0.25">
      <c r="A705" t="str">
        <f>""</f>
        <v/>
      </c>
      <c r="B705" t="str">
        <f>""</f>
        <v/>
      </c>
      <c r="G705" t="str">
        <f>"202202028703"</f>
        <v>202202028703</v>
      </c>
      <c r="H705" t="str">
        <f>"JP11209202C"</f>
        <v>JP11209202C</v>
      </c>
      <c r="I705" s="4">
        <v>250</v>
      </c>
      <c r="J705" t="str">
        <f>"JP11209202C"</f>
        <v>JP11209202C</v>
      </c>
    </row>
    <row r="706" spans="1:10" x14ac:dyDescent="0.25">
      <c r="A706" t="str">
        <f>"01"</f>
        <v>01</v>
      </c>
      <c r="B706" t="str">
        <f>"006419"</f>
        <v>006419</v>
      </c>
      <c r="C706" t="s">
        <v>177</v>
      </c>
      <c r="D706">
        <v>139088</v>
      </c>
      <c r="E706" s="4">
        <v>25</v>
      </c>
      <c r="F706" s="5">
        <v>44606</v>
      </c>
      <c r="G706" t="str">
        <f>"13-163 1-24-22"</f>
        <v>13-163 1-24-22</v>
      </c>
      <c r="H706" t="str">
        <f>"RESTITUTION/MARCUS MANZANARES"</f>
        <v>RESTITUTION/MARCUS MANZANARES</v>
      </c>
      <c r="I706" s="4">
        <v>25</v>
      </c>
      <c r="J706" t="str">
        <f>"RESTITUTION/MARCUS MANZANARES"</f>
        <v>RESTITUTION/MARCUS MANZANARES</v>
      </c>
    </row>
    <row r="707" spans="1:10" x14ac:dyDescent="0.25">
      <c r="A707" t="str">
        <f>"01"</f>
        <v>01</v>
      </c>
      <c r="B707" t="str">
        <f>"006856"</f>
        <v>006856</v>
      </c>
      <c r="C707" t="s">
        <v>178</v>
      </c>
      <c r="D707">
        <v>139089</v>
      </c>
      <c r="E707" s="4">
        <v>25</v>
      </c>
      <c r="F707" s="5">
        <v>44606</v>
      </c>
      <c r="G707" t="str">
        <f>"202202028723"</f>
        <v>202202028723</v>
      </c>
      <c r="H707" t="str">
        <f>"REIMBURSE/JOSE HERNANDEZ"</f>
        <v>REIMBURSE/JOSE HERNANDEZ</v>
      </c>
      <c r="I707" s="4">
        <v>25</v>
      </c>
      <c r="J707" t="str">
        <f>"REIMBURSE/JOSE HERNANDEZ"</f>
        <v>REIMBURSE/JOSE HERNANDEZ</v>
      </c>
    </row>
    <row r="708" spans="1:10" x14ac:dyDescent="0.25">
      <c r="A708" t="str">
        <f>"01"</f>
        <v>01</v>
      </c>
      <c r="B708" t="str">
        <f>"T14548"</f>
        <v>T14548</v>
      </c>
      <c r="C708" t="s">
        <v>179</v>
      </c>
      <c r="D708">
        <v>5800</v>
      </c>
      <c r="E708" s="4">
        <v>13175</v>
      </c>
      <c r="F708" s="5">
        <v>44607</v>
      </c>
      <c r="G708" t="str">
        <f>"202201258526"</f>
        <v>202201258526</v>
      </c>
      <c r="H708" t="str">
        <f>"16459"</f>
        <v>16459</v>
      </c>
      <c r="I708" s="4">
        <v>11775</v>
      </c>
      <c r="J708" t="str">
        <f>"16459"</f>
        <v>16459</v>
      </c>
    </row>
    <row r="709" spans="1:10" x14ac:dyDescent="0.25">
      <c r="A709" t="str">
        <f>""</f>
        <v/>
      </c>
      <c r="B709" t="str">
        <f>""</f>
        <v/>
      </c>
      <c r="G709" t="str">
        <f>"202201258527"</f>
        <v>202201258527</v>
      </c>
      <c r="H709" t="str">
        <f>"16411"</f>
        <v>16411</v>
      </c>
      <c r="I709" s="4">
        <v>400</v>
      </c>
      <c r="J709" t="str">
        <f>"16411"</f>
        <v>16411</v>
      </c>
    </row>
    <row r="710" spans="1:10" x14ac:dyDescent="0.25">
      <c r="A710" t="str">
        <f>""</f>
        <v/>
      </c>
      <c r="B710" t="str">
        <f>""</f>
        <v/>
      </c>
      <c r="G710" t="str">
        <f>"202201258528"</f>
        <v>202201258528</v>
      </c>
      <c r="H710" t="str">
        <f>"JP106182021M"</f>
        <v>JP106182021M</v>
      </c>
      <c r="I710" s="4">
        <v>200</v>
      </c>
      <c r="J710" t="str">
        <f>"JP106182021M"</f>
        <v>JP106182021M</v>
      </c>
    </row>
    <row r="711" spans="1:10" x14ac:dyDescent="0.25">
      <c r="A711" t="str">
        <f>""</f>
        <v/>
      </c>
      <c r="B711" t="str">
        <f>""</f>
        <v/>
      </c>
      <c r="G711" t="str">
        <f>"202201258529"</f>
        <v>202201258529</v>
      </c>
      <c r="H711" t="str">
        <f>"312312019T"</f>
        <v>312312019T</v>
      </c>
      <c r="I711" s="4">
        <v>400</v>
      </c>
      <c r="J711" t="str">
        <f>"312312019T"</f>
        <v>312312019T</v>
      </c>
    </row>
    <row r="712" spans="1:10" x14ac:dyDescent="0.25">
      <c r="A712" t="str">
        <f>""</f>
        <v/>
      </c>
      <c r="B712" t="str">
        <f>""</f>
        <v/>
      </c>
      <c r="G712" t="str">
        <f>"202201258530"</f>
        <v>202201258530</v>
      </c>
      <c r="H712" t="str">
        <f>"17409"</f>
        <v>17409</v>
      </c>
      <c r="I712" s="4">
        <v>400</v>
      </c>
      <c r="J712" t="str">
        <f>"17409"</f>
        <v>17409</v>
      </c>
    </row>
    <row r="713" spans="1:10" x14ac:dyDescent="0.25">
      <c r="A713" t="str">
        <f>"01"</f>
        <v>01</v>
      </c>
      <c r="B713" t="str">
        <f>"003760"</f>
        <v>003760</v>
      </c>
      <c r="C713" t="s">
        <v>180</v>
      </c>
      <c r="D713">
        <v>139090</v>
      </c>
      <c r="E713" s="4">
        <v>55.58</v>
      </c>
      <c r="F713" s="5">
        <v>44606</v>
      </c>
      <c r="G713" t="str">
        <f>"202202028747"</f>
        <v>202202028747</v>
      </c>
      <c r="H713" t="str">
        <f>"REIMBURSE/KATY NYC-LYYTINEN"</f>
        <v>REIMBURSE/KATY NYC-LYYTINEN</v>
      </c>
      <c r="I713" s="4">
        <v>55.58</v>
      </c>
      <c r="J713" t="str">
        <f>"REIMBURSE/KATY NYC-LYYTINEN"</f>
        <v>REIMBURSE/KATY NYC-LYYTINEN</v>
      </c>
    </row>
    <row r="714" spans="1:10" x14ac:dyDescent="0.25">
      <c r="A714" t="str">
        <f>"01"</f>
        <v>01</v>
      </c>
      <c r="B714" t="str">
        <f>"005802"</f>
        <v>005802</v>
      </c>
      <c r="C714" t="s">
        <v>181</v>
      </c>
      <c r="D714">
        <v>139091</v>
      </c>
      <c r="E714" s="4">
        <v>4303.75</v>
      </c>
      <c r="F714" s="5">
        <v>44606</v>
      </c>
      <c r="G714" t="str">
        <f>"202202028700"</f>
        <v>202202028700</v>
      </c>
      <c r="H714" t="str">
        <f>"19-20022"</f>
        <v>19-20022</v>
      </c>
      <c r="I714" s="4">
        <v>1266.25</v>
      </c>
      <c r="J714" t="str">
        <f>"19-20022"</f>
        <v>19-20022</v>
      </c>
    </row>
    <row r="715" spans="1:10" x14ac:dyDescent="0.25">
      <c r="A715" t="str">
        <f>""</f>
        <v/>
      </c>
      <c r="B715" t="str">
        <f>""</f>
        <v/>
      </c>
      <c r="G715" t="str">
        <f>"202202028701"</f>
        <v>202202028701</v>
      </c>
      <c r="H715" t="str">
        <f>"20-20482"</f>
        <v>20-20482</v>
      </c>
      <c r="I715" s="4">
        <v>1118.75</v>
      </c>
      <c r="J715" t="str">
        <f>"20-20482"</f>
        <v>20-20482</v>
      </c>
    </row>
    <row r="716" spans="1:10" x14ac:dyDescent="0.25">
      <c r="A716" t="str">
        <f>""</f>
        <v/>
      </c>
      <c r="B716" t="str">
        <f>""</f>
        <v/>
      </c>
      <c r="G716" t="str">
        <f>"202202028702"</f>
        <v>202202028702</v>
      </c>
      <c r="H716" t="str">
        <f>"19-19994"</f>
        <v>19-19994</v>
      </c>
      <c r="I716" s="4">
        <v>487.5</v>
      </c>
      <c r="J716" t="str">
        <f>"19-19994"</f>
        <v>19-19994</v>
      </c>
    </row>
    <row r="717" spans="1:10" x14ac:dyDescent="0.25">
      <c r="A717" t="str">
        <f>""</f>
        <v/>
      </c>
      <c r="B717" t="str">
        <f>""</f>
        <v/>
      </c>
      <c r="G717" t="str">
        <f>"202202088773"</f>
        <v>202202088773</v>
      </c>
      <c r="H717" t="str">
        <f>"423-2327"</f>
        <v>423-2327</v>
      </c>
      <c r="I717" s="4">
        <v>1431.25</v>
      </c>
      <c r="J717" t="str">
        <f>"423-2327"</f>
        <v>423-2327</v>
      </c>
    </row>
    <row r="718" spans="1:10" x14ac:dyDescent="0.25">
      <c r="A718" t="str">
        <f t="shared" ref="A718:A723" si="22">"01"</f>
        <v>01</v>
      </c>
      <c r="B718" t="str">
        <f>"KBTRI"</f>
        <v>KBTRI</v>
      </c>
      <c r="C718" t="s">
        <v>182</v>
      </c>
      <c r="D718">
        <v>5790</v>
      </c>
      <c r="E718" s="4">
        <v>2717</v>
      </c>
      <c r="F718" s="5">
        <v>44607</v>
      </c>
      <c r="G718" t="str">
        <f>"509"</f>
        <v>509</v>
      </c>
      <c r="H718" t="str">
        <f>"TOWER RENTAL"</f>
        <v>TOWER RENTAL</v>
      </c>
      <c r="I718" s="4">
        <v>2717</v>
      </c>
      <c r="J718" t="str">
        <f>"TOWER RENTAL"</f>
        <v>TOWER RENTAL</v>
      </c>
    </row>
    <row r="719" spans="1:10" x14ac:dyDescent="0.25">
      <c r="A719" t="str">
        <f t="shared" si="22"/>
        <v>01</v>
      </c>
      <c r="B719" t="str">
        <f>"002740"</f>
        <v>002740</v>
      </c>
      <c r="C719" t="s">
        <v>183</v>
      </c>
      <c r="D719">
        <v>139313</v>
      </c>
      <c r="E719" s="4">
        <v>85</v>
      </c>
      <c r="F719" s="5">
        <v>44620</v>
      </c>
      <c r="G719" t="str">
        <f>"13281"</f>
        <v>13281</v>
      </c>
      <c r="H719" t="str">
        <f>"SERVICE"</f>
        <v>SERVICE</v>
      </c>
      <c r="I719" s="4">
        <v>85</v>
      </c>
      <c r="J719" t="str">
        <f>"SERVICE"</f>
        <v>SERVICE</v>
      </c>
    </row>
    <row r="720" spans="1:10" x14ac:dyDescent="0.25">
      <c r="A720" t="str">
        <f t="shared" si="22"/>
        <v>01</v>
      </c>
      <c r="B720" t="str">
        <f>"003896"</f>
        <v>003896</v>
      </c>
      <c r="C720" t="s">
        <v>184</v>
      </c>
      <c r="D720">
        <v>5758</v>
      </c>
      <c r="E720" s="4">
        <v>158.86000000000001</v>
      </c>
      <c r="F720" s="5">
        <v>44607</v>
      </c>
      <c r="G720" t="str">
        <f>"202201268579"</f>
        <v>202201268579</v>
      </c>
      <c r="H720" t="str">
        <f>"REIMBURSE/KEVIN UNGER"</f>
        <v>REIMBURSE/KEVIN UNGER</v>
      </c>
      <c r="I720" s="4">
        <v>158.86000000000001</v>
      </c>
      <c r="J720" t="str">
        <f>"REIMBURSE/KEVIN UNGER"</f>
        <v>REIMBURSE/KEVIN UNGER</v>
      </c>
    </row>
    <row r="721" spans="1:10" x14ac:dyDescent="0.25">
      <c r="A721" t="str">
        <f t="shared" si="22"/>
        <v>01</v>
      </c>
      <c r="B721" t="str">
        <f>"006876"</f>
        <v>006876</v>
      </c>
      <c r="C721" t="s">
        <v>185</v>
      </c>
      <c r="D721">
        <v>139314</v>
      </c>
      <c r="E721" s="4">
        <v>39.049999999999997</v>
      </c>
      <c r="F721" s="5">
        <v>44620</v>
      </c>
      <c r="G721" t="str">
        <f>"202202229249"</f>
        <v>202202229249</v>
      </c>
      <c r="H721" t="str">
        <f>"REIMBURSE/KRYSTAL STABENO"</f>
        <v>REIMBURSE/KRYSTAL STABENO</v>
      </c>
      <c r="I721" s="4">
        <v>39.049999999999997</v>
      </c>
      <c r="J721" t="str">
        <f>"REIMBURSE/KRYSTAL STABENO"</f>
        <v>REIMBURSE/KRYSTAL STABENO</v>
      </c>
    </row>
    <row r="722" spans="1:10" x14ac:dyDescent="0.25">
      <c r="A722" t="str">
        <f t="shared" si="22"/>
        <v>01</v>
      </c>
      <c r="B722" t="str">
        <f>"LIE"</f>
        <v>LIE</v>
      </c>
      <c r="C722" t="s">
        <v>186</v>
      </c>
      <c r="D722">
        <v>139092</v>
      </c>
      <c r="E722" s="4">
        <v>1639.21</v>
      </c>
      <c r="F722" s="5">
        <v>44606</v>
      </c>
      <c r="G722" t="str">
        <f>"202202098864"</f>
        <v>202202098864</v>
      </c>
      <c r="H722" t="str">
        <f>"ACCT#104992/PCT#1"</f>
        <v>ACCT#104992/PCT#1</v>
      </c>
      <c r="I722" s="4">
        <v>1639.21</v>
      </c>
      <c r="J722" t="str">
        <f>"ACCT#104992/PCT#1"</f>
        <v>ACCT#104992/PCT#1</v>
      </c>
    </row>
    <row r="723" spans="1:10" x14ac:dyDescent="0.25">
      <c r="A723" t="str">
        <f t="shared" si="22"/>
        <v>01</v>
      </c>
      <c r="B723" t="str">
        <f>"001356"</f>
        <v>001356</v>
      </c>
      <c r="C723" t="s">
        <v>187</v>
      </c>
      <c r="D723">
        <v>139093</v>
      </c>
      <c r="E723" s="4">
        <v>3136.47</v>
      </c>
      <c r="F723" s="5">
        <v>44606</v>
      </c>
      <c r="G723" t="str">
        <f>"202202088795"</f>
        <v>202202088795</v>
      </c>
      <c r="H723" t="str">
        <f>"ACCT#1700/PCT#2"</f>
        <v>ACCT#1700/PCT#2</v>
      </c>
      <c r="I723" s="4">
        <v>1339.24</v>
      </c>
      <c r="J723" t="str">
        <f>"ACCT#1700/PCT#2"</f>
        <v>ACCT#1700/PCT#2</v>
      </c>
    </row>
    <row r="724" spans="1:10" x14ac:dyDescent="0.25">
      <c r="A724" t="str">
        <f>""</f>
        <v/>
      </c>
      <c r="B724" t="str">
        <f>""</f>
        <v/>
      </c>
      <c r="G724" t="str">
        <f>"202202088798"</f>
        <v>202202088798</v>
      </c>
      <c r="H724" t="str">
        <f>"ACCT#1750/PCT#3"</f>
        <v>ACCT#1750/PCT#3</v>
      </c>
      <c r="I724" s="4">
        <v>582.5</v>
      </c>
      <c r="J724" t="str">
        <f>"ACCT#1750/PCT#3"</f>
        <v>ACCT#1750/PCT#3</v>
      </c>
    </row>
    <row r="725" spans="1:10" x14ac:dyDescent="0.25">
      <c r="A725" t="str">
        <f>""</f>
        <v/>
      </c>
      <c r="B725" t="str">
        <f>""</f>
        <v/>
      </c>
      <c r="G725" t="str">
        <f>"202202098847"</f>
        <v>202202098847</v>
      </c>
      <c r="H725" t="str">
        <f>"ACCT#1650/GENRAL SVCS"</f>
        <v>ACCT#1650/GENRAL SVCS</v>
      </c>
      <c r="I725" s="4">
        <v>376.05</v>
      </c>
      <c r="J725" t="str">
        <f>"ACCT#1650/GENRAL SVCS"</f>
        <v>ACCT#1650/GENRAL SVCS</v>
      </c>
    </row>
    <row r="726" spans="1:10" x14ac:dyDescent="0.25">
      <c r="A726" t="str">
        <f>""</f>
        <v/>
      </c>
      <c r="B726" t="str">
        <f>""</f>
        <v/>
      </c>
      <c r="G726" t="str">
        <f>"226599385"</f>
        <v>226599385</v>
      </c>
      <c r="H726" t="str">
        <f>"ACCT#1162/BASTROP COUNTY"</f>
        <v>ACCT#1162/BASTROP COUNTY</v>
      </c>
      <c r="I726" s="4">
        <v>20.420000000000002</v>
      </c>
      <c r="J726" t="str">
        <f>"ACCT#1162/BASTROP COUNTY"</f>
        <v>ACCT#1162/BASTROP COUNTY</v>
      </c>
    </row>
    <row r="727" spans="1:10" x14ac:dyDescent="0.25">
      <c r="A727" t="str">
        <f>""</f>
        <v/>
      </c>
      <c r="B727" t="str">
        <f>""</f>
        <v/>
      </c>
      <c r="G727" t="str">
        <f>"226599680"</f>
        <v>226599680</v>
      </c>
      <c r="H727" t="str">
        <f>"ACCT#1645/WILDFIRE MIT"</f>
        <v>ACCT#1645/WILDFIRE MIT</v>
      </c>
      <c r="I727" s="4">
        <v>731.1</v>
      </c>
      <c r="J727" t="str">
        <f>"ACCT#1645/WILDFIRE MIT"</f>
        <v>ACCT#1645/WILDFIRE MIT</v>
      </c>
    </row>
    <row r="728" spans="1:10" x14ac:dyDescent="0.25">
      <c r="A728" t="str">
        <f>""</f>
        <v/>
      </c>
      <c r="B728" t="str">
        <f>""</f>
        <v/>
      </c>
      <c r="G728" t="str">
        <f>"226599681"</f>
        <v>226599681</v>
      </c>
      <c r="H728" t="str">
        <f>"ACCT#1950/PCT#1"</f>
        <v>ACCT#1950/PCT#1</v>
      </c>
      <c r="I728" s="4">
        <v>87.16</v>
      </c>
      <c r="J728" t="str">
        <f>"ACCT#1950/PCT#1"</f>
        <v>ACCT#1950/PCT#1</v>
      </c>
    </row>
    <row r="729" spans="1:10" x14ac:dyDescent="0.25">
      <c r="A729" t="str">
        <f>"01"</f>
        <v>01</v>
      </c>
      <c r="B729" t="str">
        <f>"001722"</f>
        <v>001722</v>
      </c>
      <c r="C729" t="s">
        <v>188</v>
      </c>
      <c r="D729">
        <v>5747</v>
      </c>
      <c r="E729" s="4">
        <v>2009.27</v>
      </c>
      <c r="F729" s="5">
        <v>44607</v>
      </c>
      <c r="G729" t="str">
        <f>"01191558"</f>
        <v>01191558</v>
      </c>
      <c r="H729" t="str">
        <f>"INV 01191558"</f>
        <v>INV 01191558</v>
      </c>
      <c r="I729" s="4">
        <v>681.26</v>
      </c>
      <c r="J729" t="str">
        <f>"INV 01191558"</f>
        <v>INV 01191558</v>
      </c>
    </row>
    <row r="730" spans="1:10" x14ac:dyDescent="0.25">
      <c r="A730" t="str">
        <f>""</f>
        <v/>
      </c>
      <c r="B730" t="str">
        <f>""</f>
        <v/>
      </c>
      <c r="G730" t="str">
        <f>""</f>
        <v/>
      </c>
      <c r="H730" t="str">
        <f>""</f>
        <v/>
      </c>
      <c r="I730" s="4">
        <v>357.35</v>
      </c>
      <c r="J730" t="str">
        <f>"INV 01261526"</f>
        <v>INV 01261526</v>
      </c>
    </row>
    <row r="731" spans="1:10" x14ac:dyDescent="0.25">
      <c r="A731" t="str">
        <f>""</f>
        <v/>
      </c>
      <c r="B731" t="str">
        <f>""</f>
        <v/>
      </c>
      <c r="G731" t="str">
        <f>""</f>
        <v/>
      </c>
      <c r="H731" t="str">
        <f>""</f>
        <v/>
      </c>
      <c r="I731" s="4">
        <v>970.66</v>
      </c>
      <c r="J731" t="str">
        <f>"INV 02022178"</f>
        <v>INV 02022178</v>
      </c>
    </row>
    <row r="732" spans="1:10" x14ac:dyDescent="0.25">
      <c r="A732" t="str">
        <f>"01"</f>
        <v>01</v>
      </c>
      <c r="B732" t="str">
        <f>"000900"</f>
        <v>000900</v>
      </c>
      <c r="C732" t="s">
        <v>189</v>
      </c>
      <c r="D732">
        <v>139315</v>
      </c>
      <c r="E732" s="4">
        <v>1160</v>
      </c>
      <c r="F732" s="5">
        <v>44620</v>
      </c>
      <c r="G732" t="str">
        <f>"400214"</f>
        <v>400214</v>
      </c>
      <c r="H732" t="str">
        <f>"CUST#BASCOU/PCT#1"</f>
        <v>CUST#BASCOU/PCT#1</v>
      </c>
      <c r="I732" s="4">
        <v>1160</v>
      </c>
      <c r="J732" t="str">
        <f>"CUST#BASCOU/PCT#1"</f>
        <v>CUST#BASCOU/PCT#1</v>
      </c>
    </row>
    <row r="733" spans="1:10" x14ac:dyDescent="0.25">
      <c r="A733" t="str">
        <f>"01"</f>
        <v>01</v>
      </c>
      <c r="B733" t="str">
        <f>"004263"</f>
        <v>004263</v>
      </c>
      <c r="C733" t="s">
        <v>190</v>
      </c>
      <c r="D733">
        <v>139316</v>
      </c>
      <c r="E733" s="4">
        <v>90</v>
      </c>
      <c r="F733" s="5">
        <v>44620</v>
      </c>
      <c r="G733" t="str">
        <f>"13784"</f>
        <v>13784</v>
      </c>
      <c r="H733" t="str">
        <f>"SERVICE"</f>
        <v>SERVICE</v>
      </c>
      <c r="I733" s="4">
        <v>90</v>
      </c>
      <c r="J733" t="str">
        <f>"SERVICE"</f>
        <v>SERVICE</v>
      </c>
    </row>
    <row r="734" spans="1:10" x14ac:dyDescent="0.25">
      <c r="A734" t="str">
        <f>"01"</f>
        <v>01</v>
      </c>
      <c r="B734" t="str">
        <f>"005440"</f>
        <v>005440</v>
      </c>
      <c r="C734" t="s">
        <v>191</v>
      </c>
      <c r="D734">
        <v>139094</v>
      </c>
      <c r="E734" s="4">
        <v>150</v>
      </c>
      <c r="F734" s="5">
        <v>44606</v>
      </c>
      <c r="G734" t="str">
        <f>"221320"</f>
        <v>221320</v>
      </c>
      <c r="H734" t="str">
        <f>"INV 221320"</f>
        <v>INV 221320</v>
      </c>
      <c r="I734" s="4">
        <v>150</v>
      </c>
      <c r="J734" t="str">
        <f>"INV 221320"</f>
        <v>INV 221320</v>
      </c>
    </row>
    <row r="735" spans="1:10" x14ac:dyDescent="0.25">
      <c r="A735" t="str">
        <f>"01"</f>
        <v>01</v>
      </c>
      <c r="B735" t="str">
        <f>"T9279"</f>
        <v>T9279</v>
      </c>
      <c r="C735" t="s">
        <v>192</v>
      </c>
      <c r="D735">
        <v>139001</v>
      </c>
      <c r="E735" s="4">
        <v>141.84</v>
      </c>
      <c r="F735" s="5">
        <v>44603</v>
      </c>
      <c r="G735" t="str">
        <f>"202202118954"</f>
        <v>202202118954</v>
      </c>
      <c r="H735" t="str">
        <f>"ACCT#1-01-0072-02/01252022"</f>
        <v>ACCT#1-01-0072-02/01252022</v>
      </c>
      <c r="I735" s="4">
        <v>141.84</v>
      </c>
      <c r="J735" t="str">
        <f>"ACCT#1-01-0072-02/01252022"</f>
        <v>ACCT#1-01-0072-02/01252022</v>
      </c>
    </row>
    <row r="736" spans="1:10" x14ac:dyDescent="0.25">
      <c r="A736" t="str">
        <f>"01"</f>
        <v>01</v>
      </c>
      <c r="B736" t="str">
        <f>"001530"</f>
        <v>001530</v>
      </c>
      <c r="C736" t="s">
        <v>193</v>
      </c>
      <c r="D736">
        <v>139095</v>
      </c>
      <c r="E736" s="4">
        <v>436.4</v>
      </c>
      <c r="F736" s="5">
        <v>44606</v>
      </c>
      <c r="G736" t="str">
        <f>"1361725-20220131"</f>
        <v>1361725-20220131</v>
      </c>
      <c r="H736" t="str">
        <f>"BILL ID#1361725/INDIGENT HEALT"</f>
        <v>BILL ID#1361725/INDIGENT HEALT</v>
      </c>
      <c r="I736" s="4">
        <v>150</v>
      </c>
      <c r="J736" t="str">
        <f>"BILL ID#1361725/INDIGENT HEALT"</f>
        <v>BILL ID#1361725/INDIGENT HEALT</v>
      </c>
    </row>
    <row r="737" spans="1:10" x14ac:dyDescent="0.25">
      <c r="A737" t="str">
        <f>""</f>
        <v/>
      </c>
      <c r="B737" t="str">
        <f>""</f>
        <v/>
      </c>
      <c r="G737" t="str">
        <f>"1420944-20220131"</f>
        <v>1420944-20220131</v>
      </c>
      <c r="H737" t="str">
        <f>"BILL ID#1420944/SO"</f>
        <v>BILL ID#1420944/SO</v>
      </c>
      <c r="I737" s="4">
        <v>286.39999999999998</v>
      </c>
      <c r="J737" t="str">
        <f>"BILL ID#1420944/SO"</f>
        <v>BILL ID#1420944/SO</v>
      </c>
    </row>
    <row r="738" spans="1:10" x14ac:dyDescent="0.25">
      <c r="A738" t="str">
        <f>"01"</f>
        <v>01</v>
      </c>
      <c r="B738" t="str">
        <f>"001530"</f>
        <v>001530</v>
      </c>
      <c r="C738" t="s">
        <v>193</v>
      </c>
      <c r="D738">
        <v>139317</v>
      </c>
      <c r="E738" s="4">
        <v>50</v>
      </c>
      <c r="F738" s="5">
        <v>44620</v>
      </c>
      <c r="G738" t="str">
        <f>"1489870-20220131"</f>
        <v>1489870-20220131</v>
      </c>
      <c r="H738" t="str">
        <f>"BILL ID#1489870/DISTRICT CLERK"</f>
        <v>BILL ID#1489870/DISTRICT CLERK</v>
      </c>
      <c r="I738" s="4">
        <v>50</v>
      </c>
      <c r="J738" t="str">
        <f>"BILL ID#1489870/DISTRICT CLERK"</f>
        <v>BILL ID#1489870/DISTRICT CLERK</v>
      </c>
    </row>
    <row r="739" spans="1:10" x14ac:dyDescent="0.25">
      <c r="A739" t="str">
        <f>"01"</f>
        <v>01</v>
      </c>
      <c r="B739" t="str">
        <f>"000684"</f>
        <v>000684</v>
      </c>
      <c r="C739" t="s">
        <v>194</v>
      </c>
      <c r="D739">
        <v>139318</v>
      </c>
      <c r="E739" s="4">
        <v>4530.53</v>
      </c>
      <c r="F739" s="5">
        <v>44620</v>
      </c>
      <c r="G739" t="str">
        <f>"2207147"</f>
        <v>2207147</v>
      </c>
      <c r="H739" t="str">
        <f>"ACCT#15717/PCT#4"</f>
        <v>ACCT#15717/PCT#4</v>
      </c>
      <c r="I739" s="4">
        <v>3260.09</v>
      </c>
      <c r="J739" t="str">
        <f>"ACCT#15717/PCT#2"</f>
        <v>ACCT#15717/PCT#2</v>
      </c>
    </row>
    <row r="740" spans="1:10" x14ac:dyDescent="0.25">
      <c r="A740" t="str">
        <f>""</f>
        <v/>
      </c>
      <c r="B740" t="str">
        <f>""</f>
        <v/>
      </c>
      <c r="G740" t="str">
        <f>"2207147-1"</f>
        <v>2207147-1</v>
      </c>
      <c r="H740" t="str">
        <f>"ACCT#15717/PCT#2"</f>
        <v>ACCT#15717/PCT#2</v>
      </c>
      <c r="I740" s="4">
        <v>1270.44</v>
      </c>
      <c r="J740" t="str">
        <f>"ACCT#15717/PCT#2"</f>
        <v>ACCT#15717/PCT#2</v>
      </c>
    </row>
    <row r="741" spans="1:10" x14ac:dyDescent="0.25">
      <c r="A741" t="str">
        <f>"01"</f>
        <v>01</v>
      </c>
      <c r="B741" t="str">
        <f>"T1082"</f>
        <v>T1082</v>
      </c>
      <c r="C741" t="s">
        <v>195</v>
      </c>
      <c r="D741">
        <v>139319</v>
      </c>
      <c r="E741" s="4">
        <v>100</v>
      </c>
      <c r="F741" s="5">
        <v>44620</v>
      </c>
      <c r="G741" t="str">
        <f>"202202229299"</f>
        <v>202202229299</v>
      </c>
      <c r="H741" t="str">
        <f>"REIMBURSEMENT"</f>
        <v>REIMBURSEMENT</v>
      </c>
      <c r="I741" s="4">
        <v>100</v>
      </c>
      <c r="J741" t="str">
        <f>"REIMBURSEMENT"</f>
        <v>REIMBURSEMENT</v>
      </c>
    </row>
    <row r="742" spans="1:10" x14ac:dyDescent="0.25">
      <c r="A742" t="str">
        <f>"01"</f>
        <v>01</v>
      </c>
      <c r="B742" t="str">
        <f>"005452"</f>
        <v>005452</v>
      </c>
      <c r="C742" t="s">
        <v>196</v>
      </c>
      <c r="D742">
        <v>5769</v>
      </c>
      <c r="E742" s="4">
        <v>1079</v>
      </c>
      <c r="F742" s="5">
        <v>44607</v>
      </c>
      <c r="G742" t="str">
        <f>"202202088791"</f>
        <v>202202088791</v>
      </c>
      <c r="H742" t="str">
        <f>"TRASH REMOVAL/LONNIE DAVIS JR"</f>
        <v>TRASH REMOVAL/LONNIE DAVIS JR</v>
      </c>
      <c r="I742" s="4">
        <v>728</v>
      </c>
      <c r="J742" t="str">
        <f>"TRASH REMOVAL/LONNIE DAVIS JR"</f>
        <v>TRASH REMOVAL/LONNIE DAVIS JR</v>
      </c>
    </row>
    <row r="743" spans="1:10" x14ac:dyDescent="0.25">
      <c r="A743" t="str">
        <f>""</f>
        <v/>
      </c>
      <c r="B743" t="str">
        <f>""</f>
        <v/>
      </c>
      <c r="G743" t="str">
        <f>"202202088792"</f>
        <v>202202088792</v>
      </c>
      <c r="H743" t="str">
        <f>"TRASH REMOVAL/LONNIE DAVIS JR"</f>
        <v>TRASH REMOVAL/LONNIE DAVIS JR</v>
      </c>
      <c r="I743" s="4">
        <v>351</v>
      </c>
      <c r="J743" t="str">
        <f>"TRASH REMOVAL/LONNIE DAVIS JR"</f>
        <v>TRASH REMOVAL/LONNIE DAVIS JR</v>
      </c>
    </row>
    <row r="744" spans="1:10" x14ac:dyDescent="0.25">
      <c r="A744" t="str">
        <f>"01"</f>
        <v>01</v>
      </c>
      <c r="B744" t="str">
        <f>"T13085"</f>
        <v>T13085</v>
      </c>
      <c r="C744" t="s">
        <v>197</v>
      </c>
      <c r="D744">
        <v>5799</v>
      </c>
      <c r="E744" s="4">
        <v>80</v>
      </c>
      <c r="F744" s="5">
        <v>44607</v>
      </c>
      <c r="G744" t="str">
        <f>"10-0137764"</f>
        <v>10-0137764</v>
      </c>
      <c r="H744" t="str">
        <f>"STATEMENT 10-000673"</f>
        <v>STATEMENT 10-000673</v>
      </c>
      <c r="I744" s="4">
        <v>30</v>
      </c>
      <c r="J744" t="str">
        <f>"INV 10-0137764"</f>
        <v>INV 10-0137764</v>
      </c>
    </row>
    <row r="745" spans="1:10" x14ac:dyDescent="0.25">
      <c r="A745" t="str">
        <f>""</f>
        <v/>
      </c>
      <c r="B745" t="str">
        <f>""</f>
        <v/>
      </c>
      <c r="G745" t="str">
        <f>""</f>
        <v/>
      </c>
      <c r="H745" t="str">
        <f>""</f>
        <v/>
      </c>
      <c r="I745" s="4">
        <v>50</v>
      </c>
      <c r="J745" t="str">
        <f>"INV 10-0138694"</f>
        <v>INV 10-0138694</v>
      </c>
    </row>
    <row r="746" spans="1:10" x14ac:dyDescent="0.25">
      <c r="A746" t="str">
        <f>"01"</f>
        <v>01</v>
      </c>
      <c r="B746" t="str">
        <f>"002400"</f>
        <v>002400</v>
      </c>
      <c r="C746" t="s">
        <v>198</v>
      </c>
      <c r="D746">
        <v>139320</v>
      </c>
      <c r="E746" s="4">
        <v>140</v>
      </c>
      <c r="F746" s="5">
        <v>44620</v>
      </c>
      <c r="G746" t="str">
        <f>"13338"</f>
        <v>13338</v>
      </c>
      <c r="H746" t="str">
        <f>"SERVICE"</f>
        <v>SERVICE</v>
      </c>
      <c r="I746" s="4">
        <v>140</v>
      </c>
      <c r="J746" t="str">
        <f>"SERVICE"</f>
        <v>SERVICE</v>
      </c>
    </row>
    <row r="747" spans="1:10" x14ac:dyDescent="0.25">
      <c r="A747" t="str">
        <f>"01"</f>
        <v>01</v>
      </c>
      <c r="B747" t="str">
        <f>"000031"</f>
        <v>000031</v>
      </c>
      <c r="C747" t="s">
        <v>199</v>
      </c>
      <c r="D747">
        <v>139096</v>
      </c>
      <c r="E747" s="4">
        <v>47870</v>
      </c>
      <c r="F747" s="5">
        <v>44606</v>
      </c>
      <c r="G747" t="str">
        <f>"MANMN0001761"</f>
        <v>MANMN0001761</v>
      </c>
      <c r="H747" t="str">
        <f>"CUST#4301300-REC/.CLERK"</f>
        <v>CUST#4301300-REC/.CLERK</v>
      </c>
      <c r="I747" s="4">
        <v>47870</v>
      </c>
      <c r="J747" t="str">
        <f>"CUST#4301300-REC/.CLERK"</f>
        <v>CUST#4301300-REC/.CLERK</v>
      </c>
    </row>
    <row r="748" spans="1:10" x14ac:dyDescent="0.25">
      <c r="A748" t="str">
        <f>"01"</f>
        <v>01</v>
      </c>
      <c r="B748" t="str">
        <f>"003981"</f>
        <v>003981</v>
      </c>
      <c r="C748" t="s">
        <v>200</v>
      </c>
      <c r="D748">
        <v>5759</v>
      </c>
      <c r="E748" s="4">
        <v>445.92</v>
      </c>
      <c r="F748" s="5">
        <v>44607</v>
      </c>
      <c r="G748" t="str">
        <f>"202202088771"</f>
        <v>202202088771</v>
      </c>
      <c r="H748" t="str">
        <f>"2022022"</f>
        <v>2022022</v>
      </c>
      <c r="I748" s="4">
        <v>445.92</v>
      </c>
      <c r="J748" t="str">
        <f>"2022022"</f>
        <v>2022022</v>
      </c>
    </row>
    <row r="749" spans="1:10" x14ac:dyDescent="0.25">
      <c r="A749" t="str">
        <f>"01"</f>
        <v>01</v>
      </c>
      <c r="B749" t="str">
        <f>"T12624"</f>
        <v>T12624</v>
      </c>
      <c r="C749" t="s">
        <v>201</v>
      </c>
      <c r="D749">
        <v>139321</v>
      </c>
      <c r="E749" s="4">
        <v>198.47</v>
      </c>
      <c r="F749" s="5">
        <v>44620</v>
      </c>
      <c r="G749" t="str">
        <f>"INV001998209"</f>
        <v>INV001998209</v>
      </c>
      <c r="H749" t="str">
        <f>"INV001998209"</f>
        <v>INV001998209</v>
      </c>
      <c r="I749" s="4">
        <v>198.47</v>
      </c>
      <c r="J749" t="str">
        <f>"INV001998209"</f>
        <v>INV001998209</v>
      </c>
    </row>
    <row r="750" spans="1:10" x14ac:dyDescent="0.25">
      <c r="A750" t="str">
        <f>"01"</f>
        <v>01</v>
      </c>
      <c r="B750" t="str">
        <f>"TRIGA"</f>
        <v>TRIGA</v>
      </c>
      <c r="C750" t="s">
        <v>202</v>
      </c>
      <c r="D750">
        <v>139322</v>
      </c>
      <c r="E750" s="4">
        <v>374.28</v>
      </c>
      <c r="F750" s="5">
        <v>44620</v>
      </c>
      <c r="G750" t="str">
        <f>"0025015449"</f>
        <v>0025015449</v>
      </c>
      <c r="H750" t="str">
        <f>"CUST#41472/PCT#1"</f>
        <v>CUST#41472/PCT#1</v>
      </c>
      <c r="I750" s="4">
        <v>32.729999999999997</v>
      </c>
      <c r="J750" t="str">
        <f>"CUST#41472/PCT#1"</f>
        <v>CUST#41472/PCT#1</v>
      </c>
    </row>
    <row r="751" spans="1:10" x14ac:dyDescent="0.25">
      <c r="A751" t="str">
        <f>""</f>
        <v/>
      </c>
      <c r="B751" t="str">
        <f>""</f>
        <v/>
      </c>
      <c r="G751" t="str">
        <f>"0025015510"</f>
        <v>0025015510</v>
      </c>
      <c r="H751" t="str">
        <f>"CUST#45057/PCT#1"</f>
        <v>CUST#45057/PCT#1</v>
      </c>
      <c r="I751" s="4">
        <v>60.73</v>
      </c>
      <c r="J751" t="str">
        <f>"CUST#45057/PCT#4"</f>
        <v>CUST#45057/PCT#4</v>
      </c>
    </row>
    <row r="752" spans="1:10" x14ac:dyDescent="0.25">
      <c r="A752" t="str">
        <f>""</f>
        <v/>
      </c>
      <c r="B752" t="str">
        <f>""</f>
        <v/>
      </c>
      <c r="G752" t="str">
        <f>"0025015554"</f>
        <v>0025015554</v>
      </c>
      <c r="H752" t="str">
        <f>"INV 0025015554"</f>
        <v>INV 0025015554</v>
      </c>
      <c r="I752" s="4">
        <v>70.819999999999993</v>
      </c>
      <c r="J752" t="str">
        <f>"INV 0025015554"</f>
        <v>INV 0025015554</v>
      </c>
    </row>
    <row r="753" spans="1:10" x14ac:dyDescent="0.25">
      <c r="A753" t="str">
        <f>""</f>
        <v/>
      </c>
      <c r="B753" t="str">
        <f>""</f>
        <v/>
      </c>
      <c r="G753" t="str">
        <f>"0025015827"</f>
        <v>0025015827</v>
      </c>
      <c r="H753" t="str">
        <f>"CUST#S9549/PCT#4"</f>
        <v>CUST#S9549/PCT#4</v>
      </c>
      <c r="I753" s="4">
        <v>210</v>
      </c>
      <c r="J753" t="str">
        <f>"CUST#S9549/PCT#4"</f>
        <v>CUST#S9549/PCT#4</v>
      </c>
    </row>
    <row r="754" spans="1:10" x14ac:dyDescent="0.25">
      <c r="A754" t="str">
        <f>"01"</f>
        <v>01</v>
      </c>
      <c r="B754" t="str">
        <f>"006630"</f>
        <v>006630</v>
      </c>
      <c r="C754" t="s">
        <v>203</v>
      </c>
      <c r="D754">
        <v>139323</v>
      </c>
      <c r="E754" s="4">
        <v>135</v>
      </c>
      <c r="F754" s="5">
        <v>44620</v>
      </c>
      <c r="G754" t="str">
        <f>"202202229301"</f>
        <v>202202229301</v>
      </c>
      <c r="H754" t="str">
        <f>"PER DEIM"</f>
        <v>PER DEIM</v>
      </c>
      <c r="I754" s="4">
        <v>135</v>
      </c>
      <c r="J754" t="str">
        <f>"PER DEIM"</f>
        <v>PER DEIM</v>
      </c>
    </row>
    <row r="755" spans="1:10" x14ac:dyDescent="0.25">
      <c r="A755" t="str">
        <f>"01"</f>
        <v>01</v>
      </c>
      <c r="B755" t="str">
        <f>"MCCOY"</f>
        <v>MCCOY</v>
      </c>
      <c r="C755" t="s">
        <v>204</v>
      </c>
      <c r="D755">
        <v>5791</v>
      </c>
      <c r="E755" s="4">
        <v>320.77</v>
      </c>
      <c r="F755" s="5">
        <v>44607</v>
      </c>
      <c r="G755" t="str">
        <f>"618212"</f>
        <v>618212</v>
      </c>
      <c r="H755" t="str">
        <f>"ACCT#0900-98011130-001/PCT#1"</f>
        <v>ACCT#0900-98011130-001/PCT#1</v>
      </c>
      <c r="I755" s="4">
        <v>-171.6</v>
      </c>
      <c r="J755" t="str">
        <f>"ACCT#0900-98011130-001/PCT#1"</f>
        <v>ACCT#0900-98011130-001/PCT#1</v>
      </c>
    </row>
    <row r="756" spans="1:10" x14ac:dyDescent="0.25">
      <c r="A756" t="str">
        <f>""</f>
        <v/>
      </c>
      <c r="B756" t="str">
        <f>""</f>
        <v/>
      </c>
      <c r="G756" t="str">
        <f>"618183"</f>
        <v>618183</v>
      </c>
      <c r="H756" t="str">
        <f>"ACCT#0900-98011130-001/PCT#1"</f>
        <v>ACCT#0900-98011130-001/PCT#1</v>
      </c>
      <c r="I756" s="4">
        <v>60.41</v>
      </c>
      <c r="J756" t="str">
        <f>"ACCT#0900-98011130-001/PCT#1"</f>
        <v>ACCT#0900-98011130-001/PCT#1</v>
      </c>
    </row>
    <row r="757" spans="1:10" x14ac:dyDescent="0.25">
      <c r="A757" t="str">
        <f>""</f>
        <v/>
      </c>
      <c r="B757" t="str">
        <f>""</f>
        <v/>
      </c>
      <c r="G757" t="str">
        <f>"618213"</f>
        <v>618213</v>
      </c>
      <c r="H757" t="str">
        <f>"ACCT#0900-98011130-001/PCT#1"</f>
        <v>ACCT#0900-98011130-001/PCT#1</v>
      </c>
      <c r="I757" s="4">
        <v>219.08</v>
      </c>
      <c r="J757" t="str">
        <f>"ACCT#0900-98011130-001/PCT#1"</f>
        <v>ACCT#0900-98011130-001/PCT#1</v>
      </c>
    </row>
    <row r="758" spans="1:10" x14ac:dyDescent="0.25">
      <c r="A758" t="str">
        <f>""</f>
        <v/>
      </c>
      <c r="B758" t="str">
        <f>""</f>
        <v/>
      </c>
      <c r="G758" t="str">
        <f>"618605"</f>
        <v>618605</v>
      </c>
      <c r="H758" t="str">
        <f>"ACCT#0900-9801130-001/PCT#3"</f>
        <v>ACCT#0900-9801130-001/PCT#3</v>
      </c>
      <c r="I758" s="4">
        <v>41.28</v>
      </c>
      <c r="J758" t="str">
        <f>"ACCT#0900-9801130-001/PCT#3"</f>
        <v>ACCT#0900-9801130-001/PCT#3</v>
      </c>
    </row>
    <row r="759" spans="1:10" x14ac:dyDescent="0.25">
      <c r="A759" t="str">
        <f>""</f>
        <v/>
      </c>
      <c r="B759" t="str">
        <f>""</f>
        <v/>
      </c>
      <c r="G759" t="str">
        <f>"918184"</f>
        <v>918184</v>
      </c>
      <c r="H759" t="str">
        <f>"ACCT#0900-98011130-001/PCT#1"</f>
        <v>ACCT#0900-98011130-001/PCT#1</v>
      </c>
      <c r="I759" s="4">
        <v>171.6</v>
      </c>
      <c r="J759" t="str">
        <f>"ACCT#0900-98011130-001/PCT#1"</f>
        <v>ACCT#0900-98011130-001/PCT#1</v>
      </c>
    </row>
    <row r="760" spans="1:10" x14ac:dyDescent="0.25">
      <c r="A760" t="str">
        <f>"01"</f>
        <v>01</v>
      </c>
      <c r="B760" t="str">
        <f>"MCCOY"</f>
        <v>MCCOY</v>
      </c>
      <c r="C760" t="s">
        <v>204</v>
      </c>
      <c r="D760">
        <v>139324</v>
      </c>
      <c r="E760" s="4">
        <v>16.66</v>
      </c>
      <c r="F760" s="5">
        <v>44620</v>
      </c>
      <c r="G760" t="str">
        <f>"619220"</f>
        <v>619220</v>
      </c>
      <c r="H760" t="str">
        <f>"ACCT#0900-98011130-001/PCT#3"</f>
        <v>ACCT#0900-98011130-001/PCT#3</v>
      </c>
      <c r="I760" s="4">
        <v>16.66</v>
      </c>
      <c r="J760" t="str">
        <f>"ACCT#0900-98011130-001/PCT#3"</f>
        <v>ACCT#0900-98011130-001/PCT#3</v>
      </c>
    </row>
    <row r="761" spans="1:10" x14ac:dyDescent="0.25">
      <c r="A761" t="str">
        <f>"01"</f>
        <v>01</v>
      </c>
      <c r="B761" t="str">
        <f>"MCCRE"</f>
        <v>MCCRE</v>
      </c>
      <c r="C761" t="s">
        <v>205</v>
      </c>
      <c r="D761">
        <v>139097</v>
      </c>
      <c r="E761" s="4">
        <v>2755</v>
      </c>
      <c r="F761" s="5">
        <v>44606</v>
      </c>
      <c r="G761" t="str">
        <f>"12242"</f>
        <v>12242</v>
      </c>
      <c r="H761" t="str">
        <f>"ABST FEE"</f>
        <v>ABST FEE</v>
      </c>
      <c r="I761" s="4">
        <v>175</v>
      </c>
      <c r="J761" t="str">
        <f>"ABST FEE"</f>
        <v>ABST FEE</v>
      </c>
    </row>
    <row r="762" spans="1:10" x14ac:dyDescent="0.25">
      <c r="A762" t="str">
        <f>""</f>
        <v/>
      </c>
      <c r="B762" t="str">
        <f>""</f>
        <v/>
      </c>
      <c r="G762" t="str">
        <f>"12264"</f>
        <v>12264</v>
      </c>
      <c r="H762" t="str">
        <f>"ABST FEE"</f>
        <v>ABST FEE</v>
      </c>
      <c r="I762" s="4">
        <v>175</v>
      </c>
      <c r="J762" t="str">
        <f>"ABST FEE"</f>
        <v>ABST FEE</v>
      </c>
    </row>
    <row r="763" spans="1:10" x14ac:dyDescent="0.25">
      <c r="A763" t="str">
        <f>""</f>
        <v/>
      </c>
      <c r="B763" t="str">
        <f>""</f>
        <v/>
      </c>
      <c r="G763" t="str">
        <f>"12273"</f>
        <v>12273</v>
      </c>
      <c r="H763" t="str">
        <f>"ABST FEE"</f>
        <v>ABST FEE</v>
      </c>
      <c r="I763" s="4">
        <v>175</v>
      </c>
      <c r="J763" t="str">
        <f>"ABST FEE"</f>
        <v>ABST FEE</v>
      </c>
    </row>
    <row r="764" spans="1:10" x14ac:dyDescent="0.25">
      <c r="A764" t="str">
        <f>""</f>
        <v/>
      </c>
      <c r="B764" t="str">
        <f>""</f>
        <v/>
      </c>
      <c r="G764" t="str">
        <f>"12276"</f>
        <v>12276</v>
      </c>
      <c r="H764" t="str">
        <f>"ABST FEE"</f>
        <v>ABST FEE</v>
      </c>
      <c r="I764" s="4">
        <v>175</v>
      </c>
      <c r="J764" t="str">
        <f>"ABST FEE"</f>
        <v>ABST FEE</v>
      </c>
    </row>
    <row r="765" spans="1:10" x14ac:dyDescent="0.25">
      <c r="A765" t="str">
        <f>""</f>
        <v/>
      </c>
      <c r="B765" t="str">
        <f>""</f>
        <v/>
      </c>
      <c r="G765" t="str">
        <f>"12313"</f>
        <v>12313</v>
      </c>
      <c r="H765" t="str">
        <f>"ABST FEE"</f>
        <v>ABST FEE</v>
      </c>
      <c r="I765" s="4">
        <v>175</v>
      </c>
      <c r="J765" t="str">
        <f>"ABST FEE"</f>
        <v>ABST FEE</v>
      </c>
    </row>
    <row r="766" spans="1:10" x14ac:dyDescent="0.25">
      <c r="A766" t="str">
        <f>""</f>
        <v/>
      </c>
      <c r="B766" t="str">
        <f>""</f>
        <v/>
      </c>
      <c r="G766" t="str">
        <f>"12454"</f>
        <v>12454</v>
      </c>
      <c r="H766" t="str">
        <f>"ABST FEE/SOS"</f>
        <v>ABST FEE/SOS</v>
      </c>
      <c r="I766" s="4">
        <v>230</v>
      </c>
      <c r="J766" t="str">
        <f>"ABST FEE/SOS"</f>
        <v>ABST FEE/SOS</v>
      </c>
    </row>
    <row r="767" spans="1:10" x14ac:dyDescent="0.25">
      <c r="A767" t="str">
        <f>""</f>
        <v/>
      </c>
      <c r="B767" t="str">
        <f>""</f>
        <v/>
      </c>
      <c r="G767" t="str">
        <f>"12498"</f>
        <v>12498</v>
      </c>
      <c r="H767" t="str">
        <f>"ABST FEE"</f>
        <v>ABST FEE</v>
      </c>
      <c r="I767" s="4">
        <v>175</v>
      </c>
      <c r="J767" t="str">
        <f>"ABST FEE"</f>
        <v>ABST FEE</v>
      </c>
    </row>
    <row r="768" spans="1:10" x14ac:dyDescent="0.25">
      <c r="A768" t="str">
        <f>""</f>
        <v/>
      </c>
      <c r="B768" t="str">
        <f>""</f>
        <v/>
      </c>
      <c r="G768" t="str">
        <f>"12518"</f>
        <v>12518</v>
      </c>
      <c r="H768" t="str">
        <f>"ABST  FEE"</f>
        <v>ABST  FEE</v>
      </c>
      <c r="I768" s="4">
        <v>175</v>
      </c>
      <c r="J768" t="str">
        <f>"ABST  FEE"</f>
        <v>ABST  FEE</v>
      </c>
    </row>
    <row r="769" spans="1:10" x14ac:dyDescent="0.25">
      <c r="A769" t="str">
        <f>""</f>
        <v/>
      </c>
      <c r="B769" t="str">
        <f>""</f>
        <v/>
      </c>
      <c r="G769" t="str">
        <f>"12534"</f>
        <v>12534</v>
      </c>
      <c r="H769" t="str">
        <f t="shared" ref="H769:H778" si="23">"ABST FEE"</f>
        <v>ABST FEE</v>
      </c>
      <c r="I769" s="4">
        <v>175</v>
      </c>
      <c r="J769" t="str">
        <f t="shared" ref="J769:J778" si="24">"ABST FEE"</f>
        <v>ABST FEE</v>
      </c>
    </row>
    <row r="770" spans="1:10" x14ac:dyDescent="0.25">
      <c r="A770" t="str">
        <f>""</f>
        <v/>
      </c>
      <c r="B770" t="str">
        <f>""</f>
        <v/>
      </c>
      <c r="G770" t="str">
        <f>"12897"</f>
        <v>12897</v>
      </c>
      <c r="H770" t="str">
        <f t="shared" si="23"/>
        <v>ABST FEE</v>
      </c>
      <c r="I770" s="4">
        <v>225</v>
      </c>
      <c r="J770" t="str">
        <f t="shared" si="24"/>
        <v>ABST FEE</v>
      </c>
    </row>
    <row r="771" spans="1:10" x14ac:dyDescent="0.25">
      <c r="A771" t="str">
        <f>""</f>
        <v/>
      </c>
      <c r="B771" t="str">
        <f>""</f>
        <v/>
      </c>
      <c r="G771" t="str">
        <f>"12906"</f>
        <v>12906</v>
      </c>
      <c r="H771" t="str">
        <f t="shared" si="23"/>
        <v>ABST FEE</v>
      </c>
      <c r="I771" s="4">
        <v>225</v>
      </c>
      <c r="J771" t="str">
        <f t="shared" si="24"/>
        <v>ABST FEE</v>
      </c>
    </row>
    <row r="772" spans="1:10" x14ac:dyDescent="0.25">
      <c r="A772" t="str">
        <f>""</f>
        <v/>
      </c>
      <c r="B772" t="str">
        <f>""</f>
        <v/>
      </c>
      <c r="G772" t="str">
        <f>"13042"</f>
        <v>13042</v>
      </c>
      <c r="H772" t="str">
        <f t="shared" si="23"/>
        <v>ABST FEE</v>
      </c>
      <c r="I772" s="4">
        <v>225</v>
      </c>
      <c r="J772" t="str">
        <f t="shared" si="24"/>
        <v>ABST FEE</v>
      </c>
    </row>
    <row r="773" spans="1:10" x14ac:dyDescent="0.25">
      <c r="A773" t="str">
        <f>""</f>
        <v/>
      </c>
      <c r="B773" t="str">
        <f>""</f>
        <v/>
      </c>
      <c r="G773" t="str">
        <f>"13495"</f>
        <v>13495</v>
      </c>
      <c r="H773" t="str">
        <f t="shared" si="23"/>
        <v>ABST FEE</v>
      </c>
      <c r="I773" s="4">
        <v>225</v>
      </c>
      <c r="J773" t="str">
        <f t="shared" si="24"/>
        <v>ABST FEE</v>
      </c>
    </row>
    <row r="774" spans="1:10" x14ac:dyDescent="0.25">
      <c r="A774" t="str">
        <f>""</f>
        <v/>
      </c>
      <c r="B774" t="str">
        <f>""</f>
        <v/>
      </c>
      <c r="G774" t="str">
        <f>"13620"</f>
        <v>13620</v>
      </c>
      <c r="H774" t="str">
        <f t="shared" si="23"/>
        <v>ABST FEE</v>
      </c>
      <c r="I774" s="4">
        <v>225</v>
      </c>
      <c r="J774" t="str">
        <f t="shared" si="24"/>
        <v>ABST FEE</v>
      </c>
    </row>
    <row r="775" spans="1:10" x14ac:dyDescent="0.25">
      <c r="A775" t="str">
        <f>"01"</f>
        <v>01</v>
      </c>
      <c r="B775" t="str">
        <f>"MCCRE"</f>
        <v>MCCRE</v>
      </c>
      <c r="C775" t="s">
        <v>205</v>
      </c>
      <c r="D775">
        <v>139325</v>
      </c>
      <c r="E775" s="4">
        <v>7568</v>
      </c>
      <c r="F775" s="5">
        <v>44620</v>
      </c>
      <c r="G775" t="str">
        <f>"12225"</f>
        <v>12225</v>
      </c>
      <c r="H775" t="str">
        <f t="shared" si="23"/>
        <v>ABST FEE</v>
      </c>
      <c r="I775" s="4">
        <v>175</v>
      </c>
      <c r="J775" t="str">
        <f t="shared" si="24"/>
        <v>ABST FEE</v>
      </c>
    </row>
    <row r="776" spans="1:10" x14ac:dyDescent="0.25">
      <c r="A776" t="str">
        <f>""</f>
        <v/>
      </c>
      <c r="B776" t="str">
        <f>""</f>
        <v/>
      </c>
      <c r="G776" t="str">
        <f>"12506"</f>
        <v>12506</v>
      </c>
      <c r="H776" t="str">
        <f t="shared" si="23"/>
        <v>ABST FEE</v>
      </c>
      <c r="I776" s="4">
        <v>175</v>
      </c>
      <c r="J776" t="str">
        <f t="shared" si="24"/>
        <v>ABST FEE</v>
      </c>
    </row>
    <row r="777" spans="1:10" x14ac:dyDescent="0.25">
      <c r="A777" t="str">
        <f>""</f>
        <v/>
      </c>
      <c r="B777" t="str">
        <f>""</f>
        <v/>
      </c>
      <c r="G777" t="str">
        <f>"12527"</f>
        <v>12527</v>
      </c>
      <c r="H777" t="str">
        <f t="shared" si="23"/>
        <v>ABST FEE</v>
      </c>
      <c r="I777" s="4">
        <v>175</v>
      </c>
      <c r="J777" t="str">
        <f t="shared" si="24"/>
        <v>ABST FEE</v>
      </c>
    </row>
    <row r="778" spans="1:10" x14ac:dyDescent="0.25">
      <c r="A778" t="str">
        <f>""</f>
        <v/>
      </c>
      <c r="B778" t="str">
        <f>""</f>
        <v/>
      </c>
      <c r="G778" t="str">
        <f>"12934"</f>
        <v>12934</v>
      </c>
      <c r="H778" t="str">
        <f t="shared" si="23"/>
        <v>ABST FEE</v>
      </c>
      <c r="I778" s="4">
        <v>225</v>
      </c>
      <c r="J778" t="str">
        <f t="shared" si="24"/>
        <v>ABST FEE</v>
      </c>
    </row>
    <row r="779" spans="1:10" x14ac:dyDescent="0.25">
      <c r="A779" t="str">
        <f>""</f>
        <v/>
      </c>
      <c r="B779" t="str">
        <f>""</f>
        <v/>
      </c>
      <c r="G779" t="str">
        <f>"13028"</f>
        <v>13028</v>
      </c>
      <c r="H779" t="str">
        <f>"ABST FEE &amp; SERVICE"</f>
        <v>ABST FEE &amp; SERVICE</v>
      </c>
      <c r="I779" s="4">
        <v>280</v>
      </c>
      <c r="J779" t="str">
        <f>"ABST FEE &amp; SERVICE"</f>
        <v>ABST FEE &amp; SERVICE</v>
      </c>
    </row>
    <row r="780" spans="1:10" x14ac:dyDescent="0.25">
      <c r="A780" t="str">
        <f>""</f>
        <v/>
      </c>
      <c r="B780" t="str">
        <f>""</f>
        <v/>
      </c>
      <c r="G780" t="str">
        <f>"13141"</f>
        <v>13141</v>
      </c>
      <c r="H780" t="str">
        <f>"ABST FEE"</f>
        <v>ABST FEE</v>
      </c>
      <c r="I780" s="4">
        <v>225</v>
      </c>
      <c r="J780" t="str">
        <f>"ABST FEE"</f>
        <v>ABST FEE</v>
      </c>
    </row>
    <row r="781" spans="1:10" x14ac:dyDescent="0.25">
      <c r="A781" t="str">
        <f>""</f>
        <v/>
      </c>
      <c r="B781" t="str">
        <f>""</f>
        <v/>
      </c>
      <c r="G781" t="str">
        <f>"13147"</f>
        <v>13147</v>
      </c>
      <c r="H781" t="str">
        <f>"ABST FEE"</f>
        <v>ABST FEE</v>
      </c>
      <c r="I781" s="4">
        <v>225</v>
      </c>
      <c r="J781" t="str">
        <f>"ABST FEE"</f>
        <v>ABST FEE</v>
      </c>
    </row>
    <row r="782" spans="1:10" x14ac:dyDescent="0.25">
      <c r="A782" t="str">
        <f>""</f>
        <v/>
      </c>
      <c r="B782" t="str">
        <f>""</f>
        <v/>
      </c>
      <c r="G782" t="str">
        <f>"13181"</f>
        <v>13181</v>
      </c>
      <c r="H782" t="str">
        <f>"ABST FEE &amp; SERVICE"</f>
        <v>ABST FEE &amp; SERVICE</v>
      </c>
      <c r="I782" s="4">
        <v>270</v>
      </c>
      <c r="J782" t="str">
        <f>"ABST FEE &amp; SERVICE"</f>
        <v>ABST FEE &amp; SERVICE</v>
      </c>
    </row>
    <row r="783" spans="1:10" x14ac:dyDescent="0.25">
      <c r="A783" t="str">
        <f>""</f>
        <v/>
      </c>
      <c r="B783" t="str">
        <f>""</f>
        <v/>
      </c>
      <c r="G783" t="str">
        <f>"13208"</f>
        <v>13208</v>
      </c>
      <c r="H783" t="str">
        <f>"ABST FEE"</f>
        <v>ABST FEE</v>
      </c>
      <c r="I783" s="4">
        <v>225</v>
      </c>
      <c r="J783" t="str">
        <f>"ABST FEE"</f>
        <v>ABST FEE</v>
      </c>
    </row>
    <row r="784" spans="1:10" x14ac:dyDescent="0.25">
      <c r="A784" t="str">
        <f>""</f>
        <v/>
      </c>
      <c r="B784" t="str">
        <f>""</f>
        <v/>
      </c>
      <c r="G784" t="str">
        <f>"13234"</f>
        <v>13234</v>
      </c>
      <c r="H784" t="str">
        <f>"ABST FEE"</f>
        <v>ABST FEE</v>
      </c>
      <c r="I784" s="4">
        <v>225</v>
      </c>
      <c r="J784" t="str">
        <f>"ABST FEE"</f>
        <v>ABST FEE</v>
      </c>
    </row>
    <row r="785" spans="1:10" x14ac:dyDescent="0.25">
      <c r="A785" t="str">
        <f>""</f>
        <v/>
      </c>
      <c r="B785" t="str">
        <f>""</f>
        <v/>
      </c>
      <c r="G785" t="str">
        <f>"13251"</f>
        <v>13251</v>
      </c>
      <c r="H785" t="str">
        <f>"ABST FEE &amp; SERVICE"</f>
        <v>ABST FEE &amp; SERVICE</v>
      </c>
      <c r="I785" s="4">
        <v>280</v>
      </c>
      <c r="J785" t="str">
        <f>"ABST FEE &amp; SERVICE"</f>
        <v>ABST FEE &amp; SERVICE</v>
      </c>
    </row>
    <row r="786" spans="1:10" x14ac:dyDescent="0.25">
      <c r="A786" t="str">
        <f>""</f>
        <v/>
      </c>
      <c r="B786" t="str">
        <f>""</f>
        <v/>
      </c>
      <c r="G786" t="str">
        <f>"13253"</f>
        <v>13253</v>
      </c>
      <c r="H786" t="str">
        <f>"ABST FEE"</f>
        <v>ABST FEE</v>
      </c>
      <c r="I786" s="4">
        <v>225</v>
      </c>
      <c r="J786" t="str">
        <f>"ABST FEE"</f>
        <v>ABST FEE</v>
      </c>
    </row>
    <row r="787" spans="1:10" x14ac:dyDescent="0.25">
      <c r="A787" t="str">
        <f>""</f>
        <v/>
      </c>
      <c r="B787" t="str">
        <f>""</f>
        <v/>
      </c>
      <c r="G787" t="str">
        <f>"13273"</f>
        <v>13273</v>
      </c>
      <c r="H787" t="str">
        <f>"ABST FEE"</f>
        <v>ABST FEE</v>
      </c>
      <c r="I787" s="4">
        <v>225</v>
      </c>
      <c r="J787" t="str">
        <f>"ABST FEE"</f>
        <v>ABST FEE</v>
      </c>
    </row>
    <row r="788" spans="1:10" x14ac:dyDescent="0.25">
      <c r="A788" t="str">
        <f>""</f>
        <v/>
      </c>
      <c r="B788" t="str">
        <f>""</f>
        <v/>
      </c>
      <c r="G788" t="str">
        <f>"13281"</f>
        <v>13281</v>
      </c>
      <c r="H788" t="str">
        <f>"ABST FEE"</f>
        <v>ABST FEE</v>
      </c>
      <c r="I788" s="4">
        <v>225</v>
      </c>
      <c r="J788" t="str">
        <f>"ABST FEE"</f>
        <v>ABST FEE</v>
      </c>
    </row>
    <row r="789" spans="1:10" x14ac:dyDescent="0.25">
      <c r="A789" t="str">
        <f>""</f>
        <v/>
      </c>
      <c r="B789" t="str">
        <f>""</f>
        <v/>
      </c>
      <c r="G789" t="str">
        <f>"13290"</f>
        <v>13290</v>
      </c>
      <c r="H789" t="str">
        <f>"ABST FEE"</f>
        <v>ABST FEE</v>
      </c>
      <c r="I789" s="4">
        <v>225</v>
      </c>
      <c r="J789" t="str">
        <f>"ABST FEE"</f>
        <v>ABST FEE</v>
      </c>
    </row>
    <row r="790" spans="1:10" x14ac:dyDescent="0.25">
      <c r="A790" t="str">
        <f>""</f>
        <v/>
      </c>
      <c r="B790" t="str">
        <f>""</f>
        <v/>
      </c>
      <c r="G790" t="str">
        <f>"13304"</f>
        <v>13304</v>
      </c>
      <c r="H790" t="str">
        <f>"ABST FEE &amp; SERVICE"</f>
        <v>ABST FEE &amp; SERVICE</v>
      </c>
      <c r="I790" s="4">
        <v>280</v>
      </c>
      <c r="J790" t="str">
        <f>"ABST FEE &amp; SERVICE"</f>
        <v>ABST FEE &amp; SERVICE</v>
      </c>
    </row>
    <row r="791" spans="1:10" x14ac:dyDescent="0.25">
      <c r="A791" t="str">
        <f>""</f>
        <v/>
      </c>
      <c r="B791" t="str">
        <f>""</f>
        <v/>
      </c>
      <c r="G791" t="str">
        <f>"13338"</f>
        <v>13338</v>
      </c>
      <c r="H791" t="str">
        <f t="shared" ref="H791:H808" si="25">"ABST FEE"</f>
        <v>ABST FEE</v>
      </c>
      <c r="I791" s="4">
        <v>225</v>
      </c>
      <c r="J791" t="str">
        <f t="shared" ref="J791:J808" si="26">"ABST FEE"</f>
        <v>ABST FEE</v>
      </c>
    </row>
    <row r="792" spans="1:10" x14ac:dyDescent="0.25">
      <c r="A792" t="str">
        <f>""</f>
        <v/>
      </c>
      <c r="B792" t="str">
        <f>""</f>
        <v/>
      </c>
      <c r="G792" t="str">
        <f>"13339"</f>
        <v>13339</v>
      </c>
      <c r="H792" t="str">
        <f t="shared" si="25"/>
        <v>ABST FEE</v>
      </c>
      <c r="I792" s="4">
        <v>225</v>
      </c>
      <c r="J792" t="str">
        <f t="shared" si="26"/>
        <v>ABST FEE</v>
      </c>
    </row>
    <row r="793" spans="1:10" x14ac:dyDescent="0.25">
      <c r="A793" t="str">
        <f>""</f>
        <v/>
      </c>
      <c r="B793" t="str">
        <f>""</f>
        <v/>
      </c>
      <c r="G793" t="str">
        <f>"13376"</f>
        <v>13376</v>
      </c>
      <c r="H793" t="str">
        <f t="shared" si="25"/>
        <v>ABST FEE</v>
      </c>
      <c r="I793" s="4">
        <v>225</v>
      </c>
      <c r="J793" t="str">
        <f t="shared" si="26"/>
        <v>ABST FEE</v>
      </c>
    </row>
    <row r="794" spans="1:10" x14ac:dyDescent="0.25">
      <c r="A794" t="str">
        <f>""</f>
        <v/>
      </c>
      <c r="B794" t="str">
        <f>""</f>
        <v/>
      </c>
      <c r="G794" t="str">
        <f>"13378"</f>
        <v>13378</v>
      </c>
      <c r="H794" t="str">
        <f t="shared" si="25"/>
        <v>ABST FEE</v>
      </c>
      <c r="I794" s="4">
        <v>100</v>
      </c>
      <c r="J794" t="str">
        <f t="shared" si="26"/>
        <v>ABST FEE</v>
      </c>
    </row>
    <row r="795" spans="1:10" x14ac:dyDescent="0.25">
      <c r="A795" t="str">
        <f>""</f>
        <v/>
      </c>
      <c r="B795" t="str">
        <f>""</f>
        <v/>
      </c>
      <c r="G795" t="str">
        <f>"13452"</f>
        <v>13452</v>
      </c>
      <c r="H795" t="str">
        <f t="shared" si="25"/>
        <v>ABST FEE</v>
      </c>
      <c r="I795" s="4">
        <v>225</v>
      </c>
      <c r="J795" t="str">
        <f t="shared" si="26"/>
        <v>ABST FEE</v>
      </c>
    </row>
    <row r="796" spans="1:10" x14ac:dyDescent="0.25">
      <c r="A796" t="str">
        <f>""</f>
        <v/>
      </c>
      <c r="B796" t="str">
        <f>""</f>
        <v/>
      </c>
      <c r="G796" t="str">
        <f>"13497"</f>
        <v>13497</v>
      </c>
      <c r="H796" t="str">
        <f t="shared" si="25"/>
        <v>ABST FEE</v>
      </c>
      <c r="I796" s="4">
        <v>225</v>
      </c>
      <c r="J796" t="str">
        <f t="shared" si="26"/>
        <v>ABST FEE</v>
      </c>
    </row>
    <row r="797" spans="1:10" x14ac:dyDescent="0.25">
      <c r="A797" t="str">
        <f>""</f>
        <v/>
      </c>
      <c r="B797" t="str">
        <f>""</f>
        <v/>
      </c>
      <c r="G797" t="str">
        <f>"13498"</f>
        <v>13498</v>
      </c>
      <c r="H797" t="str">
        <f t="shared" si="25"/>
        <v>ABST FEE</v>
      </c>
      <c r="I797" s="4">
        <v>225</v>
      </c>
      <c r="J797" t="str">
        <f t="shared" si="26"/>
        <v>ABST FEE</v>
      </c>
    </row>
    <row r="798" spans="1:10" x14ac:dyDescent="0.25">
      <c r="A798" t="str">
        <f>""</f>
        <v/>
      </c>
      <c r="B798" t="str">
        <f>""</f>
        <v/>
      </c>
      <c r="G798" t="str">
        <f>"13505"</f>
        <v>13505</v>
      </c>
      <c r="H798" t="str">
        <f t="shared" si="25"/>
        <v>ABST FEE</v>
      </c>
      <c r="I798" s="4">
        <v>225</v>
      </c>
      <c r="J798" t="str">
        <f t="shared" si="26"/>
        <v>ABST FEE</v>
      </c>
    </row>
    <row r="799" spans="1:10" x14ac:dyDescent="0.25">
      <c r="A799" t="str">
        <f>""</f>
        <v/>
      </c>
      <c r="B799" t="str">
        <f>""</f>
        <v/>
      </c>
      <c r="G799" t="str">
        <f>"13514"</f>
        <v>13514</v>
      </c>
      <c r="H799" t="str">
        <f t="shared" si="25"/>
        <v>ABST FEE</v>
      </c>
      <c r="I799" s="4">
        <v>225</v>
      </c>
      <c r="J799" t="str">
        <f t="shared" si="26"/>
        <v>ABST FEE</v>
      </c>
    </row>
    <row r="800" spans="1:10" x14ac:dyDescent="0.25">
      <c r="A800" t="str">
        <f>""</f>
        <v/>
      </c>
      <c r="B800" t="str">
        <f>""</f>
        <v/>
      </c>
      <c r="G800" t="str">
        <f>"13516"</f>
        <v>13516</v>
      </c>
      <c r="H800" t="str">
        <f t="shared" si="25"/>
        <v>ABST FEE</v>
      </c>
      <c r="I800" s="4">
        <v>225</v>
      </c>
      <c r="J800" t="str">
        <f t="shared" si="26"/>
        <v>ABST FEE</v>
      </c>
    </row>
    <row r="801" spans="1:10" x14ac:dyDescent="0.25">
      <c r="A801" t="str">
        <f>""</f>
        <v/>
      </c>
      <c r="B801" t="str">
        <f>""</f>
        <v/>
      </c>
      <c r="G801" t="str">
        <f>"13569"</f>
        <v>13569</v>
      </c>
      <c r="H801" t="str">
        <f t="shared" si="25"/>
        <v>ABST FEE</v>
      </c>
      <c r="I801" s="4">
        <v>225</v>
      </c>
      <c r="J801" t="str">
        <f t="shared" si="26"/>
        <v>ABST FEE</v>
      </c>
    </row>
    <row r="802" spans="1:10" x14ac:dyDescent="0.25">
      <c r="A802" t="str">
        <f>""</f>
        <v/>
      </c>
      <c r="B802" t="str">
        <f>""</f>
        <v/>
      </c>
      <c r="G802" t="str">
        <f>"13666 12/26/2021"</f>
        <v>13666 12/26/2021</v>
      </c>
      <c r="H802" t="str">
        <f t="shared" si="25"/>
        <v>ABST FEE</v>
      </c>
      <c r="I802" s="4">
        <v>50</v>
      </c>
      <c r="J802" t="str">
        <f t="shared" si="26"/>
        <v>ABST FEE</v>
      </c>
    </row>
    <row r="803" spans="1:10" x14ac:dyDescent="0.25">
      <c r="A803" t="str">
        <f>""</f>
        <v/>
      </c>
      <c r="B803" t="str">
        <f>""</f>
        <v/>
      </c>
      <c r="G803" t="str">
        <f>"13747-01/03/22"</f>
        <v>13747-01/03/22</v>
      </c>
      <c r="H803" t="str">
        <f t="shared" si="25"/>
        <v>ABST FEE</v>
      </c>
      <c r="I803" s="4">
        <v>158</v>
      </c>
      <c r="J803" t="str">
        <f t="shared" si="26"/>
        <v>ABST FEE</v>
      </c>
    </row>
    <row r="804" spans="1:10" x14ac:dyDescent="0.25">
      <c r="A804" t="str">
        <f>""</f>
        <v/>
      </c>
      <c r="B804" t="str">
        <f>""</f>
        <v/>
      </c>
      <c r="G804" t="str">
        <f>"13784"</f>
        <v>13784</v>
      </c>
      <c r="H804" t="str">
        <f t="shared" si="25"/>
        <v>ABST FEE</v>
      </c>
      <c r="I804" s="4">
        <v>225</v>
      </c>
      <c r="J804" t="str">
        <f t="shared" si="26"/>
        <v>ABST FEE</v>
      </c>
    </row>
    <row r="805" spans="1:10" x14ac:dyDescent="0.25">
      <c r="A805" t="str">
        <f>""</f>
        <v/>
      </c>
      <c r="B805" t="str">
        <f>""</f>
        <v/>
      </c>
      <c r="G805" t="str">
        <f>"13787"</f>
        <v>13787</v>
      </c>
      <c r="H805" t="str">
        <f t="shared" si="25"/>
        <v>ABST FEE</v>
      </c>
      <c r="I805" s="4">
        <v>225</v>
      </c>
      <c r="J805" t="str">
        <f t="shared" si="26"/>
        <v>ABST FEE</v>
      </c>
    </row>
    <row r="806" spans="1:10" x14ac:dyDescent="0.25">
      <c r="A806" t="str">
        <f>""</f>
        <v/>
      </c>
      <c r="B806" t="str">
        <f>""</f>
        <v/>
      </c>
      <c r="G806" t="str">
        <f>"13799"</f>
        <v>13799</v>
      </c>
      <c r="H806" t="str">
        <f t="shared" si="25"/>
        <v>ABST FEE</v>
      </c>
      <c r="I806" s="4">
        <v>225</v>
      </c>
      <c r="J806" t="str">
        <f t="shared" si="26"/>
        <v>ABST FEE</v>
      </c>
    </row>
    <row r="807" spans="1:10" x14ac:dyDescent="0.25">
      <c r="A807" t="str">
        <f>""</f>
        <v/>
      </c>
      <c r="B807" t="str">
        <f>""</f>
        <v/>
      </c>
      <c r="G807" t="str">
        <f>"13836"</f>
        <v>13836</v>
      </c>
      <c r="H807" t="str">
        <f t="shared" si="25"/>
        <v>ABST FEE</v>
      </c>
      <c r="I807" s="4">
        <v>225</v>
      </c>
      <c r="J807" t="str">
        <f t="shared" si="26"/>
        <v>ABST FEE</v>
      </c>
    </row>
    <row r="808" spans="1:10" x14ac:dyDescent="0.25">
      <c r="A808" t="str">
        <f>""</f>
        <v/>
      </c>
      <c r="B808" t="str">
        <f>""</f>
        <v/>
      </c>
      <c r="G808" t="str">
        <f>"13847"</f>
        <v>13847</v>
      </c>
      <c r="H808" t="str">
        <f t="shared" si="25"/>
        <v>ABST FEE</v>
      </c>
      <c r="I808" s="4">
        <v>225</v>
      </c>
      <c r="J808" t="str">
        <f t="shared" si="26"/>
        <v>ABST FEE</v>
      </c>
    </row>
    <row r="809" spans="1:10" x14ac:dyDescent="0.25">
      <c r="A809" t="str">
        <f>""</f>
        <v/>
      </c>
      <c r="B809" t="str">
        <f>""</f>
        <v/>
      </c>
      <c r="G809" t="str">
        <f>"13860"</f>
        <v>13860</v>
      </c>
      <c r="H809" t="str">
        <f>"SERVICE"</f>
        <v>SERVICE</v>
      </c>
      <c r="I809" s="4">
        <v>225</v>
      </c>
      <c r="J809" t="str">
        <f>"SERVICE"</f>
        <v>SERVICE</v>
      </c>
    </row>
    <row r="810" spans="1:10" x14ac:dyDescent="0.25">
      <c r="A810" t="str">
        <f>"01"</f>
        <v>01</v>
      </c>
      <c r="B810" t="str">
        <f>"005840"</f>
        <v>005840</v>
      </c>
      <c r="C810" t="s">
        <v>206</v>
      </c>
      <c r="D810">
        <v>139098</v>
      </c>
      <c r="E810" s="4">
        <v>634.6</v>
      </c>
      <c r="F810" s="5">
        <v>44606</v>
      </c>
      <c r="G810" t="str">
        <f>"18976878"</f>
        <v>18976878</v>
      </c>
      <c r="H810" t="str">
        <f>"INV 18976878  18976469  1"</f>
        <v>INV 18976878  18976469  1</v>
      </c>
      <c r="I810" s="4">
        <v>250.87</v>
      </c>
      <c r="J810" t="str">
        <f>"INV 18976878"</f>
        <v>INV 18976878</v>
      </c>
    </row>
    <row r="811" spans="1:10" x14ac:dyDescent="0.25">
      <c r="A811" t="str">
        <f>""</f>
        <v/>
      </c>
      <c r="B811" t="str">
        <f>""</f>
        <v/>
      </c>
      <c r="G811" t="str">
        <f>""</f>
        <v/>
      </c>
      <c r="H811" t="str">
        <f>""</f>
        <v/>
      </c>
      <c r="I811" s="4">
        <v>160.65</v>
      </c>
      <c r="J811" t="str">
        <f>"INV 18976469"</f>
        <v>INV 18976469</v>
      </c>
    </row>
    <row r="812" spans="1:10" x14ac:dyDescent="0.25">
      <c r="A812" t="str">
        <f>""</f>
        <v/>
      </c>
      <c r="B812" t="str">
        <f>""</f>
        <v/>
      </c>
      <c r="G812" t="str">
        <f>""</f>
        <v/>
      </c>
      <c r="H812" t="str">
        <f>""</f>
        <v/>
      </c>
      <c r="I812" s="4">
        <v>73.040000000000006</v>
      </c>
      <c r="J812" t="str">
        <f>"INV 18995914"</f>
        <v>INV 18995914</v>
      </c>
    </row>
    <row r="813" spans="1:10" x14ac:dyDescent="0.25">
      <c r="A813" t="str">
        <f>""</f>
        <v/>
      </c>
      <c r="B813" t="str">
        <f>""</f>
        <v/>
      </c>
      <c r="G813" t="str">
        <f>""</f>
        <v/>
      </c>
      <c r="H813" t="str">
        <f>""</f>
        <v/>
      </c>
      <c r="I813" s="4">
        <v>73.040000000000006</v>
      </c>
      <c r="J813" t="str">
        <f>"INV 18993601"</f>
        <v>INV 18993601</v>
      </c>
    </row>
    <row r="814" spans="1:10" x14ac:dyDescent="0.25">
      <c r="A814" t="str">
        <f>""</f>
        <v/>
      </c>
      <c r="B814" t="str">
        <f>""</f>
        <v/>
      </c>
      <c r="G814" t="str">
        <f>""</f>
        <v/>
      </c>
      <c r="H814" t="str">
        <f>""</f>
        <v/>
      </c>
      <c r="I814" s="4">
        <v>77</v>
      </c>
      <c r="J814" t="str">
        <f>"INV 19005101"</f>
        <v>INV 19005101</v>
      </c>
    </row>
    <row r="815" spans="1:10" x14ac:dyDescent="0.25">
      <c r="A815" t="str">
        <f t="shared" ref="A815:A822" si="27">"01"</f>
        <v>01</v>
      </c>
      <c r="B815" t="str">
        <f>"005840"</f>
        <v>005840</v>
      </c>
      <c r="C815" t="s">
        <v>206</v>
      </c>
      <c r="D815">
        <v>139326</v>
      </c>
      <c r="E815" s="4">
        <v>568.54999999999995</v>
      </c>
      <c r="F815" s="5">
        <v>44620</v>
      </c>
      <c r="G815" t="str">
        <f>"19062973"</f>
        <v>19062973</v>
      </c>
      <c r="H815" t="str">
        <f>"INV 19062973"</f>
        <v>INV 19062973</v>
      </c>
      <c r="I815" s="4">
        <v>568.54999999999995</v>
      </c>
      <c r="J815" t="str">
        <f>"INV 19062973"</f>
        <v>INV 19062973</v>
      </c>
    </row>
    <row r="816" spans="1:10" x14ac:dyDescent="0.25">
      <c r="A816" t="str">
        <f t="shared" si="27"/>
        <v>01</v>
      </c>
      <c r="B816" t="str">
        <f>"002271"</f>
        <v>002271</v>
      </c>
      <c r="C816" t="s">
        <v>207</v>
      </c>
      <c r="D816">
        <v>139327</v>
      </c>
      <c r="E816" s="4">
        <v>2316.9899999999998</v>
      </c>
      <c r="F816" s="5">
        <v>44620</v>
      </c>
      <c r="G816" t="str">
        <f>"202202229274"</f>
        <v>202202229274</v>
      </c>
      <c r="H816" t="str">
        <f>"INDIGENT HEALTH"</f>
        <v>INDIGENT HEALTH</v>
      </c>
      <c r="I816" s="4">
        <v>2316.9899999999998</v>
      </c>
      <c r="J816" t="str">
        <f>"INDIGENT HEALTH"</f>
        <v>INDIGENT HEALTH</v>
      </c>
    </row>
    <row r="817" spans="1:10" x14ac:dyDescent="0.25">
      <c r="A817" t="str">
        <f t="shared" si="27"/>
        <v>01</v>
      </c>
      <c r="B817" t="str">
        <f>"002616"</f>
        <v>002616</v>
      </c>
      <c r="C817" t="s">
        <v>208</v>
      </c>
      <c r="D817">
        <v>139328</v>
      </c>
      <c r="E817" s="4">
        <v>200</v>
      </c>
      <c r="F817" s="5">
        <v>44620</v>
      </c>
      <c r="G817" t="str">
        <f>"13147"</f>
        <v>13147</v>
      </c>
      <c r="H817" t="str">
        <f>"SERVICE"</f>
        <v>SERVICE</v>
      </c>
      <c r="I817" s="4">
        <v>200</v>
      </c>
      <c r="J817" t="str">
        <f>"SERVICE"</f>
        <v>SERVICE</v>
      </c>
    </row>
    <row r="818" spans="1:10" x14ac:dyDescent="0.25">
      <c r="A818" t="str">
        <f t="shared" si="27"/>
        <v>01</v>
      </c>
      <c r="B818" t="str">
        <f>"T13095"</f>
        <v>T13095</v>
      </c>
      <c r="C818" t="s">
        <v>209</v>
      </c>
      <c r="D818">
        <v>139329</v>
      </c>
      <c r="E818" s="4">
        <v>379.5</v>
      </c>
      <c r="F818" s="5">
        <v>44620</v>
      </c>
      <c r="G818" t="str">
        <f>"202202239335"</f>
        <v>202202239335</v>
      </c>
      <c r="H818" t="str">
        <f>"REIMBURSE/MELISSA DE LEON"</f>
        <v>REIMBURSE/MELISSA DE LEON</v>
      </c>
      <c r="I818" s="4">
        <v>379.5</v>
      </c>
      <c r="J818" t="str">
        <f>"REIMBURSE/MELISSA DE LEON"</f>
        <v>REIMBURSE/MELISSA DE LEON</v>
      </c>
    </row>
    <row r="819" spans="1:10" x14ac:dyDescent="0.25">
      <c r="A819" t="str">
        <f t="shared" si="27"/>
        <v>01</v>
      </c>
      <c r="B819" t="str">
        <f>"006853"</f>
        <v>006853</v>
      </c>
      <c r="C819" t="s">
        <v>210</v>
      </c>
      <c r="D819">
        <v>139099</v>
      </c>
      <c r="E819" s="4">
        <v>14</v>
      </c>
      <c r="F819" s="5">
        <v>44606</v>
      </c>
      <c r="G819" t="str">
        <f>"202202028718"</f>
        <v>202202028718</v>
      </c>
      <c r="H819" t="str">
        <f>"REIMBURSE/MICHAEL B. JOHNSON"</f>
        <v>REIMBURSE/MICHAEL B. JOHNSON</v>
      </c>
      <c r="I819" s="4">
        <v>14</v>
      </c>
      <c r="J819" t="str">
        <f>"REIMBURSE/MICHAEL B. JOHNSON"</f>
        <v>REIMBURSE/MICHAEL B. JOHNSON</v>
      </c>
    </row>
    <row r="820" spans="1:10" x14ac:dyDescent="0.25">
      <c r="A820" t="str">
        <f t="shared" si="27"/>
        <v>01</v>
      </c>
      <c r="B820" t="str">
        <f>"006857"</f>
        <v>006857</v>
      </c>
      <c r="C820" t="s">
        <v>211</v>
      </c>
      <c r="D820">
        <v>139100</v>
      </c>
      <c r="E820" s="4">
        <v>97</v>
      </c>
      <c r="F820" s="5">
        <v>44606</v>
      </c>
      <c r="G820" t="str">
        <f>"202202028697"</f>
        <v>202202028697</v>
      </c>
      <c r="H820" t="str">
        <f>"MICHAEL HARBICH/REIMBURSEMENT"</f>
        <v>MICHAEL HARBICH/REIMBURSEMENT</v>
      </c>
      <c r="I820" s="4">
        <v>97</v>
      </c>
      <c r="J820" t="str">
        <f>"MICHAEL HARBICH/REIMBURSEMENT"</f>
        <v>MICHAEL HARBICH/REIMBURSEMENT</v>
      </c>
    </row>
    <row r="821" spans="1:10" x14ac:dyDescent="0.25">
      <c r="A821" t="str">
        <f t="shared" si="27"/>
        <v>01</v>
      </c>
      <c r="B821" t="str">
        <f>"MF"</f>
        <v>MF</v>
      </c>
      <c r="C821" t="s">
        <v>212</v>
      </c>
      <c r="D821">
        <v>5792</v>
      </c>
      <c r="E821" s="4">
        <v>114</v>
      </c>
      <c r="F821" s="5">
        <v>44607</v>
      </c>
      <c r="G821" t="str">
        <f>"22-007"</f>
        <v>22-007</v>
      </c>
      <c r="H821" t="str">
        <f>"CAUSE NO.423-8266"</f>
        <v>CAUSE NO.423-8266</v>
      </c>
      <c r="I821" s="4">
        <v>114</v>
      </c>
      <c r="J821" t="str">
        <f>"CAUSE NO.423-8266"</f>
        <v>CAUSE NO.423-8266</v>
      </c>
    </row>
    <row r="822" spans="1:10" x14ac:dyDescent="0.25">
      <c r="A822" t="str">
        <f t="shared" si="27"/>
        <v>01</v>
      </c>
      <c r="B822" t="str">
        <f>"002312"</f>
        <v>002312</v>
      </c>
      <c r="C822" t="s">
        <v>213</v>
      </c>
      <c r="D822">
        <v>5753</v>
      </c>
      <c r="E822" s="4">
        <v>1174.5999999999999</v>
      </c>
      <c r="F822" s="5">
        <v>44607</v>
      </c>
      <c r="G822" t="str">
        <f>"26437"</f>
        <v>26437</v>
      </c>
      <c r="H822" t="str">
        <f>"FRIGTH SALES/PCT#2"</f>
        <v>FRIGTH SALES/PCT#2</v>
      </c>
      <c r="I822" s="4">
        <v>581.6</v>
      </c>
      <c r="J822" t="str">
        <f>"FRIGTH SALES/PCT#2"</f>
        <v>FRIGTH SALES/PCT#2</v>
      </c>
    </row>
    <row r="823" spans="1:10" x14ac:dyDescent="0.25">
      <c r="A823" t="str">
        <f>""</f>
        <v/>
      </c>
      <c r="B823" t="str">
        <f>""</f>
        <v/>
      </c>
      <c r="G823" t="str">
        <f>"26482"</f>
        <v>26482</v>
      </c>
      <c r="H823" t="str">
        <f>"FRIGHT SALES/PCT#2"</f>
        <v>FRIGHT SALES/PCT#2</v>
      </c>
      <c r="I823" s="4">
        <v>475.85</v>
      </c>
      <c r="J823" t="str">
        <f>"FRIGHT SALES/PCT#2"</f>
        <v>FRIGHT SALES/PCT#2</v>
      </c>
    </row>
    <row r="824" spans="1:10" x14ac:dyDescent="0.25">
      <c r="A824" t="str">
        <f>""</f>
        <v/>
      </c>
      <c r="B824" t="str">
        <f>""</f>
        <v/>
      </c>
      <c r="G824" t="str">
        <f>"26541"</f>
        <v>26541</v>
      </c>
      <c r="H824" t="str">
        <f>"FREIGT SALES/PCT#2"</f>
        <v>FREIGT SALES/PCT#2</v>
      </c>
      <c r="I824" s="4">
        <v>117.15</v>
      </c>
      <c r="J824" t="str">
        <f>"FREIGT SALES/PCT#2"</f>
        <v>FREIGT SALES/PCT#2</v>
      </c>
    </row>
    <row r="825" spans="1:10" x14ac:dyDescent="0.25">
      <c r="A825" t="str">
        <f t="shared" ref="A825:A888" si="28">"01"</f>
        <v>01</v>
      </c>
      <c r="B825" t="str">
        <f t="shared" ref="B825:B888" si="29">"1"</f>
        <v>1</v>
      </c>
      <c r="C825" t="s">
        <v>214</v>
      </c>
      <c r="D825">
        <v>138892</v>
      </c>
      <c r="E825" s="4">
        <v>6</v>
      </c>
      <c r="F825" s="5">
        <v>44603</v>
      </c>
      <c r="G825" t="str">
        <f>"202202119035"</f>
        <v>202202119035</v>
      </c>
      <c r="H825" t="str">
        <f>"Misc"</f>
        <v>Misc</v>
      </c>
      <c r="I825" s="4">
        <v>6</v>
      </c>
      <c r="J825" t="str">
        <f>"ADDIE BEATRICE ALDRIDGE"</f>
        <v>ADDIE BEATRICE ALDRIDGE</v>
      </c>
    </row>
    <row r="826" spans="1:10" x14ac:dyDescent="0.25">
      <c r="A826" t="str">
        <f t="shared" si="28"/>
        <v>01</v>
      </c>
      <c r="B826" t="str">
        <f t="shared" si="29"/>
        <v>1</v>
      </c>
      <c r="C826" t="s">
        <v>215</v>
      </c>
      <c r="D826">
        <v>138893</v>
      </c>
      <c r="E826" s="4">
        <v>46</v>
      </c>
      <c r="F826" s="5">
        <v>44603</v>
      </c>
      <c r="G826" t="str">
        <f>"202202118966"</f>
        <v>202202118966</v>
      </c>
      <c r="H826" t="str">
        <f>""</f>
        <v/>
      </c>
      <c r="I826" s="4">
        <v>46</v>
      </c>
      <c r="J826" t="str">
        <f>"ADRIANA ALEXANDRA RIVERA-CONDE"</f>
        <v>ADRIANA ALEXANDRA RIVERA-CONDE</v>
      </c>
    </row>
    <row r="827" spans="1:10" x14ac:dyDescent="0.25">
      <c r="A827" t="str">
        <f t="shared" si="28"/>
        <v>01</v>
      </c>
      <c r="B827" t="str">
        <f t="shared" si="29"/>
        <v>1</v>
      </c>
      <c r="C827" t="s">
        <v>216</v>
      </c>
      <c r="D827">
        <v>138894</v>
      </c>
      <c r="E827" s="4">
        <v>6</v>
      </c>
      <c r="F827" s="5">
        <v>44603</v>
      </c>
      <c r="G827" t="str">
        <f>"202202118993"</f>
        <v>202202118993</v>
      </c>
      <c r="H827" t="str">
        <f>"Miscellan"</f>
        <v>Miscellan</v>
      </c>
      <c r="I827" s="4">
        <v>6</v>
      </c>
      <c r="J827" t="str">
        <f>"ALFRED L BINGER JR"</f>
        <v>ALFRED L BINGER JR</v>
      </c>
    </row>
    <row r="828" spans="1:10" x14ac:dyDescent="0.25">
      <c r="A828" t="str">
        <f t="shared" si="28"/>
        <v>01</v>
      </c>
      <c r="B828" t="str">
        <f t="shared" si="29"/>
        <v>1</v>
      </c>
      <c r="C828" t="s">
        <v>217</v>
      </c>
      <c r="D828">
        <v>138895</v>
      </c>
      <c r="E828" s="4">
        <v>6</v>
      </c>
      <c r="F828" s="5">
        <v>44603</v>
      </c>
      <c r="G828" t="str">
        <f>"202202119041"</f>
        <v>202202119041</v>
      </c>
      <c r="H828" t="str">
        <f>"Miscel"</f>
        <v>Miscel</v>
      </c>
      <c r="I828" s="4">
        <v>6</v>
      </c>
      <c r="J828" t="str">
        <f>"ANGELIKA SASKO WATSON"</f>
        <v>ANGELIKA SASKO WATSON</v>
      </c>
    </row>
    <row r="829" spans="1:10" x14ac:dyDescent="0.25">
      <c r="A829" t="str">
        <f t="shared" si="28"/>
        <v>01</v>
      </c>
      <c r="B829" t="str">
        <f t="shared" si="29"/>
        <v>1</v>
      </c>
      <c r="C829" t="s">
        <v>218</v>
      </c>
      <c r="D829">
        <v>138896</v>
      </c>
      <c r="E829" s="4">
        <v>6</v>
      </c>
      <c r="F829" s="5">
        <v>44603</v>
      </c>
      <c r="G829" t="str">
        <f>"202202119000"</f>
        <v>202202119000</v>
      </c>
      <c r="H829" t="str">
        <f>"Miscellaneo"</f>
        <v>Miscellaneo</v>
      </c>
      <c r="I829" s="4">
        <v>6</v>
      </c>
      <c r="J829" t="str">
        <f>"ASHLEY MARIE COY"</f>
        <v>ASHLEY MARIE COY</v>
      </c>
    </row>
    <row r="830" spans="1:10" x14ac:dyDescent="0.25">
      <c r="A830" t="str">
        <f t="shared" si="28"/>
        <v>01</v>
      </c>
      <c r="B830" t="str">
        <f t="shared" si="29"/>
        <v>1</v>
      </c>
      <c r="C830" t="s">
        <v>219</v>
      </c>
      <c r="D830">
        <v>138897</v>
      </c>
      <c r="E830" s="4">
        <v>6</v>
      </c>
      <c r="F830" s="5">
        <v>44603</v>
      </c>
      <c r="G830" t="str">
        <f>"202202118962"</f>
        <v>202202118962</v>
      </c>
      <c r="H830" t="str">
        <f>"Misc"</f>
        <v>Misc</v>
      </c>
      <c r="I830" s="4">
        <v>6</v>
      </c>
      <c r="J830" t="str">
        <f>"BELINDA HARDING KIMBALL"</f>
        <v>BELINDA HARDING KIMBALL</v>
      </c>
    </row>
    <row r="831" spans="1:10" x14ac:dyDescent="0.25">
      <c r="A831" t="str">
        <f t="shared" si="28"/>
        <v>01</v>
      </c>
      <c r="B831" t="str">
        <f t="shared" si="29"/>
        <v>1</v>
      </c>
      <c r="C831" t="s">
        <v>220</v>
      </c>
      <c r="D831">
        <v>138898</v>
      </c>
      <c r="E831" s="4">
        <v>6</v>
      </c>
      <c r="F831" s="5">
        <v>44603</v>
      </c>
      <c r="G831" t="str">
        <f>"202202119042"</f>
        <v>202202119042</v>
      </c>
      <c r="H831" t="str">
        <f>"Miscellane"</f>
        <v>Miscellane</v>
      </c>
      <c r="I831" s="4">
        <v>6</v>
      </c>
      <c r="J831" t="str">
        <f>"BLAS RODRIGUEZ JR"</f>
        <v>BLAS RODRIGUEZ JR</v>
      </c>
    </row>
    <row r="832" spans="1:10" x14ac:dyDescent="0.25">
      <c r="A832" t="str">
        <f t="shared" si="28"/>
        <v>01</v>
      </c>
      <c r="B832" t="str">
        <f t="shared" si="29"/>
        <v>1</v>
      </c>
      <c r="C832" t="s">
        <v>221</v>
      </c>
      <c r="D832">
        <v>138899</v>
      </c>
      <c r="E832" s="4">
        <v>6</v>
      </c>
      <c r="F832" s="5">
        <v>44603</v>
      </c>
      <c r="G832" t="str">
        <f>"202202118983"</f>
        <v>202202118983</v>
      </c>
      <c r="H832" t="str">
        <f>"Miscellan"</f>
        <v>Miscellan</v>
      </c>
      <c r="I832" s="4">
        <v>6</v>
      </c>
      <c r="J832" t="str">
        <f>"BRANDY LYNN OBRIEN"</f>
        <v>BRANDY LYNN OBRIEN</v>
      </c>
    </row>
    <row r="833" spans="1:10" x14ac:dyDescent="0.25">
      <c r="A833" t="str">
        <f t="shared" si="28"/>
        <v>01</v>
      </c>
      <c r="B833" t="str">
        <f t="shared" si="29"/>
        <v>1</v>
      </c>
      <c r="C833" t="s">
        <v>222</v>
      </c>
      <c r="D833">
        <v>138900</v>
      </c>
      <c r="E833" s="4">
        <v>46</v>
      </c>
      <c r="F833" s="5">
        <v>44603</v>
      </c>
      <c r="G833" t="str">
        <f>"202202119031"</f>
        <v>202202119031</v>
      </c>
      <c r="H833" t="str">
        <f>"Miscellaneo"</f>
        <v>Miscellaneo</v>
      </c>
      <c r="I833" s="4">
        <v>46</v>
      </c>
      <c r="J833" t="str">
        <f>"CALLIE ANN MEADS"</f>
        <v>CALLIE ANN MEADS</v>
      </c>
    </row>
    <row r="834" spans="1:10" x14ac:dyDescent="0.25">
      <c r="A834" t="str">
        <f t="shared" si="28"/>
        <v>01</v>
      </c>
      <c r="B834" t="str">
        <f t="shared" si="29"/>
        <v>1</v>
      </c>
      <c r="C834" t="s">
        <v>223</v>
      </c>
      <c r="D834">
        <v>138901</v>
      </c>
      <c r="E834" s="4">
        <v>6</v>
      </c>
      <c r="F834" s="5">
        <v>44603</v>
      </c>
      <c r="G834" t="str">
        <f>"202202119001"</f>
        <v>202202119001</v>
      </c>
      <c r="H834" t="str">
        <f>"Miscel"</f>
        <v>Miscel</v>
      </c>
      <c r="I834" s="4">
        <v>6</v>
      </c>
      <c r="J834" t="str">
        <f>"CATHERINE ANNE MILLER"</f>
        <v>CATHERINE ANNE MILLER</v>
      </c>
    </row>
    <row r="835" spans="1:10" x14ac:dyDescent="0.25">
      <c r="A835" t="str">
        <f t="shared" si="28"/>
        <v>01</v>
      </c>
      <c r="B835" t="str">
        <f t="shared" si="29"/>
        <v>1</v>
      </c>
      <c r="C835" t="s">
        <v>224</v>
      </c>
      <c r="D835">
        <v>138902</v>
      </c>
      <c r="E835" s="4">
        <v>6</v>
      </c>
      <c r="F835" s="5">
        <v>44603</v>
      </c>
      <c r="G835" t="str">
        <f>"202202118963"</f>
        <v>202202118963</v>
      </c>
      <c r="H835" t="str">
        <f>"Miscellaneo"</f>
        <v>Miscellaneo</v>
      </c>
      <c r="I835" s="4">
        <v>6</v>
      </c>
      <c r="J835" t="str">
        <f>"CHAD DAVID MEADS"</f>
        <v>CHAD DAVID MEADS</v>
      </c>
    </row>
    <row r="836" spans="1:10" x14ac:dyDescent="0.25">
      <c r="A836" t="str">
        <f t="shared" si="28"/>
        <v>01</v>
      </c>
      <c r="B836" t="str">
        <f t="shared" si="29"/>
        <v>1</v>
      </c>
      <c r="C836" t="s">
        <v>225</v>
      </c>
      <c r="D836">
        <v>138903</v>
      </c>
      <c r="E836" s="4">
        <v>6</v>
      </c>
      <c r="F836" s="5">
        <v>44603</v>
      </c>
      <c r="G836" t="str">
        <f>"202202118988"</f>
        <v>202202118988</v>
      </c>
      <c r="H836" t="str">
        <f>"Miscel"</f>
        <v>Miscel</v>
      </c>
      <c r="I836" s="4">
        <v>6</v>
      </c>
      <c r="J836" t="str">
        <f>"CHARLES AMBROSE ROUSE"</f>
        <v>CHARLES AMBROSE ROUSE</v>
      </c>
    </row>
    <row r="837" spans="1:10" x14ac:dyDescent="0.25">
      <c r="A837" t="str">
        <f t="shared" si="28"/>
        <v>01</v>
      </c>
      <c r="B837" t="str">
        <f t="shared" si="29"/>
        <v>1</v>
      </c>
      <c r="C837" t="s">
        <v>226</v>
      </c>
      <c r="D837">
        <v>138904</v>
      </c>
      <c r="E837" s="4">
        <v>6</v>
      </c>
      <c r="F837" s="5">
        <v>44603</v>
      </c>
      <c r="G837" t="str">
        <f>"202202119034"</f>
        <v>202202119034</v>
      </c>
      <c r="H837" t="str">
        <f>"Mis"</f>
        <v>Mis</v>
      </c>
      <c r="I837" s="4">
        <v>6</v>
      </c>
      <c r="J837" t="str">
        <f>"CHRISTINE BETSABE ALEMAN"</f>
        <v>CHRISTINE BETSABE ALEMAN</v>
      </c>
    </row>
    <row r="838" spans="1:10" x14ac:dyDescent="0.25">
      <c r="A838" t="str">
        <f t="shared" si="28"/>
        <v>01</v>
      </c>
      <c r="B838" t="str">
        <f t="shared" si="29"/>
        <v>1</v>
      </c>
      <c r="C838" t="s">
        <v>227</v>
      </c>
      <c r="D838">
        <v>138905</v>
      </c>
      <c r="E838" s="4">
        <v>6</v>
      </c>
      <c r="F838" s="5">
        <v>44603</v>
      </c>
      <c r="G838" t="str">
        <f>"202202118971"</f>
        <v>202202118971</v>
      </c>
      <c r="H838" t="str">
        <f>"Mi"</f>
        <v>Mi</v>
      </c>
      <c r="I838" s="4">
        <v>6</v>
      </c>
      <c r="J838" t="str">
        <f>"CHRISTOPHER JAMES CANALES"</f>
        <v>CHRISTOPHER JAMES CANALES</v>
      </c>
    </row>
    <row r="839" spans="1:10" x14ac:dyDescent="0.25">
      <c r="A839" t="str">
        <f t="shared" si="28"/>
        <v>01</v>
      </c>
      <c r="B839" t="str">
        <f t="shared" si="29"/>
        <v>1</v>
      </c>
      <c r="C839" t="s">
        <v>228</v>
      </c>
      <c r="D839">
        <v>138906</v>
      </c>
      <c r="E839" s="4">
        <v>6</v>
      </c>
      <c r="F839" s="5">
        <v>44603</v>
      </c>
      <c r="G839" t="str">
        <f>"202202118999"</f>
        <v>202202118999</v>
      </c>
      <c r="H839" t="str">
        <f>"Mis"</f>
        <v>Mis</v>
      </c>
      <c r="I839" s="4">
        <v>6</v>
      </c>
      <c r="J839" t="str">
        <f>"CIRO FRANCISCO LUCERO JR"</f>
        <v>CIRO FRANCISCO LUCERO JR</v>
      </c>
    </row>
    <row r="840" spans="1:10" x14ac:dyDescent="0.25">
      <c r="A840" t="str">
        <f t="shared" si="28"/>
        <v>01</v>
      </c>
      <c r="B840" t="str">
        <f t="shared" si="29"/>
        <v>1</v>
      </c>
      <c r="C840" t="s">
        <v>229</v>
      </c>
      <c r="D840">
        <v>138907</v>
      </c>
      <c r="E840" s="4">
        <v>6</v>
      </c>
      <c r="F840" s="5">
        <v>44603</v>
      </c>
      <c r="G840" t="str">
        <f>"202202119006"</f>
        <v>202202119006</v>
      </c>
      <c r="H840" t="str">
        <f>"Miscellane"</f>
        <v>Miscellane</v>
      </c>
      <c r="I840" s="4">
        <v>6</v>
      </c>
      <c r="J840" t="str">
        <f>"CLINT ALAN WALKER"</f>
        <v>CLINT ALAN WALKER</v>
      </c>
    </row>
    <row r="841" spans="1:10" x14ac:dyDescent="0.25">
      <c r="A841" t="str">
        <f t="shared" si="28"/>
        <v>01</v>
      </c>
      <c r="B841" t="str">
        <f t="shared" si="29"/>
        <v>1</v>
      </c>
      <c r="C841" t="s">
        <v>230</v>
      </c>
      <c r="D841">
        <v>138908</v>
      </c>
      <c r="E841" s="4">
        <v>6</v>
      </c>
      <c r="F841" s="5">
        <v>44603</v>
      </c>
      <c r="G841" t="str">
        <f>"202202119044"</f>
        <v>202202119044</v>
      </c>
      <c r="H841" t="str">
        <f>"Misc"</f>
        <v>Misc</v>
      </c>
      <c r="I841" s="4">
        <v>6</v>
      </c>
      <c r="J841" t="str">
        <f>"CRISTINA MATA RODRIGUEZ"</f>
        <v>CRISTINA MATA RODRIGUEZ</v>
      </c>
    </row>
    <row r="842" spans="1:10" x14ac:dyDescent="0.25">
      <c r="A842" t="str">
        <f t="shared" si="28"/>
        <v>01</v>
      </c>
      <c r="B842" t="str">
        <f t="shared" si="29"/>
        <v>1</v>
      </c>
      <c r="C842" t="s">
        <v>231</v>
      </c>
      <c r="D842">
        <v>138909</v>
      </c>
      <c r="E842" s="4">
        <v>6</v>
      </c>
      <c r="F842" s="5">
        <v>44603</v>
      </c>
      <c r="G842" t="str">
        <f>"202202119008"</f>
        <v>202202119008</v>
      </c>
      <c r="H842" t="str">
        <f>"Miscell"</f>
        <v>Miscell</v>
      </c>
      <c r="I842" s="4">
        <v>6</v>
      </c>
      <c r="J842" t="str">
        <f>"CRYSTAL GWEN HERRING"</f>
        <v>CRYSTAL GWEN HERRING</v>
      </c>
    </row>
    <row r="843" spans="1:10" x14ac:dyDescent="0.25">
      <c r="A843" t="str">
        <f t="shared" si="28"/>
        <v>01</v>
      </c>
      <c r="B843" t="str">
        <f t="shared" si="29"/>
        <v>1</v>
      </c>
      <c r="C843" t="s">
        <v>232</v>
      </c>
      <c r="D843">
        <v>138910</v>
      </c>
      <c r="E843" s="4">
        <v>6</v>
      </c>
      <c r="F843" s="5">
        <v>44603</v>
      </c>
      <c r="G843" t="str">
        <f>"202202118998"</f>
        <v>202202118998</v>
      </c>
      <c r="H843" t="str">
        <f>"Miscel"</f>
        <v>Miscel</v>
      </c>
      <c r="I843" s="4">
        <v>6</v>
      </c>
      <c r="J843" t="str">
        <f>"DANIEL EDWARD FLEMING"</f>
        <v>DANIEL EDWARD FLEMING</v>
      </c>
    </row>
    <row r="844" spans="1:10" x14ac:dyDescent="0.25">
      <c r="A844" t="str">
        <f t="shared" si="28"/>
        <v>01</v>
      </c>
      <c r="B844" t="str">
        <f t="shared" si="29"/>
        <v>1</v>
      </c>
      <c r="C844" t="s">
        <v>233</v>
      </c>
      <c r="D844">
        <v>138911</v>
      </c>
      <c r="E844" s="4">
        <v>6</v>
      </c>
      <c r="F844" s="5">
        <v>44603</v>
      </c>
      <c r="G844" t="str">
        <f>"202202118981"</f>
        <v>202202118981</v>
      </c>
      <c r="H844" t="str">
        <f>"Miscellan"</f>
        <v>Miscellan</v>
      </c>
      <c r="I844" s="4">
        <v>6</v>
      </c>
      <c r="J844" t="str">
        <f>"DAVID ANTHONY DIAZ"</f>
        <v>DAVID ANTHONY DIAZ</v>
      </c>
    </row>
    <row r="845" spans="1:10" x14ac:dyDescent="0.25">
      <c r="A845" t="str">
        <f t="shared" si="28"/>
        <v>01</v>
      </c>
      <c r="B845" t="str">
        <f t="shared" si="29"/>
        <v>1</v>
      </c>
      <c r="C845" t="s">
        <v>234</v>
      </c>
      <c r="D845">
        <v>138912</v>
      </c>
      <c r="E845" s="4">
        <v>6</v>
      </c>
      <c r="F845" s="5">
        <v>44603</v>
      </c>
      <c r="G845" t="str">
        <f>"202202118960"</f>
        <v>202202118960</v>
      </c>
      <c r="H845" t="str">
        <f>"Miscellan"</f>
        <v>Miscellan</v>
      </c>
      <c r="I845" s="4">
        <v>6</v>
      </c>
      <c r="J845" t="str">
        <f>"DEBORAH ANN ROGERS"</f>
        <v>DEBORAH ANN ROGERS</v>
      </c>
    </row>
    <row r="846" spans="1:10" x14ac:dyDescent="0.25">
      <c r="A846" t="str">
        <f t="shared" si="28"/>
        <v>01</v>
      </c>
      <c r="B846" t="str">
        <f t="shared" si="29"/>
        <v>1</v>
      </c>
      <c r="C846" t="s">
        <v>235</v>
      </c>
      <c r="D846">
        <v>138913</v>
      </c>
      <c r="E846" s="4">
        <v>6</v>
      </c>
      <c r="F846" s="5">
        <v>44603</v>
      </c>
      <c r="G846" t="str">
        <f>"202202118955"</f>
        <v>202202118955</v>
      </c>
      <c r="H846" t="str">
        <f>"Miscellaneo"</f>
        <v>Miscellaneo</v>
      </c>
      <c r="I846" s="4">
        <v>6</v>
      </c>
      <c r="J846" t="str">
        <f>"EDUARDO CAUDILLO"</f>
        <v>EDUARDO CAUDILLO</v>
      </c>
    </row>
    <row r="847" spans="1:10" x14ac:dyDescent="0.25">
      <c r="A847" t="str">
        <f t="shared" si="28"/>
        <v>01</v>
      </c>
      <c r="B847" t="str">
        <f t="shared" si="29"/>
        <v>1</v>
      </c>
      <c r="C847" t="s">
        <v>236</v>
      </c>
      <c r="D847">
        <v>138914</v>
      </c>
      <c r="E847" s="4">
        <v>46</v>
      </c>
      <c r="F847" s="5">
        <v>44603</v>
      </c>
      <c r="G847" t="str">
        <f>"202202118972"</f>
        <v>202202118972</v>
      </c>
      <c r="H847" t="str">
        <f>"Miscel"</f>
        <v>Miscel</v>
      </c>
      <c r="I847" s="4">
        <v>46</v>
      </c>
      <c r="J847" t="str">
        <f>"EFRAIN ZUL VILLANUEVA"</f>
        <v>EFRAIN ZUL VILLANUEVA</v>
      </c>
    </row>
    <row r="848" spans="1:10" x14ac:dyDescent="0.25">
      <c r="A848" t="str">
        <f t="shared" si="28"/>
        <v>01</v>
      </c>
      <c r="B848" t="str">
        <f t="shared" si="29"/>
        <v>1</v>
      </c>
      <c r="C848" t="s">
        <v>237</v>
      </c>
      <c r="D848">
        <v>138915</v>
      </c>
      <c r="E848" s="4">
        <v>6</v>
      </c>
      <c r="F848" s="5">
        <v>44603</v>
      </c>
      <c r="G848" t="str">
        <f>"202202119022"</f>
        <v>202202119022</v>
      </c>
      <c r="H848" t="str">
        <f>"Miscellaneous"</f>
        <v>Miscellaneous</v>
      </c>
      <c r="I848" s="4">
        <v>6</v>
      </c>
      <c r="J848" t="str">
        <f>"ELIOTT SAUCEDO"</f>
        <v>ELIOTT SAUCEDO</v>
      </c>
    </row>
    <row r="849" spans="1:10" x14ac:dyDescent="0.25">
      <c r="A849" t="str">
        <f t="shared" si="28"/>
        <v>01</v>
      </c>
      <c r="B849" t="str">
        <f t="shared" si="29"/>
        <v>1</v>
      </c>
      <c r="C849" t="s">
        <v>238</v>
      </c>
      <c r="D849">
        <v>138916</v>
      </c>
      <c r="E849" s="4">
        <v>6</v>
      </c>
      <c r="F849" s="5">
        <v>44603</v>
      </c>
      <c r="G849" t="str">
        <f>"202202119020"</f>
        <v>202202119020</v>
      </c>
      <c r="H849" t="str">
        <f>"Miscellan"</f>
        <v>Miscellan</v>
      </c>
      <c r="I849" s="4">
        <v>6</v>
      </c>
      <c r="J849" t="str">
        <f>"ENNIS MINGO WATSON"</f>
        <v>ENNIS MINGO WATSON</v>
      </c>
    </row>
    <row r="850" spans="1:10" x14ac:dyDescent="0.25">
      <c r="A850" t="str">
        <f t="shared" si="28"/>
        <v>01</v>
      </c>
      <c r="B850" t="str">
        <f t="shared" si="29"/>
        <v>1</v>
      </c>
      <c r="C850" t="s">
        <v>239</v>
      </c>
      <c r="D850">
        <v>138917</v>
      </c>
      <c r="E850" s="4">
        <v>6</v>
      </c>
      <c r="F850" s="5">
        <v>44603</v>
      </c>
      <c r="G850" t="str">
        <f>"202202118979"</f>
        <v>202202118979</v>
      </c>
      <c r="H850" t="str">
        <f>"Miscell"</f>
        <v>Miscell</v>
      </c>
      <c r="I850" s="4">
        <v>6</v>
      </c>
      <c r="J850" t="str">
        <f>"ERIC JACKSON BENNETT"</f>
        <v>ERIC JACKSON BENNETT</v>
      </c>
    </row>
    <row r="851" spans="1:10" x14ac:dyDescent="0.25">
      <c r="A851" t="str">
        <f t="shared" si="28"/>
        <v>01</v>
      </c>
      <c r="B851" t="str">
        <f t="shared" si="29"/>
        <v>1</v>
      </c>
      <c r="C851" t="s">
        <v>240</v>
      </c>
      <c r="D851">
        <v>138918</v>
      </c>
      <c r="E851" s="4">
        <v>6</v>
      </c>
      <c r="F851" s="5">
        <v>44603</v>
      </c>
      <c r="G851" t="str">
        <f>"202202119019"</f>
        <v>202202119019</v>
      </c>
      <c r="H851" t="str">
        <f>"Mis"</f>
        <v>Mis</v>
      </c>
      <c r="I851" s="4">
        <v>6</v>
      </c>
      <c r="J851" t="str">
        <f>"ERNESTO RODRIGUEZ ROMERO"</f>
        <v>ERNESTO RODRIGUEZ ROMERO</v>
      </c>
    </row>
    <row r="852" spans="1:10" x14ac:dyDescent="0.25">
      <c r="A852" t="str">
        <f t="shared" si="28"/>
        <v>01</v>
      </c>
      <c r="B852" t="str">
        <f t="shared" si="29"/>
        <v>1</v>
      </c>
      <c r="C852" t="s">
        <v>241</v>
      </c>
      <c r="D852">
        <v>138919</v>
      </c>
      <c r="E852" s="4">
        <v>6</v>
      </c>
      <c r="F852" s="5">
        <v>44603</v>
      </c>
      <c r="G852" t="str">
        <f>"202202118994"</f>
        <v>202202118994</v>
      </c>
      <c r="H852" t="str">
        <f>"Misce"</f>
        <v>Misce</v>
      </c>
      <c r="I852" s="4">
        <v>6</v>
      </c>
      <c r="J852" t="str">
        <f>"ESTEVAN CORDOVA FRANCO"</f>
        <v>ESTEVAN CORDOVA FRANCO</v>
      </c>
    </row>
    <row r="853" spans="1:10" x14ac:dyDescent="0.25">
      <c r="A853" t="str">
        <f t="shared" si="28"/>
        <v>01</v>
      </c>
      <c r="B853" t="str">
        <f t="shared" si="29"/>
        <v>1</v>
      </c>
      <c r="C853" t="s">
        <v>242</v>
      </c>
      <c r="D853">
        <v>138920</v>
      </c>
      <c r="E853" s="4">
        <v>46</v>
      </c>
      <c r="F853" s="5">
        <v>44603</v>
      </c>
      <c r="G853" t="str">
        <f>"202202119025"</f>
        <v>202202119025</v>
      </c>
      <c r="H853" t="str">
        <f>"Miscellaneou"</f>
        <v>Miscellaneou</v>
      </c>
      <c r="I853" s="4">
        <v>46</v>
      </c>
      <c r="J853" t="str">
        <f>"GERALD S LATHEM"</f>
        <v>GERALD S LATHEM</v>
      </c>
    </row>
    <row r="854" spans="1:10" x14ac:dyDescent="0.25">
      <c r="A854" t="str">
        <f t="shared" si="28"/>
        <v>01</v>
      </c>
      <c r="B854" t="str">
        <f t="shared" si="29"/>
        <v>1</v>
      </c>
      <c r="C854" t="s">
        <v>243</v>
      </c>
      <c r="D854">
        <v>138921</v>
      </c>
      <c r="E854" s="4">
        <v>6</v>
      </c>
      <c r="F854" s="5">
        <v>44603</v>
      </c>
      <c r="G854" t="str">
        <f>"202202118967"</f>
        <v>202202118967</v>
      </c>
      <c r="H854" t="str">
        <f>"Miscella"</f>
        <v>Miscella</v>
      </c>
      <c r="I854" s="4">
        <v>6</v>
      </c>
      <c r="J854" t="str">
        <f>"HANNAH MARIE TEAGUE"</f>
        <v>HANNAH MARIE TEAGUE</v>
      </c>
    </row>
    <row r="855" spans="1:10" x14ac:dyDescent="0.25">
      <c r="A855" t="str">
        <f t="shared" si="28"/>
        <v>01</v>
      </c>
      <c r="B855" t="str">
        <f t="shared" si="29"/>
        <v>1</v>
      </c>
      <c r="C855" t="s">
        <v>244</v>
      </c>
      <c r="D855">
        <v>138922</v>
      </c>
      <c r="E855" s="4">
        <v>6</v>
      </c>
      <c r="F855" s="5">
        <v>44603</v>
      </c>
      <c r="G855" t="str">
        <f>"202202119040"</f>
        <v>202202119040</v>
      </c>
      <c r="H855" t="str">
        <f>"Miscel"</f>
        <v>Miscel</v>
      </c>
      <c r="I855" s="4">
        <v>6</v>
      </c>
      <c r="J855" t="str">
        <f>"HEATHER LEIGH JOHNSON"</f>
        <v>HEATHER LEIGH JOHNSON</v>
      </c>
    </row>
    <row r="856" spans="1:10" x14ac:dyDescent="0.25">
      <c r="A856" t="str">
        <f t="shared" si="28"/>
        <v>01</v>
      </c>
      <c r="B856" t="str">
        <f t="shared" si="29"/>
        <v>1</v>
      </c>
      <c r="C856" t="s">
        <v>245</v>
      </c>
      <c r="D856">
        <v>138923</v>
      </c>
      <c r="E856" s="4">
        <v>6</v>
      </c>
      <c r="F856" s="5">
        <v>44603</v>
      </c>
      <c r="G856" t="str">
        <f>"202202119033"</f>
        <v>202202119033</v>
      </c>
      <c r="H856" t="str">
        <f>"Miscella"</f>
        <v>Miscella</v>
      </c>
      <c r="I856" s="4">
        <v>6</v>
      </c>
      <c r="J856" t="str">
        <f>"JAMES ANTHONY WELLS"</f>
        <v>JAMES ANTHONY WELLS</v>
      </c>
    </row>
    <row r="857" spans="1:10" x14ac:dyDescent="0.25">
      <c r="A857" t="str">
        <f t="shared" si="28"/>
        <v>01</v>
      </c>
      <c r="B857" t="str">
        <f t="shared" si="29"/>
        <v>1</v>
      </c>
      <c r="C857" t="s">
        <v>246</v>
      </c>
      <c r="D857">
        <v>138924</v>
      </c>
      <c r="E857" s="4">
        <v>6</v>
      </c>
      <c r="F857" s="5">
        <v>44603</v>
      </c>
      <c r="G857" t="str">
        <f>"202202118977"</f>
        <v>202202118977</v>
      </c>
      <c r="H857" t="str">
        <f>"Miscella"</f>
        <v>Miscella</v>
      </c>
      <c r="I857" s="4">
        <v>6</v>
      </c>
      <c r="J857" t="str">
        <f>"JAMES MICHAEL SMITH"</f>
        <v>JAMES MICHAEL SMITH</v>
      </c>
    </row>
    <row r="858" spans="1:10" x14ac:dyDescent="0.25">
      <c r="A858" t="str">
        <f t="shared" si="28"/>
        <v>01</v>
      </c>
      <c r="B858" t="str">
        <f t="shared" si="29"/>
        <v>1</v>
      </c>
      <c r="C858" t="s">
        <v>247</v>
      </c>
      <c r="D858">
        <v>138925</v>
      </c>
      <c r="E858" s="4">
        <v>6</v>
      </c>
      <c r="F858" s="5">
        <v>44603</v>
      </c>
      <c r="G858" t="str">
        <f>"202202118997"</f>
        <v>202202118997</v>
      </c>
      <c r="H858" t="str">
        <f>"Miscel"</f>
        <v>Miscel</v>
      </c>
      <c r="I858" s="4">
        <v>6</v>
      </c>
      <c r="J858" t="str">
        <f>"JAMES RONALD HILLIARD"</f>
        <v>JAMES RONALD HILLIARD</v>
      </c>
    </row>
    <row r="859" spans="1:10" x14ac:dyDescent="0.25">
      <c r="A859" t="str">
        <f t="shared" si="28"/>
        <v>01</v>
      </c>
      <c r="B859" t="str">
        <f t="shared" si="29"/>
        <v>1</v>
      </c>
      <c r="C859" t="s">
        <v>248</v>
      </c>
      <c r="D859">
        <v>138926</v>
      </c>
      <c r="E859" s="4">
        <v>6</v>
      </c>
      <c r="F859" s="5">
        <v>44603</v>
      </c>
      <c r="G859" t="str">
        <f>"202202118980"</f>
        <v>202202118980</v>
      </c>
      <c r="H859" t="str">
        <f>"Miscella"</f>
        <v>Miscella</v>
      </c>
      <c r="I859" s="4">
        <v>6</v>
      </c>
      <c r="J859" t="str">
        <f>"JASON HALE PETERSON"</f>
        <v>JASON HALE PETERSON</v>
      </c>
    </row>
    <row r="860" spans="1:10" x14ac:dyDescent="0.25">
      <c r="A860" t="str">
        <f t="shared" si="28"/>
        <v>01</v>
      </c>
      <c r="B860" t="str">
        <f t="shared" si="29"/>
        <v>1</v>
      </c>
      <c r="C860" t="s">
        <v>249</v>
      </c>
      <c r="D860">
        <v>138927</v>
      </c>
      <c r="E860" s="4">
        <v>6</v>
      </c>
      <c r="F860" s="5">
        <v>44603</v>
      </c>
      <c r="G860" t="str">
        <f>"202202119030"</f>
        <v>202202119030</v>
      </c>
      <c r="H860" t="str">
        <f>"Miscell"</f>
        <v>Miscell</v>
      </c>
      <c r="I860" s="4">
        <v>6</v>
      </c>
      <c r="J860" t="str">
        <f>"JEAN CAROL ALEXANDER"</f>
        <v>JEAN CAROL ALEXANDER</v>
      </c>
    </row>
    <row r="861" spans="1:10" x14ac:dyDescent="0.25">
      <c r="A861" t="str">
        <f t="shared" si="28"/>
        <v>01</v>
      </c>
      <c r="B861" t="str">
        <f t="shared" si="29"/>
        <v>1</v>
      </c>
      <c r="C861" t="s">
        <v>250</v>
      </c>
      <c r="D861">
        <v>138928</v>
      </c>
      <c r="E861" s="4">
        <v>6</v>
      </c>
      <c r="F861" s="5">
        <v>44603</v>
      </c>
      <c r="G861" t="str">
        <f>"202202119002"</f>
        <v>202202119002</v>
      </c>
      <c r="H861" t="str">
        <f>"Misc"</f>
        <v>Misc</v>
      </c>
      <c r="I861" s="4">
        <v>6</v>
      </c>
      <c r="J861" t="str">
        <f>"JOHNNY RODRIGUEZ MERINO"</f>
        <v>JOHNNY RODRIGUEZ MERINO</v>
      </c>
    </row>
    <row r="862" spans="1:10" x14ac:dyDescent="0.25">
      <c r="A862" t="str">
        <f t="shared" si="28"/>
        <v>01</v>
      </c>
      <c r="B862" t="str">
        <f t="shared" si="29"/>
        <v>1</v>
      </c>
      <c r="C862" t="s">
        <v>251</v>
      </c>
      <c r="D862">
        <v>138929</v>
      </c>
      <c r="E862" s="4">
        <v>46</v>
      </c>
      <c r="F862" s="5">
        <v>44603</v>
      </c>
      <c r="G862" t="str">
        <f>"202202119005"</f>
        <v>202202119005</v>
      </c>
      <c r="H862" t="str">
        <f>"Miscellane"</f>
        <v>Miscellane</v>
      </c>
      <c r="I862" s="4">
        <v>46</v>
      </c>
      <c r="J862" t="str">
        <f>"JOHNNY ROSS ALLEN"</f>
        <v>JOHNNY ROSS ALLEN</v>
      </c>
    </row>
    <row r="863" spans="1:10" x14ac:dyDescent="0.25">
      <c r="A863" t="str">
        <f t="shared" si="28"/>
        <v>01</v>
      </c>
      <c r="B863" t="str">
        <f t="shared" si="29"/>
        <v>1</v>
      </c>
      <c r="C863" t="s">
        <v>252</v>
      </c>
      <c r="D863">
        <v>138930</v>
      </c>
      <c r="E863" s="4">
        <v>6</v>
      </c>
      <c r="F863" s="5">
        <v>44603</v>
      </c>
      <c r="G863" t="str">
        <f>"202202118989"</f>
        <v>202202118989</v>
      </c>
      <c r="H863" t="str">
        <f>"Miscell"</f>
        <v>Miscell</v>
      </c>
      <c r="I863" s="4">
        <v>6</v>
      </c>
      <c r="J863" t="str">
        <f>"JORDAN FLEMING TOVAR"</f>
        <v>JORDAN FLEMING TOVAR</v>
      </c>
    </row>
    <row r="864" spans="1:10" x14ac:dyDescent="0.25">
      <c r="A864" t="str">
        <f t="shared" si="28"/>
        <v>01</v>
      </c>
      <c r="B864" t="str">
        <f t="shared" si="29"/>
        <v>1</v>
      </c>
      <c r="C864" t="s">
        <v>253</v>
      </c>
      <c r="D864">
        <v>138931</v>
      </c>
      <c r="E864" s="4">
        <v>6</v>
      </c>
      <c r="F864" s="5">
        <v>44603</v>
      </c>
      <c r="G864" t="str">
        <f>"202202119009"</f>
        <v>202202119009</v>
      </c>
      <c r="H864" t="str">
        <f>"Miscel"</f>
        <v>Miscel</v>
      </c>
      <c r="I864" s="4">
        <v>6</v>
      </c>
      <c r="J864" t="str">
        <f>"JOSEPH ERVIN TOLLIVER"</f>
        <v>JOSEPH ERVIN TOLLIVER</v>
      </c>
    </row>
    <row r="865" spans="1:10" x14ac:dyDescent="0.25">
      <c r="A865" t="str">
        <f t="shared" si="28"/>
        <v>01</v>
      </c>
      <c r="B865" t="str">
        <f t="shared" si="29"/>
        <v>1</v>
      </c>
      <c r="C865" t="s">
        <v>254</v>
      </c>
      <c r="D865">
        <v>138932</v>
      </c>
      <c r="E865" s="4">
        <v>6</v>
      </c>
      <c r="F865" s="5">
        <v>44603</v>
      </c>
      <c r="G865" t="str">
        <f>"202202119026"</f>
        <v>202202119026</v>
      </c>
      <c r="H865" t="str">
        <f>"Miscel"</f>
        <v>Miscel</v>
      </c>
      <c r="I865" s="4">
        <v>6</v>
      </c>
      <c r="J865" t="str">
        <f>"JOSEPH MICHAEL MAY JR"</f>
        <v>JOSEPH MICHAEL MAY JR</v>
      </c>
    </row>
    <row r="866" spans="1:10" x14ac:dyDescent="0.25">
      <c r="A866" t="str">
        <f t="shared" si="28"/>
        <v>01</v>
      </c>
      <c r="B866" t="str">
        <f t="shared" si="29"/>
        <v>1</v>
      </c>
      <c r="C866" t="s">
        <v>255</v>
      </c>
      <c r="D866">
        <v>138933</v>
      </c>
      <c r="E866" s="4">
        <v>46</v>
      </c>
      <c r="F866" s="5">
        <v>44603</v>
      </c>
      <c r="G866" t="str">
        <f>"202202119039"</f>
        <v>202202119039</v>
      </c>
      <c r="H866" t="str">
        <f>"Miscell"</f>
        <v>Miscell</v>
      </c>
      <c r="I866" s="4">
        <v>46</v>
      </c>
      <c r="J866" t="str">
        <f>"JOSHUA JAMES MINCHER"</f>
        <v>JOSHUA JAMES MINCHER</v>
      </c>
    </row>
    <row r="867" spans="1:10" x14ac:dyDescent="0.25">
      <c r="A867" t="str">
        <f t="shared" si="28"/>
        <v>01</v>
      </c>
      <c r="B867" t="str">
        <f t="shared" si="29"/>
        <v>1</v>
      </c>
      <c r="C867" t="s">
        <v>256</v>
      </c>
      <c r="D867">
        <v>138934</v>
      </c>
      <c r="E867" s="4">
        <v>6</v>
      </c>
      <c r="F867" s="5">
        <v>44603</v>
      </c>
      <c r="G867" t="str">
        <f>"202202119043"</f>
        <v>202202119043</v>
      </c>
      <c r="H867" t="str">
        <f>"Miscellane"</f>
        <v>Miscellane</v>
      </c>
      <c r="I867" s="4">
        <v>6</v>
      </c>
      <c r="J867" t="str">
        <f>"JUSTIN EDWARD LEE"</f>
        <v>JUSTIN EDWARD LEE</v>
      </c>
    </row>
    <row r="868" spans="1:10" x14ac:dyDescent="0.25">
      <c r="A868" t="str">
        <f t="shared" si="28"/>
        <v>01</v>
      </c>
      <c r="B868" t="str">
        <f t="shared" si="29"/>
        <v>1</v>
      </c>
      <c r="C868" t="s">
        <v>257</v>
      </c>
      <c r="D868">
        <v>138935</v>
      </c>
      <c r="E868" s="4">
        <v>6</v>
      </c>
      <c r="F868" s="5">
        <v>44603</v>
      </c>
      <c r="G868" t="str">
        <f>"202202118975"</f>
        <v>202202118975</v>
      </c>
      <c r="H868" t="str">
        <f>"Miscellaneou"</f>
        <v>Miscellaneou</v>
      </c>
      <c r="I868" s="4">
        <v>6</v>
      </c>
      <c r="J868" t="str">
        <f>"KARA JO MCBROOM"</f>
        <v>KARA JO MCBROOM</v>
      </c>
    </row>
    <row r="869" spans="1:10" x14ac:dyDescent="0.25">
      <c r="A869" t="str">
        <f t="shared" si="28"/>
        <v>01</v>
      </c>
      <c r="B869" t="str">
        <f t="shared" si="29"/>
        <v>1</v>
      </c>
      <c r="C869" t="s">
        <v>258</v>
      </c>
      <c r="D869">
        <v>138936</v>
      </c>
      <c r="E869" s="4">
        <v>46</v>
      </c>
      <c r="F869" s="5">
        <v>44603</v>
      </c>
      <c r="G869" t="str">
        <f>"202202118956"</f>
        <v>202202118956</v>
      </c>
      <c r="H869" t="str">
        <f>"Miscellan"</f>
        <v>Miscellan</v>
      </c>
      <c r="I869" s="4">
        <v>46</v>
      </c>
      <c r="J869" t="str">
        <f>"KAREN SUZAN TAYLOR"</f>
        <v>KAREN SUZAN TAYLOR</v>
      </c>
    </row>
    <row r="870" spans="1:10" x14ac:dyDescent="0.25">
      <c r="A870" t="str">
        <f t="shared" si="28"/>
        <v>01</v>
      </c>
      <c r="B870" t="str">
        <f t="shared" si="29"/>
        <v>1</v>
      </c>
      <c r="C870" t="s">
        <v>259</v>
      </c>
      <c r="D870">
        <v>138937</v>
      </c>
      <c r="E870" s="4">
        <v>6</v>
      </c>
      <c r="F870" s="5">
        <v>44603</v>
      </c>
      <c r="G870" t="str">
        <f>"202202119045"</f>
        <v>202202119045</v>
      </c>
      <c r="H870" t="str">
        <f>"Miscell"</f>
        <v>Miscell</v>
      </c>
      <c r="I870" s="4">
        <v>6</v>
      </c>
      <c r="J870" t="str">
        <f>"KATHLEEN JEAN VENZON"</f>
        <v>KATHLEEN JEAN VENZON</v>
      </c>
    </row>
    <row r="871" spans="1:10" x14ac:dyDescent="0.25">
      <c r="A871" t="str">
        <f t="shared" si="28"/>
        <v>01</v>
      </c>
      <c r="B871" t="str">
        <f t="shared" si="29"/>
        <v>1</v>
      </c>
      <c r="C871" t="s">
        <v>260</v>
      </c>
      <c r="D871">
        <v>138938</v>
      </c>
      <c r="E871" s="4">
        <v>6</v>
      </c>
      <c r="F871" s="5">
        <v>44603</v>
      </c>
      <c r="G871" t="str">
        <f>"202202118986"</f>
        <v>202202118986</v>
      </c>
      <c r="H871" t="str">
        <f>"Miscellan"</f>
        <v>Miscellan</v>
      </c>
      <c r="I871" s="4">
        <v>6</v>
      </c>
      <c r="J871" t="str">
        <f>"KEVIN KERWIN KORTZ"</f>
        <v>KEVIN KERWIN KORTZ</v>
      </c>
    </row>
    <row r="872" spans="1:10" x14ac:dyDescent="0.25">
      <c r="A872" t="str">
        <f t="shared" si="28"/>
        <v>01</v>
      </c>
      <c r="B872" t="str">
        <f t="shared" si="29"/>
        <v>1</v>
      </c>
      <c r="C872" t="s">
        <v>261</v>
      </c>
      <c r="D872">
        <v>138939</v>
      </c>
      <c r="E872" s="4">
        <v>6</v>
      </c>
      <c r="F872" s="5">
        <v>44603</v>
      </c>
      <c r="G872" t="str">
        <f>"202202118984"</f>
        <v>202202118984</v>
      </c>
      <c r="H872" t="str">
        <f>"Miscellan"</f>
        <v>Miscellan</v>
      </c>
      <c r="I872" s="4">
        <v>6</v>
      </c>
      <c r="J872" t="str">
        <f>"KRISTI SUZANN ODOM"</f>
        <v>KRISTI SUZANN ODOM</v>
      </c>
    </row>
    <row r="873" spans="1:10" x14ac:dyDescent="0.25">
      <c r="A873" t="str">
        <f t="shared" si="28"/>
        <v>01</v>
      </c>
      <c r="B873" t="str">
        <f t="shared" si="29"/>
        <v>1</v>
      </c>
      <c r="C873" t="s">
        <v>262</v>
      </c>
      <c r="D873">
        <v>138940</v>
      </c>
      <c r="E873" s="4">
        <v>6</v>
      </c>
      <c r="F873" s="5">
        <v>44603</v>
      </c>
      <c r="G873" t="str">
        <f>"202202119032"</f>
        <v>202202119032</v>
      </c>
      <c r="H873" t="str">
        <f>"Miscellaneo"</f>
        <v>Miscellaneo</v>
      </c>
      <c r="I873" s="4">
        <v>6</v>
      </c>
      <c r="J873" t="str">
        <f>"LACI ROSE ANDERS"</f>
        <v>LACI ROSE ANDERS</v>
      </c>
    </row>
    <row r="874" spans="1:10" x14ac:dyDescent="0.25">
      <c r="A874" t="str">
        <f t="shared" si="28"/>
        <v>01</v>
      </c>
      <c r="B874" t="str">
        <f t="shared" si="29"/>
        <v>1</v>
      </c>
      <c r="C874" t="s">
        <v>263</v>
      </c>
      <c r="D874">
        <v>138941</v>
      </c>
      <c r="E874" s="4">
        <v>6</v>
      </c>
      <c r="F874" s="5">
        <v>44603</v>
      </c>
      <c r="G874" t="str">
        <f>"202202118957"</f>
        <v>202202118957</v>
      </c>
      <c r="H874" t="str">
        <f>"Misc"</f>
        <v>Misc</v>
      </c>
      <c r="I874" s="4">
        <v>6</v>
      </c>
      <c r="J874" t="str">
        <f>"LETICIA DEYANIRA FALCON"</f>
        <v>LETICIA DEYANIRA FALCON</v>
      </c>
    </row>
    <row r="875" spans="1:10" x14ac:dyDescent="0.25">
      <c r="A875" t="str">
        <f t="shared" si="28"/>
        <v>01</v>
      </c>
      <c r="B875" t="str">
        <f t="shared" si="29"/>
        <v>1</v>
      </c>
      <c r="C875" t="s">
        <v>264</v>
      </c>
      <c r="D875">
        <v>138942</v>
      </c>
      <c r="E875" s="4">
        <v>6</v>
      </c>
      <c r="F875" s="5">
        <v>44603</v>
      </c>
      <c r="G875" t="str">
        <f>"202202119012"</f>
        <v>202202119012</v>
      </c>
      <c r="H875" t="str">
        <f>"Miscellane"</f>
        <v>Miscellane</v>
      </c>
      <c r="I875" s="4">
        <v>6</v>
      </c>
      <c r="J875" t="str">
        <f>"LISA HERZOG WHITE"</f>
        <v>LISA HERZOG WHITE</v>
      </c>
    </row>
    <row r="876" spans="1:10" x14ac:dyDescent="0.25">
      <c r="A876" t="str">
        <f t="shared" si="28"/>
        <v>01</v>
      </c>
      <c r="B876" t="str">
        <f t="shared" si="29"/>
        <v>1</v>
      </c>
      <c r="C876" t="s">
        <v>265</v>
      </c>
      <c r="D876">
        <v>138943</v>
      </c>
      <c r="E876" s="4">
        <v>6</v>
      </c>
      <c r="F876" s="5">
        <v>44603</v>
      </c>
      <c r="G876" t="str">
        <f>"202202119011"</f>
        <v>202202119011</v>
      </c>
      <c r="H876" t="str">
        <f>"Miscella"</f>
        <v>Miscella</v>
      </c>
      <c r="I876" s="4">
        <v>6</v>
      </c>
      <c r="J876" t="str">
        <f>"LOGAN FIDEL CUELLAR"</f>
        <v>LOGAN FIDEL CUELLAR</v>
      </c>
    </row>
    <row r="877" spans="1:10" x14ac:dyDescent="0.25">
      <c r="A877" t="str">
        <f t="shared" si="28"/>
        <v>01</v>
      </c>
      <c r="B877" t="str">
        <f t="shared" si="29"/>
        <v>1</v>
      </c>
      <c r="C877" t="s">
        <v>266</v>
      </c>
      <c r="D877">
        <v>138944</v>
      </c>
      <c r="E877" s="4">
        <v>6</v>
      </c>
      <c r="F877" s="5">
        <v>44603</v>
      </c>
      <c r="G877" t="str">
        <f>"202202118965"</f>
        <v>202202118965</v>
      </c>
      <c r="H877" t="str">
        <f>"Miscellaneo"</f>
        <v>Miscellaneo</v>
      </c>
      <c r="I877" s="4">
        <v>6</v>
      </c>
      <c r="J877" t="str">
        <f>"LORI JANE COOPER"</f>
        <v>LORI JANE COOPER</v>
      </c>
    </row>
    <row r="878" spans="1:10" x14ac:dyDescent="0.25">
      <c r="A878" t="str">
        <f t="shared" si="28"/>
        <v>01</v>
      </c>
      <c r="B878" t="str">
        <f t="shared" si="29"/>
        <v>1</v>
      </c>
      <c r="C878" t="s">
        <v>267</v>
      </c>
      <c r="D878">
        <v>138945</v>
      </c>
      <c r="E878" s="4">
        <v>6</v>
      </c>
      <c r="F878" s="5">
        <v>44603</v>
      </c>
      <c r="G878" t="str">
        <f>"202202118969"</f>
        <v>202202118969</v>
      </c>
      <c r="H878" t="str">
        <f>"Misce"</f>
        <v>Misce</v>
      </c>
      <c r="I878" s="4">
        <v>6</v>
      </c>
      <c r="J878" t="str">
        <f>"MARCO ANTONIO MARTINEZ"</f>
        <v>MARCO ANTONIO MARTINEZ</v>
      </c>
    </row>
    <row r="879" spans="1:10" x14ac:dyDescent="0.25">
      <c r="A879" t="str">
        <f t="shared" si="28"/>
        <v>01</v>
      </c>
      <c r="B879" t="str">
        <f t="shared" si="29"/>
        <v>1</v>
      </c>
      <c r="C879" t="s">
        <v>268</v>
      </c>
      <c r="D879">
        <v>138946</v>
      </c>
      <c r="E879" s="4">
        <v>6</v>
      </c>
      <c r="F879" s="5">
        <v>44603</v>
      </c>
      <c r="G879" t="str">
        <f>"202202119046"</f>
        <v>202202119046</v>
      </c>
      <c r="H879" t="str">
        <f>"Miscella"</f>
        <v>Miscella</v>
      </c>
      <c r="I879" s="4">
        <v>6</v>
      </c>
      <c r="J879" t="str">
        <f>"MARIA DOLORES ROMAN"</f>
        <v>MARIA DOLORES ROMAN</v>
      </c>
    </row>
    <row r="880" spans="1:10" x14ac:dyDescent="0.25">
      <c r="A880" t="str">
        <f t="shared" si="28"/>
        <v>01</v>
      </c>
      <c r="B880" t="str">
        <f t="shared" si="29"/>
        <v>1</v>
      </c>
      <c r="C880" t="s">
        <v>269</v>
      </c>
      <c r="D880">
        <v>138947</v>
      </c>
      <c r="E880" s="4">
        <v>6</v>
      </c>
      <c r="F880" s="5">
        <v>44603</v>
      </c>
      <c r="G880" t="str">
        <f>"202202119004"</f>
        <v>202202119004</v>
      </c>
      <c r="H880" t="str">
        <f>"Mis"</f>
        <v>Mis</v>
      </c>
      <c r="I880" s="4">
        <v>6</v>
      </c>
      <c r="J880" t="str">
        <f>"MARY CATHERINE SHIRRIFFS"</f>
        <v>MARY CATHERINE SHIRRIFFS</v>
      </c>
    </row>
    <row r="881" spans="1:10" x14ac:dyDescent="0.25">
      <c r="A881" t="str">
        <f t="shared" si="28"/>
        <v>01</v>
      </c>
      <c r="B881" t="str">
        <f t="shared" si="29"/>
        <v>1</v>
      </c>
      <c r="C881" t="s">
        <v>270</v>
      </c>
      <c r="D881">
        <v>138948</v>
      </c>
      <c r="E881" s="4">
        <v>6</v>
      </c>
      <c r="F881" s="5">
        <v>44603</v>
      </c>
      <c r="G881" t="str">
        <f>"202202118990"</f>
        <v>202202118990</v>
      </c>
      <c r="H881" t="str">
        <f>"Miscel"</f>
        <v>Miscel</v>
      </c>
      <c r="I881" s="4">
        <v>6</v>
      </c>
      <c r="J881" t="str">
        <f>"MELISSA LOPEZ-VALLEJO"</f>
        <v>MELISSA LOPEZ-VALLEJO</v>
      </c>
    </row>
    <row r="882" spans="1:10" x14ac:dyDescent="0.25">
      <c r="A882" t="str">
        <f t="shared" si="28"/>
        <v>01</v>
      </c>
      <c r="B882" t="str">
        <f t="shared" si="29"/>
        <v>1</v>
      </c>
      <c r="C882" t="s">
        <v>271</v>
      </c>
      <c r="D882">
        <v>138949</v>
      </c>
      <c r="E882" s="4">
        <v>6</v>
      </c>
      <c r="F882" s="5">
        <v>44603</v>
      </c>
      <c r="G882" t="str">
        <f>"202202118995"</f>
        <v>202202118995</v>
      </c>
      <c r="H882" t="str">
        <f>"Miscella"</f>
        <v>Miscella</v>
      </c>
      <c r="I882" s="4">
        <v>6</v>
      </c>
      <c r="J882" t="str">
        <f>"MICAH LEE SHOEMAKER"</f>
        <v>MICAH LEE SHOEMAKER</v>
      </c>
    </row>
    <row r="883" spans="1:10" x14ac:dyDescent="0.25">
      <c r="A883" t="str">
        <f t="shared" si="28"/>
        <v>01</v>
      </c>
      <c r="B883" t="str">
        <f t="shared" si="29"/>
        <v>1</v>
      </c>
      <c r="C883" t="s">
        <v>272</v>
      </c>
      <c r="D883">
        <v>138950</v>
      </c>
      <c r="E883" s="4">
        <v>6</v>
      </c>
      <c r="F883" s="5">
        <v>44603</v>
      </c>
      <c r="G883" t="str">
        <f>"202202118964"</f>
        <v>202202118964</v>
      </c>
      <c r="H883" t="str">
        <f>"Miscella"</f>
        <v>Miscella</v>
      </c>
      <c r="I883" s="4">
        <v>6</v>
      </c>
      <c r="J883" t="str">
        <f>"MICHELE ZANA MATHIS"</f>
        <v>MICHELE ZANA MATHIS</v>
      </c>
    </row>
    <row r="884" spans="1:10" x14ac:dyDescent="0.25">
      <c r="A884" t="str">
        <f t="shared" si="28"/>
        <v>01</v>
      </c>
      <c r="B884" t="str">
        <f t="shared" si="29"/>
        <v>1</v>
      </c>
      <c r="C884" t="s">
        <v>273</v>
      </c>
      <c r="D884">
        <v>138951</v>
      </c>
      <c r="E884" s="4">
        <v>6</v>
      </c>
      <c r="F884" s="5">
        <v>44603</v>
      </c>
      <c r="G884" t="str">
        <f>"202202119037"</f>
        <v>202202119037</v>
      </c>
      <c r="H884" t="str">
        <f>"Miscellaneo"</f>
        <v>Miscellaneo</v>
      </c>
      <c r="I884" s="4">
        <v>6</v>
      </c>
      <c r="J884" t="str">
        <f>"MORGAN LE HARRIS"</f>
        <v>MORGAN LE HARRIS</v>
      </c>
    </row>
    <row r="885" spans="1:10" x14ac:dyDescent="0.25">
      <c r="A885" t="str">
        <f t="shared" si="28"/>
        <v>01</v>
      </c>
      <c r="B885" t="str">
        <f t="shared" si="29"/>
        <v>1</v>
      </c>
      <c r="C885" t="s">
        <v>274</v>
      </c>
      <c r="D885">
        <v>138952</v>
      </c>
      <c r="E885" s="4">
        <v>46</v>
      </c>
      <c r="F885" s="5">
        <v>44603</v>
      </c>
      <c r="G885" t="str">
        <f>"202202119028"</f>
        <v>202202119028</v>
      </c>
      <c r="H885" t="str">
        <f>"Mi"</f>
        <v>Mi</v>
      </c>
      <c r="I885" s="4">
        <v>46</v>
      </c>
      <c r="J885" t="str">
        <f>"NICOLE ELIZABETH PETERSON"</f>
        <v>NICOLE ELIZABETH PETERSON</v>
      </c>
    </row>
    <row r="886" spans="1:10" x14ac:dyDescent="0.25">
      <c r="A886" t="str">
        <f t="shared" si="28"/>
        <v>01</v>
      </c>
      <c r="B886" t="str">
        <f t="shared" si="29"/>
        <v>1</v>
      </c>
      <c r="C886" t="s">
        <v>275</v>
      </c>
      <c r="D886">
        <v>138953</v>
      </c>
      <c r="E886" s="4">
        <v>6</v>
      </c>
      <c r="F886" s="5">
        <v>44603</v>
      </c>
      <c r="G886" t="str">
        <f>"202202119010"</f>
        <v>202202119010</v>
      </c>
      <c r="H886" t="str">
        <f>"Miscellaneou"</f>
        <v>Miscellaneou</v>
      </c>
      <c r="I886" s="4">
        <v>6</v>
      </c>
      <c r="J886" t="str">
        <f>"OLADUNNI A RAJI"</f>
        <v>OLADUNNI A RAJI</v>
      </c>
    </row>
    <row r="887" spans="1:10" x14ac:dyDescent="0.25">
      <c r="A887" t="str">
        <f t="shared" si="28"/>
        <v>01</v>
      </c>
      <c r="B887" t="str">
        <f t="shared" si="29"/>
        <v>1</v>
      </c>
      <c r="C887" t="s">
        <v>276</v>
      </c>
      <c r="D887">
        <v>138954</v>
      </c>
      <c r="E887" s="4">
        <v>6</v>
      </c>
      <c r="F887" s="5">
        <v>44603</v>
      </c>
      <c r="G887" t="str">
        <f>"202202118978"</f>
        <v>202202118978</v>
      </c>
      <c r="H887" t="str">
        <f>"Miscellaneous"</f>
        <v>Miscellaneous</v>
      </c>
      <c r="I887" s="4">
        <v>6</v>
      </c>
      <c r="J887" t="str">
        <f>"OSCAR FLORES"</f>
        <v>OSCAR FLORES</v>
      </c>
    </row>
    <row r="888" spans="1:10" x14ac:dyDescent="0.25">
      <c r="A888" t="str">
        <f t="shared" si="28"/>
        <v>01</v>
      </c>
      <c r="B888" t="str">
        <f t="shared" si="29"/>
        <v>1</v>
      </c>
      <c r="C888" t="s">
        <v>277</v>
      </c>
      <c r="D888">
        <v>138955</v>
      </c>
      <c r="E888" s="4">
        <v>6</v>
      </c>
      <c r="F888" s="5">
        <v>44603</v>
      </c>
      <c r="G888" t="str">
        <f>"202202119015"</f>
        <v>202202119015</v>
      </c>
      <c r="H888" t="str">
        <f>"Miscella"</f>
        <v>Miscella</v>
      </c>
      <c r="I888" s="4">
        <v>6</v>
      </c>
      <c r="J888" t="str">
        <f>"OVIDIO ENRIQUE MEZA"</f>
        <v>OVIDIO ENRIQUE MEZA</v>
      </c>
    </row>
    <row r="889" spans="1:10" x14ac:dyDescent="0.25">
      <c r="A889" t="str">
        <f t="shared" ref="A889:A952" si="30">"01"</f>
        <v>01</v>
      </c>
      <c r="B889" t="str">
        <f t="shared" ref="B889:B952" si="31">"1"</f>
        <v>1</v>
      </c>
      <c r="C889" t="s">
        <v>278</v>
      </c>
      <c r="D889">
        <v>138956</v>
      </c>
      <c r="E889" s="4">
        <v>6</v>
      </c>
      <c r="F889" s="5">
        <v>44603</v>
      </c>
      <c r="G889" t="str">
        <f>"202202118992"</f>
        <v>202202118992</v>
      </c>
      <c r="H889" t="str">
        <f>"Miscellan"</f>
        <v>Miscellan</v>
      </c>
      <c r="I889" s="4">
        <v>6</v>
      </c>
      <c r="J889" t="str">
        <f>"PAMELA BENNER BLAU"</f>
        <v>PAMELA BENNER BLAU</v>
      </c>
    </row>
    <row r="890" spans="1:10" x14ac:dyDescent="0.25">
      <c r="A890" t="str">
        <f t="shared" si="30"/>
        <v>01</v>
      </c>
      <c r="B890" t="str">
        <f t="shared" si="31"/>
        <v>1</v>
      </c>
      <c r="C890" t="s">
        <v>279</v>
      </c>
      <c r="D890">
        <v>138957</v>
      </c>
      <c r="E890" s="4">
        <v>46</v>
      </c>
      <c r="F890" s="5">
        <v>44603</v>
      </c>
      <c r="G890" t="str">
        <f>"202202119023"</f>
        <v>202202119023</v>
      </c>
      <c r="H890" t="str">
        <f>"Miscellan"</f>
        <v>Miscellan</v>
      </c>
      <c r="I890" s="4">
        <v>46</v>
      </c>
      <c r="J890" t="str">
        <f>"PAUL EDWIN JOHNSON"</f>
        <v>PAUL EDWIN JOHNSON</v>
      </c>
    </row>
    <row r="891" spans="1:10" x14ac:dyDescent="0.25">
      <c r="A891" t="str">
        <f t="shared" si="30"/>
        <v>01</v>
      </c>
      <c r="B891" t="str">
        <f t="shared" si="31"/>
        <v>1</v>
      </c>
      <c r="C891" t="s">
        <v>280</v>
      </c>
      <c r="D891">
        <v>138958</v>
      </c>
      <c r="E891" s="4">
        <v>6</v>
      </c>
      <c r="F891" s="5">
        <v>44603</v>
      </c>
      <c r="G891" t="str">
        <f>"202202119029"</f>
        <v>202202119029</v>
      </c>
      <c r="H891" t="str">
        <f>"Miscellaneo"</f>
        <v>Miscellaneo</v>
      </c>
      <c r="I891" s="4">
        <v>6</v>
      </c>
      <c r="J891" t="str">
        <f>"PAULA JEAN DRAKE"</f>
        <v>PAULA JEAN DRAKE</v>
      </c>
    </row>
    <row r="892" spans="1:10" x14ac:dyDescent="0.25">
      <c r="A892" t="str">
        <f t="shared" si="30"/>
        <v>01</v>
      </c>
      <c r="B892" t="str">
        <f t="shared" si="31"/>
        <v>1</v>
      </c>
      <c r="C892" t="s">
        <v>281</v>
      </c>
      <c r="D892">
        <v>138959</v>
      </c>
      <c r="E892" s="4">
        <v>6</v>
      </c>
      <c r="F892" s="5">
        <v>44603</v>
      </c>
      <c r="G892" t="str">
        <f>"202202119018"</f>
        <v>202202119018</v>
      </c>
      <c r="H892" t="str">
        <f>"Mis"</f>
        <v>Mis</v>
      </c>
      <c r="I892" s="4">
        <v>6</v>
      </c>
      <c r="J892" t="str">
        <f>"PETRITA TREVINO CHAMPION"</f>
        <v>PETRITA TREVINO CHAMPION</v>
      </c>
    </row>
    <row r="893" spans="1:10" x14ac:dyDescent="0.25">
      <c r="A893" t="str">
        <f t="shared" si="30"/>
        <v>01</v>
      </c>
      <c r="B893" t="str">
        <f t="shared" si="31"/>
        <v>1</v>
      </c>
      <c r="C893" t="s">
        <v>282</v>
      </c>
      <c r="D893">
        <v>138960</v>
      </c>
      <c r="E893" s="4">
        <v>6</v>
      </c>
      <c r="F893" s="5">
        <v>44603</v>
      </c>
      <c r="G893" t="str">
        <f>"202202118996"</f>
        <v>202202118996</v>
      </c>
      <c r="H893" t="str">
        <f>"Misce"</f>
        <v>Misce</v>
      </c>
      <c r="I893" s="4">
        <v>6</v>
      </c>
      <c r="J893" t="str">
        <f>"PHILIP MATTHEW SIKKEMA"</f>
        <v>PHILIP MATTHEW SIKKEMA</v>
      </c>
    </row>
    <row r="894" spans="1:10" x14ac:dyDescent="0.25">
      <c r="A894" t="str">
        <f t="shared" si="30"/>
        <v>01</v>
      </c>
      <c r="B894" t="str">
        <f t="shared" si="31"/>
        <v>1</v>
      </c>
      <c r="C894" t="s">
        <v>283</v>
      </c>
      <c r="D894">
        <v>138961</v>
      </c>
      <c r="E894" s="4">
        <v>46</v>
      </c>
      <c r="F894" s="5">
        <v>44603</v>
      </c>
      <c r="G894" t="str">
        <f>"202202119007"</f>
        <v>202202119007</v>
      </c>
      <c r="H894" t="str">
        <f>"Miscellaneou"</f>
        <v>Miscellaneou</v>
      </c>
      <c r="I894" s="4">
        <v>46</v>
      </c>
      <c r="J894" t="str">
        <f>"RAFAEL HERRMANN"</f>
        <v>RAFAEL HERRMANN</v>
      </c>
    </row>
    <row r="895" spans="1:10" x14ac:dyDescent="0.25">
      <c r="A895" t="str">
        <f t="shared" si="30"/>
        <v>01</v>
      </c>
      <c r="B895" t="str">
        <f t="shared" si="31"/>
        <v>1</v>
      </c>
      <c r="C895" t="s">
        <v>284</v>
      </c>
      <c r="D895">
        <v>138962</v>
      </c>
      <c r="E895" s="4">
        <v>6</v>
      </c>
      <c r="F895" s="5">
        <v>44603</v>
      </c>
      <c r="G895" t="str">
        <f>"202202118985"</f>
        <v>202202118985</v>
      </c>
      <c r="H895" t="str">
        <f>"Miscellane"</f>
        <v>Miscellane</v>
      </c>
      <c r="I895" s="4">
        <v>6</v>
      </c>
      <c r="J895" t="str">
        <f>"REBECCA ANN EVERS"</f>
        <v>REBECCA ANN EVERS</v>
      </c>
    </row>
    <row r="896" spans="1:10" x14ac:dyDescent="0.25">
      <c r="A896" t="str">
        <f t="shared" si="30"/>
        <v>01</v>
      </c>
      <c r="B896" t="str">
        <f t="shared" si="31"/>
        <v>1</v>
      </c>
      <c r="C896" t="s">
        <v>285</v>
      </c>
      <c r="D896">
        <v>138963</v>
      </c>
      <c r="E896" s="4">
        <v>6</v>
      </c>
      <c r="F896" s="5">
        <v>44603</v>
      </c>
      <c r="G896" t="str">
        <f>"202202118987"</f>
        <v>202202118987</v>
      </c>
      <c r="H896" t="str">
        <f>"Mi"</f>
        <v>Mi</v>
      </c>
      <c r="I896" s="4">
        <v>6</v>
      </c>
      <c r="J896" t="str">
        <f>"RICHARD CURTIS TILLMAN JR"</f>
        <v>RICHARD CURTIS TILLMAN JR</v>
      </c>
    </row>
    <row r="897" spans="1:10" x14ac:dyDescent="0.25">
      <c r="A897" t="str">
        <f t="shared" si="30"/>
        <v>01</v>
      </c>
      <c r="B897" t="str">
        <f t="shared" si="31"/>
        <v>1</v>
      </c>
      <c r="C897" t="s">
        <v>286</v>
      </c>
      <c r="D897">
        <v>138964</v>
      </c>
      <c r="E897" s="4">
        <v>6</v>
      </c>
      <c r="F897" s="5">
        <v>44603</v>
      </c>
      <c r="G897" t="str">
        <f>"202202119047"</f>
        <v>202202119047</v>
      </c>
      <c r="H897" t="str">
        <f>"Miscella"</f>
        <v>Miscella</v>
      </c>
      <c r="I897" s="4">
        <v>6</v>
      </c>
      <c r="J897" t="str">
        <f>"RIKKI GREEN DEGELIA"</f>
        <v>RIKKI GREEN DEGELIA</v>
      </c>
    </row>
    <row r="898" spans="1:10" x14ac:dyDescent="0.25">
      <c r="A898" t="str">
        <f t="shared" si="30"/>
        <v>01</v>
      </c>
      <c r="B898" t="str">
        <f t="shared" si="31"/>
        <v>1</v>
      </c>
      <c r="C898" t="s">
        <v>287</v>
      </c>
      <c r="D898">
        <v>138965</v>
      </c>
      <c r="E898" s="4">
        <v>6</v>
      </c>
      <c r="F898" s="5">
        <v>44603</v>
      </c>
      <c r="G898" t="str">
        <f>"202202119048"</f>
        <v>202202119048</v>
      </c>
      <c r="H898" t="str">
        <f>"Miscellan"</f>
        <v>Miscellan</v>
      </c>
      <c r="I898" s="4">
        <v>6</v>
      </c>
      <c r="J898" t="str">
        <f>"ROBERT ALLEN PEINE"</f>
        <v>ROBERT ALLEN PEINE</v>
      </c>
    </row>
    <row r="899" spans="1:10" x14ac:dyDescent="0.25">
      <c r="A899" t="str">
        <f t="shared" si="30"/>
        <v>01</v>
      </c>
      <c r="B899" t="str">
        <f t="shared" si="31"/>
        <v>1</v>
      </c>
      <c r="C899" t="s">
        <v>288</v>
      </c>
      <c r="D899">
        <v>138966</v>
      </c>
      <c r="E899" s="4">
        <v>6</v>
      </c>
      <c r="F899" s="5">
        <v>44603</v>
      </c>
      <c r="G899" t="str">
        <f>"202202119021"</f>
        <v>202202119021</v>
      </c>
      <c r="H899" t="str">
        <f>"Mis"</f>
        <v>Mis</v>
      </c>
      <c r="I899" s="4">
        <v>6</v>
      </c>
      <c r="J899" t="str">
        <f>"ROBERT AUSTIN RUGELEY JR"</f>
        <v>ROBERT AUSTIN RUGELEY JR</v>
      </c>
    </row>
    <row r="900" spans="1:10" x14ac:dyDescent="0.25">
      <c r="A900" t="str">
        <f t="shared" si="30"/>
        <v>01</v>
      </c>
      <c r="B900" t="str">
        <f t="shared" si="31"/>
        <v>1</v>
      </c>
      <c r="C900" t="s">
        <v>289</v>
      </c>
      <c r="D900">
        <v>138967</v>
      </c>
      <c r="E900" s="4">
        <v>6</v>
      </c>
      <c r="F900" s="5">
        <v>44603</v>
      </c>
      <c r="G900" t="str">
        <f>"202202119038"</f>
        <v>202202119038</v>
      </c>
      <c r="H900" t="str">
        <f>"Miscell"</f>
        <v>Miscell</v>
      </c>
      <c r="I900" s="4">
        <v>6</v>
      </c>
      <c r="J900" t="str">
        <f>"ROGER DAVID LANDHEER"</f>
        <v>ROGER DAVID LANDHEER</v>
      </c>
    </row>
    <row r="901" spans="1:10" x14ac:dyDescent="0.25">
      <c r="A901" t="str">
        <f t="shared" si="30"/>
        <v>01</v>
      </c>
      <c r="B901" t="str">
        <f t="shared" si="31"/>
        <v>1</v>
      </c>
      <c r="C901" t="s">
        <v>290</v>
      </c>
      <c r="D901">
        <v>138968</v>
      </c>
      <c r="E901" s="4">
        <v>6</v>
      </c>
      <c r="F901" s="5">
        <v>44603</v>
      </c>
      <c r="G901" t="str">
        <f>"202202118976"</f>
        <v>202202118976</v>
      </c>
      <c r="H901" t="str">
        <f>"Miscellane"</f>
        <v>Miscellane</v>
      </c>
      <c r="I901" s="4">
        <v>6</v>
      </c>
      <c r="J901" t="str">
        <f>"ROSA ADILIA AMAYA"</f>
        <v>ROSA ADILIA AMAYA</v>
      </c>
    </row>
    <row r="902" spans="1:10" x14ac:dyDescent="0.25">
      <c r="A902" t="str">
        <f t="shared" si="30"/>
        <v>01</v>
      </c>
      <c r="B902" t="str">
        <f t="shared" si="31"/>
        <v>1</v>
      </c>
      <c r="C902" t="s">
        <v>291</v>
      </c>
      <c r="D902">
        <v>138969</v>
      </c>
      <c r="E902" s="4">
        <v>46</v>
      </c>
      <c r="F902" s="5">
        <v>44603</v>
      </c>
      <c r="G902" t="str">
        <f>"202202119027"</f>
        <v>202202119027</v>
      </c>
      <c r="H902" t="str">
        <f>"Miscellan"</f>
        <v>Miscellan</v>
      </c>
      <c r="I902" s="4">
        <v>46</v>
      </c>
      <c r="J902" t="str">
        <f>"SANDRA KAY JEFFERY"</f>
        <v>SANDRA KAY JEFFERY</v>
      </c>
    </row>
    <row r="903" spans="1:10" x14ac:dyDescent="0.25">
      <c r="A903" t="str">
        <f t="shared" si="30"/>
        <v>01</v>
      </c>
      <c r="B903" t="str">
        <f t="shared" si="31"/>
        <v>1</v>
      </c>
      <c r="C903" t="s">
        <v>292</v>
      </c>
      <c r="D903">
        <v>138970</v>
      </c>
      <c r="E903" s="4">
        <v>6</v>
      </c>
      <c r="F903" s="5">
        <v>44603</v>
      </c>
      <c r="G903" t="str">
        <f>"202202118982"</f>
        <v>202202118982</v>
      </c>
      <c r="H903" t="str">
        <f>"Miscell"</f>
        <v>Miscell</v>
      </c>
      <c r="I903" s="4">
        <v>6</v>
      </c>
      <c r="J903" t="str">
        <f>"SARAH BETH GUTIERREZ"</f>
        <v>SARAH BETH GUTIERREZ</v>
      </c>
    </row>
    <row r="904" spans="1:10" x14ac:dyDescent="0.25">
      <c r="A904" t="str">
        <f t="shared" si="30"/>
        <v>01</v>
      </c>
      <c r="B904" t="str">
        <f t="shared" si="31"/>
        <v>1</v>
      </c>
      <c r="C904" t="s">
        <v>293</v>
      </c>
      <c r="D904">
        <v>138971</v>
      </c>
      <c r="E904" s="4">
        <v>6</v>
      </c>
      <c r="F904" s="5">
        <v>44603</v>
      </c>
      <c r="G904" t="str">
        <f>"202202119013"</f>
        <v>202202119013</v>
      </c>
      <c r="H904" t="str">
        <f>"Misc"</f>
        <v>Misc</v>
      </c>
      <c r="I904" s="4">
        <v>6</v>
      </c>
      <c r="J904" t="str">
        <f>"SARAH LE-ANN STEPHENSON"</f>
        <v>SARAH LE-ANN STEPHENSON</v>
      </c>
    </row>
    <row r="905" spans="1:10" x14ac:dyDescent="0.25">
      <c r="A905" t="str">
        <f t="shared" si="30"/>
        <v>01</v>
      </c>
      <c r="B905" t="str">
        <f t="shared" si="31"/>
        <v>1</v>
      </c>
      <c r="C905" t="s">
        <v>294</v>
      </c>
      <c r="D905">
        <v>138972</v>
      </c>
      <c r="E905" s="4">
        <v>6</v>
      </c>
      <c r="F905" s="5">
        <v>44603</v>
      </c>
      <c r="G905" t="str">
        <f>"202202119017"</f>
        <v>202202119017</v>
      </c>
      <c r="H905" t="str">
        <f>"Miscel"</f>
        <v>Miscel</v>
      </c>
      <c r="I905" s="4">
        <v>6</v>
      </c>
      <c r="J905" t="str">
        <f>"SHELBY DEHART GREGORY"</f>
        <v>SHELBY DEHART GREGORY</v>
      </c>
    </row>
    <row r="906" spans="1:10" x14ac:dyDescent="0.25">
      <c r="A906" t="str">
        <f t="shared" si="30"/>
        <v>01</v>
      </c>
      <c r="B906" t="str">
        <f t="shared" si="31"/>
        <v>1</v>
      </c>
      <c r="C906" t="s">
        <v>295</v>
      </c>
      <c r="D906">
        <v>138973</v>
      </c>
      <c r="E906" s="4">
        <v>6</v>
      </c>
      <c r="F906" s="5">
        <v>44603</v>
      </c>
      <c r="G906" t="str">
        <f>"202202118958"</f>
        <v>202202118958</v>
      </c>
      <c r="H906" t="str">
        <f>"Misc"</f>
        <v>Misc</v>
      </c>
      <c r="I906" s="4">
        <v>6</v>
      </c>
      <c r="J906" t="str">
        <f>"SHERRI MITCHELL EDWARDS"</f>
        <v>SHERRI MITCHELL EDWARDS</v>
      </c>
    </row>
    <row r="907" spans="1:10" x14ac:dyDescent="0.25">
      <c r="A907" t="str">
        <f t="shared" si="30"/>
        <v>01</v>
      </c>
      <c r="B907" t="str">
        <f t="shared" si="31"/>
        <v>1</v>
      </c>
      <c r="C907" t="s">
        <v>296</v>
      </c>
      <c r="D907">
        <v>138974</v>
      </c>
      <c r="E907" s="4">
        <v>6</v>
      </c>
      <c r="F907" s="5">
        <v>44603</v>
      </c>
      <c r="G907" t="str">
        <f>"202202118991"</f>
        <v>202202118991</v>
      </c>
      <c r="H907" t="str">
        <f>"Miscell"</f>
        <v>Miscell</v>
      </c>
      <c r="I907" s="4">
        <v>6</v>
      </c>
      <c r="J907" t="str">
        <f>"SHERRY ELAINE CRYSUP"</f>
        <v>SHERRY ELAINE CRYSUP</v>
      </c>
    </row>
    <row r="908" spans="1:10" x14ac:dyDescent="0.25">
      <c r="A908" t="str">
        <f t="shared" si="30"/>
        <v>01</v>
      </c>
      <c r="B908" t="str">
        <f t="shared" si="31"/>
        <v>1</v>
      </c>
      <c r="C908" t="s">
        <v>297</v>
      </c>
      <c r="D908">
        <v>138975</v>
      </c>
      <c r="E908" s="4">
        <v>6</v>
      </c>
      <c r="F908" s="5">
        <v>44603</v>
      </c>
      <c r="G908" t="str">
        <f>"202202119014"</f>
        <v>202202119014</v>
      </c>
      <c r="H908" t="str">
        <f>"Miscellan"</f>
        <v>Miscellan</v>
      </c>
      <c r="I908" s="4">
        <v>6</v>
      </c>
      <c r="J908" t="str">
        <f>"STACEY LYNN HARRIS"</f>
        <v>STACEY LYNN HARRIS</v>
      </c>
    </row>
    <row r="909" spans="1:10" x14ac:dyDescent="0.25">
      <c r="A909" t="str">
        <f t="shared" si="30"/>
        <v>01</v>
      </c>
      <c r="B909" t="str">
        <f t="shared" si="31"/>
        <v>1</v>
      </c>
      <c r="C909" t="s">
        <v>298</v>
      </c>
      <c r="D909">
        <v>138976</v>
      </c>
      <c r="E909" s="4">
        <v>6</v>
      </c>
      <c r="F909" s="5">
        <v>44603</v>
      </c>
      <c r="G909" t="str">
        <f>"202202119016"</f>
        <v>202202119016</v>
      </c>
      <c r="H909" t="str">
        <f>"Miscel"</f>
        <v>Miscel</v>
      </c>
      <c r="I909" s="4">
        <v>6</v>
      </c>
      <c r="J909" t="str">
        <f>"STEVEN MATIAS SALINAS"</f>
        <v>STEVEN MATIAS SALINAS</v>
      </c>
    </row>
    <row r="910" spans="1:10" x14ac:dyDescent="0.25">
      <c r="A910" t="str">
        <f t="shared" si="30"/>
        <v>01</v>
      </c>
      <c r="B910" t="str">
        <f t="shared" si="31"/>
        <v>1</v>
      </c>
      <c r="C910" t="s">
        <v>299</v>
      </c>
      <c r="D910">
        <v>138977</v>
      </c>
      <c r="E910" s="4">
        <v>6</v>
      </c>
      <c r="F910" s="5">
        <v>44603</v>
      </c>
      <c r="G910" t="str">
        <f>"202202118970"</f>
        <v>202202118970</v>
      </c>
      <c r="H910" t="str">
        <f>"Miscella"</f>
        <v>Miscella</v>
      </c>
      <c r="I910" s="4">
        <v>6</v>
      </c>
      <c r="J910" t="str">
        <f>"TODD MICHAEL TURNER"</f>
        <v>TODD MICHAEL TURNER</v>
      </c>
    </row>
    <row r="911" spans="1:10" x14ac:dyDescent="0.25">
      <c r="A911" t="str">
        <f t="shared" si="30"/>
        <v>01</v>
      </c>
      <c r="B911" t="str">
        <f t="shared" si="31"/>
        <v>1</v>
      </c>
      <c r="C911" t="s">
        <v>300</v>
      </c>
      <c r="D911">
        <v>138978</v>
      </c>
      <c r="E911" s="4">
        <v>6</v>
      </c>
      <c r="F911" s="5">
        <v>44603</v>
      </c>
      <c r="G911" t="str">
        <f>"202202118974"</f>
        <v>202202118974</v>
      </c>
      <c r="H911" t="str">
        <f>"Miscellaneous"</f>
        <v>Miscellaneous</v>
      </c>
      <c r="I911" s="4">
        <v>6</v>
      </c>
      <c r="J911" t="str">
        <f>"TOMI LEE SOTO"</f>
        <v>TOMI LEE SOTO</v>
      </c>
    </row>
    <row r="912" spans="1:10" x14ac:dyDescent="0.25">
      <c r="A912" t="str">
        <f t="shared" si="30"/>
        <v>01</v>
      </c>
      <c r="B912" t="str">
        <f t="shared" si="31"/>
        <v>1</v>
      </c>
      <c r="C912" t="s">
        <v>301</v>
      </c>
      <c r="D912">
        <v>138979</v>
      </c>
      <c r="E912" s="4">
        <v>6</v>
      </c>
      <c r="F912" s="5">
        <v>44603</v>
      </c>
      <c r="G912" t="str">
        <f>"202202119036"</f>
        <v>202202119036</v>
      </c>
      <c r="H912" t="str">
        <f>"Miscellan"</f>
        <v>Miscellan</v>
      </c>
      <c r="I912" s="4">
        <v>6</v>
      </c>
      <c r="J912" t="str">
        <f>"TOMMIE NELL MARLAR"</f>
        <v>TOMMIE NELL MARLAR</v>
      </c>
    </row>
    <row r="913" spans="1:10" x14ac:dyDescent="0.25">
      <c r="A913" t="str">
        <f t="shared" si="30"/>
        <v>01</v>
      </c>
      <c r="B913" t="str">
        <f t="shared" si="31"/>
        <v>1</v>
      </c>
      <c r="C913" t="s">
        <v>302</v>
      </c>
      <c r="D913">
        <v>138980</v>
      </c>
      <c r="E913" s="4">
        <v>46</v>
      </c>
      <c r="F913" s="5">
        <v>44603</v>
      </c>
      <c r="G913" t="str">
        <f>"202202118973"</f>
        <v>202202118973</v>
      </c>
      <c r="H913" t="str">
        <f>"Miscel"</f>
        <v>Miscel</v>
      </c>
      <c r="I913" s="4">
        <v>46</v>
      </c>
      <c r="J913" t="str">
        <f>"TRAVIS ANDREW ROBERTS"</f>
        <v>TRAVIS ANDREW ROBERTS</v>
      </c>
    </row>
    <row r="914" spans="1:10" x14ac:dyDescent="0.25">
      <c r="A914" t="str">
        <f t="shared" si="30"/>
        <v>01</v>
      </c>
      <c r="B914" t="str">
        <f t="shared" si="31"/>
        <v>1</v>
      </c>
      <c r="C914" t="s">
        <v>303</v>
      </c>
      <c r="D914">
        <v>138981</v>
      </c>
      <c r="E914" s="4">
        <v>6</v>
      </c>
      <c r="F914" s="5">
        <v>44603</v>
      </c>
      <c r="G914" t="str">
        <f>"202202118961"</f>
        <v>202202118961</v>
      </c>
      <c r="H914" t="str">
        <f>"M"</f>
        <v>M</v>
      </c>
      <c r="I914" s="4">
        <v>6</v>
      </c>
      <c r="J914" t="str">
        <f>"VALARIE CHRISTINE VILLEGAS"</f>
        <v>VALARIE CHRISTINE VILLEGAS</v>
      </c>
    </row>
    <row r="915" spans="1:10" x14ac:dyDescent="0.25">
      <c r="A915" t="str">
        <f t="shared" si="30"/>
        <v>01</v>
      </c>
      <c r="B915" t="str">
        <f t="shared" si="31"/>
        <v>1</v>
      </c>
      <c r="C915" t="s">
        <v>304</v>
      </c>
      <c r="D915">
        <v>138982</v>
      </c>
      <c r="E915" s="4">
        <v>6</v>
      </c>
      <c r="F915" s="5">
        <v>44603</v>
      </c>
      <c r="G915" t="str">
        <f>"202202119003"</f>
        <v>202202119003</v>
      </c>
      <c r="H915" t="str">
        <f>"M"</f>
        <v>M</v>
      </c>
      <c r="I915" s="4">
        <v>6</v>
      </c>
      <c r="J915" t="str">
        <f>"VALERIE CAMILLE CUNNINGHAM"</f>
        <v>VALERIE CAMILLE CUNNINGHAM</v>
      </c>
    </row>
    <row r="916" spans="1:10" x14ac:dyDescent="0.25">
      <c r="A916" t="str">
        <f t="shared" si="30"/>
        <v>01</v>
      </c>
      <c r="B916" t="str">
        <f t="shared" si="31"/>
        <v>1</v>
      </c>
      <c r="C916" t="s">
        <v>305</v>
      </c>
      <c r="D916">
        <v>138983</v>
      </c>
      <c r="E916" s="4">
        <v>6</v>
      </c>
      <c r="F916" s="5">
        <v>44603</v>
      </c>
      <c r="G916" t="str">
        <f>"202202118959"</f>
        <v>202202118959</v>
      </c>
      <c r="H916" t="str">
        <f>"Misce"</f>
        <v>Misce</v>
      </c>
      <c r="I916" s="4">
        <v>6</v>
      </c>
      <c r="J916" t="str">
        <f>"WILLIAM ANDREW GREGORY"</f>
        <v>WILLIAM ANDREW GREGORY</v>
      </c>
    </row>
    <row r="917" spans="1:10" x14ac:dyDescent="0.25">
      <c r="A917" t="str">
        <f t="shared" si="30"/>
        <v>01</v>
      </c>
      <c r="B917" t="str">
        <f t="shared" si="31"/>
        <v>1</v>
      </c>
      <c r="C917" t="s">
        <v>306</v>
      </c>
      <c r="D917">
        <v>138984</v>
      </c>
      <c r="E917" s="4">
        <v>6</v>
      </c>
      <c r="F917" s="5">
        <v>44603</v>
      </c>
      <c r="G917" t="str">
        <f>"202202119024"</f>
        <v>202202119024</v>
      </c>
      <c r="H917" t="str">
        <f>"Mis"</f>
        <v>Mis</v>
      </c>
      <c r="I917" s="4">
        <v>6</v>
      </c>
      <c r="J917" t="str">
        <f>"WILLIAM RUSSELL BISTLINE"</f>
        <v>WILLIAM RUSSELL BISTLINE</v>
      </c>
    </row>
    <row r="918" spans="1:10" x14ac:dyDescent="0.25">
      <c r="A918" t="str">
        <f t="shared" si="30"/>
        <v>01</v>
      </c>
      <c r="B918" t="str">
        <f t="shared" si="31"/>
        <v>1</v>
      </c>
      <c r="C918" t="s">
        <v>307</v>
      </c>
      <c r="D918">
        <v>138985</v>
      </c>
      <c r="E918" s="4">
        <v>6</v>
      </c>
      <c r="F918" s="5">
        <v>44603</v>
      </c>
      <c r="G918" t="str">
        <f>"202202118968"</f>
        <v>202202118968</v>
      </c>
      <c r="H918" t="str">
        <f>"Miscel"</f>
        <v>Miscel</v>
      </c>
      <c r="I918" s="4">
        <v>6</v>
      </c>
      <c r="J918" t="str">
        <f>"ZULEMA CONTRERAS KING"</f>
        <v>ZULEMA CONTRERAS KING</v>
      </c>
    </row>
    <row r="919" spans="1:10" x14ac:dyDescent="0.25">
      <c r="A919" t="str">
        <f t="shared" si="30"/>
        <v>01</v>
      </c>
      <c r="B919" t="str">
        <f t="shared" si="31"/>
        <v>1</v>
      </c>
      <c r="C919" t="s">
        <v>308</v>
      </c>
      <c r="D919">
        <v>138986</v>
      </c>
      <c r="E919" s="4">
        <v>40</v>
      </c>
      <c r="F919" s="5">
        <v>44603</v>
      </c>
      <c r="G919" t="str">
        <f>"202202119049"</f>
        <v>202202119049</v>
      </c>
      <c r="H919" t="str">
        <f>"Miscellan"</f>
        <v>Miscellan</v>
      </c>
      <c r="I919" s="4">
        <v>40</v>
      </c>
      <c r="J919" t="str">
        <f>"DORIS BEUTEL BORTH"</f>
        <v>DORIS BEUTEL BORTH</v>
      </c>
    </row>
    <row r="920" spans="1:10" x14ac:dyDescent="0.25">
      <c r="A920" t="str">
        <f t="shared" si="30"/>
        <v>01</v>
      </c>
      <c r="B920" t="str">
        <f t="shared" si="31"/>
        <v>1</v>
      </c>
      <c r="C920" t="s">
        <v>309</v>
      </c>
      <c r="D920">
        <v>138987</v>
      </c>
      <c r="E920" s="4">
        <v>40</v>
      </c>
      <c r="F920" s="5">
        <v>44603</v>
      </c>
      <c r="G920" t="str">
        <f>"202202119050"</f>
        <v>202202119050</v>
      </c>
      <c r="H920" t="str">
        <f>"Miscel"</f>
        <v>Miscel</v>
      </c>
      <c r="I920" s="4">
        <v>40</v>
      </c>
      <c r="J920" t="str">
        <f>"DIAN ALEXANDER TURNER"</f>
        <v>DIAN ALEXANDER TURNER</v>
      </c>
    </row>
    <row r="921" spans="1:10" x14ac:dyDescent="0.25">
      <c r="A921" t="str">
        <f t="shared" si="30"/>
        <v>01</v>
      </c>
      <c r="B921" t="str">
        <f t="shared" si="31"/>
        <v>1</v>
      </c>
      <c r="C921" t="s">
        <v>310</v>
      </c>
      <c r="D921">
        <v>138988</v>
      </c>
      <c r="E921" s="4">
        <v>40</v>
      </c>
      <c r="F921" s="5">
        <v>44603</v>
      </c>
      <c r="G921" t="str">
        <f>"202202119051"</f>
        <v>202202119051</v>
      </c>
      <c r="H921" t="str">
        <f>"Miscell"</f>
        <v>Miscell</v>
      </c>
      <c r="I921" s="4">
        <v>40</v>
      </c>
      <c r="J921" t="str">
        <f>"JACOB DANIEL BELLAMY"</f>
        <v>JACOB DANIEL BELLAMY</v>
      </c>
    </row>
    <row r="922" spans="1:10" x14ac:dyDescent="0.25">
      <c r="A922" t="str">
        <f t="shared" si="30"/>
        <v>01</v>
      </c>
      <c r="B922" t="str">
        <f t="shared" si="31"/>
        <v>1</v>
      </c>
      <c r="C922" t="s">
        <v>311</v>
      </c>
      <c r="D922">
        <v>138989</v>
      </c>
      <c r="E922" s="4">
        <v>40</v>
      </c>
      <c r="F922" s="5">
        <v>44603</v>
      </c>
      <c r="G922" t="str">
        <f>"202202119052"</f>
        <v>202202119052</v>
      </c>
      <c r="H922" t="str">
        <f>"Miscell"</f>
        <v>Miscell</v>
      </c>
      <c r="I922" s="4">
        <v>40</v>
      </c>
      <c r="J922" t="str">
        <f>"KATHRYN MARY HANCOCK"</f>
        <v>KATHRYN MARY HANCOCK</v>
      </c>
    </row>
    <row r="923" spans="1:10" x14ac:dyDescent="0.25">
      <c r="A923" t="str">
        <f t="shared" si="30"/>
        <v>01</v>
      </c>
      <c r="B923" t="str">
        <f t="shared" si="31"/>
        <v>1</v>
      </c>
      <c r="C923" t="s">
        <v>312</v>
      </c>
      <c r="D923">
        <v>138990</v>
      </c>
      <c r="E923" s="4">
        <v>40</v>
      </c>
      <c r="F923" s="5">
        <v>44603</v>
      </c>
      <c r="G923" t="str">
        <f>"202202119053"</f>
        <v>202202119053</v>
      </c>
      <c r="H923" t="str">
        <f>"Miscel"</f>
        <v>Miscel</v>
      </c>
      <c r="I923" s="4">
        <v>40</v>
      </c>
      <c r="J923" t="str">
        <f>"BRADLEY JAMES KILGORE"</f>
        <v>BRADLEY JAMES KILGORE</v>
      </c>
    </row>
    <row r="924" spans="1:10" x14ac:dyDescent="0.25">
      <c r="A924" t="str">
        <f t="shared" si="30"/>
        <v>01</v>
      </c>
      <c r="B924" t="str">
        <f t="shared" si="31"/>
        <v>1</v>
      </c>
      <c r="C924" t="s">
        <v>313</v>
      </c>
      <c r="D924">
        <v>138991</v>
      </c>
      <c r="E924" s="4">
        <v>40</v>
      </c>
      <c r="F924" s="5">
        <v>44603</v>
      </c>
      <c r="G924" t="str">
        <f>"202202119054"</f>
        <v>202202119054</v>
      </c>
      <c r="H924" t="str">
        <f>"Miscellan"</f>
        <v>Miscellan</v>
      </c>
      <c r="I924" s="4">
        <v>40</v>
      </c>
      <c r="J924" t="str">
        <f>"SUSAN DARLENE MERZ"</f>
        <v>SUSAN DARLENE MERZ</v>
      </c>
    </row>
    <row r="925" spans="1:10" x14ac:dyDescent="0.25">
      <c r="A925" t="str">
        <f t="shared" si="30"/>
        <v>01</v>
      </c>
      <c r="B925" t="str">
        <f t="shared" si="31"/>
        <v>1</v>
      </c>
      <c r="C925" t="s">
        <v>314</v>
      </c>
      <c r="D925">
        <v>138992</v>
      </c>
      <c r="E925" s="4">
        <v>40</v>
      </c>
      <c r="F925" s="5">
        <v>44603</v>
      </c>
      <c r="G925" t="str">
        <f>"202202119055"</f>
        <v>202202119055</v>
      </c>
      <c r="H925" t="str">
        <f>"Miscellane"</f>
        <v>Miscellane</v>
      </c>
      <c r="I925" s="4">
        <v>40</v>
      </c>
      <c r="J925" t="str">
        <f>"DONALD RAY BARRON"</f>
        <v>DONALD RAY BARRON</v>
      </c>
    </row>
    <row r="926" spans="1:10" x14ac:dyDescent="0.25">
      <c r="A926" t="str">
        <f t="shared" si="30"/>
        <v>01</v>
      </c>
      <c r="B926" t="str">
        <f t="shared" si="31"/>
        <v>1</v>
      </c>
      <c r="C926" t="s">
        <v>315</v>
      </c>
      <c r="D926">
        <v>138993</v>
      </c>
      <c r="E926" s="4">
        <v>40</v>
      </c>
      <c r="F926" s="5">
        <v>44603</v>
      </c>
      <c r="G926" t="str">
        <f>"202202119056"</f>
        <v>202202119056</v>
      </c>
      <c r="H926" t="str">
        <f>"Miscellaneous"</f>
        <v>Miscellaneous</v>
      </c>
      <c r="I926" s="4">
        <v>40</v>
      </c>
      <c r="J926" t="str">
        <f>"DAVID RAY LONG"</f>
        <v>DAVID RAY LONG</v>
      </c>
    </row>
    <row r="927" spans="1:10" x14ac:dyDescent="0.25">
      <c r="A927" t="str">
        <f t="shared" si="30"/>
        <v>01</v>
      </c>
      <c r="B927" t="str">
        <f t="shared" si="31"/>
        <v>1</v>
      </c>
      <c r="C927" t="s">
        <v>316</v>
      </c>
      <c r="D927">
        <v>138994</v>
      </c>
      <c r="E927" s="4">
        <v>40</v>
      </c>
      <c r="F927" s="5">
        <v>44603</v>
      </c>
      <c r="G927" t="str">
        <f>"202202119057"</f>
        <v>202202119057</v>
      </c>
      <c r="H927" t="str">
        <f>"Miscellan"</f>
        <v>Miscellan</v>
      </c>
      <c r="I927" s="4">
        <v>40</v>
      </c>
      <c r="J927" t="str">
        <f>"CARA LINDSAY MOORE"</f>
        <v>CARA LINDSAY MOORE</v>
      </c>
    </row>
    <row r="928" spans="1:10" x14ac:dyDescent="0.25">
      <c r="A928" t="str">
        <f t="shared" si="30"/>
        <v>01</v>
      </c>
      <c r="B928" t="str">
        <f t="shared" si="31"/>
        <v>1</v>
      </c>
      <c r="C928" t="s">
        <v>317</v>
      </c>
      <c r="D928">
        <v>138995</v>
      </c>
      <c r="E928" s="4">
        <v>40</v>
      </c>
      <c r="F928" s="5">
        <v>44603</v>
      </c>
      <c r="G928" t="str">
        <f>"202202119058"</f>
        <v>202202119058</v>
      </c>
      <c r="H928" t="str">
        <f>"Misc"</f>
        <v>Misc</v>
      </c>
      <c r="I928" s="4">
        <v>40</v>
      </c>
      <c r="J928" t="str">
        <f>"CHRISTOPHER RON CHAPMAN"</f>
        <v>CHRISTOPHER RON CHAPMAN</v>
      </c>
    </row>
    <row r="929" spans="1:10" x14ac:dyDescent="0.25">
      <c r="A929" t="str">
        <f t="shared" si="30"/>
        <v>01</v>
      </c>
      <c r="B929" t="str">
        <f t="shared" si="31"/>
        <v>1</v>
      </c>
      <c r="C929" t="s">
        <v>318</v>
      </c>
      <c r="D929">
        <v>138996</v>
      </c>
      <c r="E929" s="4">
        <v>40</v>
      </c>
      <c r="F929" s="5">
        <v>44603</v>
      </c>
      <c r="G929" t="str">
        <f>"202202119059"</f>
        <v>202202119059</v>
      </c>
      <c r="H929" t="str">
        <f>"Mis"</f>
        <v>Mis</v>
      </c>
      <c r="I929" s="4">
        <v>40</v>
      </c>
      <c r="J929" t="str">
        <f>"CRYSTAL MARICELA DUMBECK"</f>
        <v>CRYSTAL MARICELA DUMBECK</v>
      </c>
    </row>
    <row r="930" spans="1:10" x14ac:dyDescent="0.25">
      <c r="A930" t="str">
        <f t="shared" si="30"/>
        <v>01</v>
      </c>
      <c r="B930" t="str">
        <f t="shared" si="31"/>
        <v>1</v>
      </c>
      <c r="C930" t="s">
        <v>319</v>
      </c>
      <c r="D930">
        <v>139182</v>
      </c>
      <c r="E930" s="4">
        <v>86</v>
      </c>
      <c r="F930" s="5">
        <v>44609</v>
      </c>
      <c r="G930" t="str">
        <f>"202202179108"</f>
        <v>202202179108</v>
      </c>
      <c r="H930" t="str">
        <f>"Mi"</f>
        <v>Mi</v>
      </c>
      <c r="I930" s="4">
        <v>86</v>
      </c>
      <c r="J930" t="str">
        <f>"MICHAEL MAURICE MOUSSETTE"</f>
        <v>MICHAEL MAURICE MOUSSETTE</v>
      </c>
    </row>
    <row r="931" spans="1:10" x14ac:dyDescent="0.25">
      <c r="A931" t="str">
        <f t="shared" si="30"/>
        <v>01</v>
      </c>
      <c r="B931" t="str">
        <f t="shared" si="31"/>
        <v>1</v>
      </c>
      <c r="C931" t="s">
        <v>320</v>
      </c>
      <c r="D931">
        <v>139183</v>
      </c>
      <c r="E931" s="4">
        <v>6</v>
      </c>
      <c r="F931" s="5">
        <v>44609</v>
      </c>
      <c r="G931" t="str">
        <f>"202202179109"</f>
        <v>202202179109</v>
      </c>
      <c r="H931" t="str">
        <f>"Miscella"</f>
        <v>Miscella</v>
      </c>
      <c r="I931" s="4">
        <v>6</v>
      </c>
      <c r="J931" t="str">
        <f>"IRENE AGUILAR MUNOZ"</f>
        <v>IRENE AGUILAR MUNOZ</v>
      </c>
    </row>
    <row r="932" spans="1:10" x14ac:dyDescent="0.25">
      <c r="A932" t="str">
        <f t="shared" si="30"/>
        <v>01</v>
      </c>
      <c r="B932" t="str">
        <f t="shared" si="31"/>
        <v>1</v>
      </c>
      <c r="C932" t="s">
        <v>321</v>
      </c>
      <c r="D932">
        <v>139184</v>
      </c>
      <c r="E932" s="4">
        <v>6</v>
      </c>
      <c r="F932" s="5">
        <v>44609</v>
      </c>
      <c r="G932" t="str">
        <f>"202202179110"</f>
        <v>202202179110</v>
      </c>
      <c r="H932" t="str">
        <f>"Miscellaneous"</f>
        <v>Miscellaneous</v>
      </c>
      <c r="I932" s="4">
        <v>6</v>
      </c>
      <c r="J932" t="str">
        <f>"STEVEN CRUZ"</f>
        <v>STEVEN CRUZ</v>
      </c>
    </row>
    <row r="933" spans="1:10" x14ac:dyDescent="0.25">
      <c r="A933" t="str">
        <f t="shared" si="30"/>
        <v>01</v>
      </c>
      <c r="B933" t="str">
        <f t="shared" si="31"/>
        <v>1</v>
      </c>
      <c r="C933" t="s">
        <v>322</v>
      </c>
      <c r="D933">
        <v>139185</v>
      </c>
      <c r="E933" s="4">
        <v>6</v>
      </c>
      <c r="F933" s="5">
        <v>44609</v>
      </c>
      <c r="G933" t="str">
        <f>"202202179111"</f>
        <v>202202179111</v>
      </c>
      <c r="H933" t="str">
        <f>"Miscell"</f>
        <v>Miscell</v>
      </c>
      <c r="I933" s="4">
        <v>6</v>
      </c>
      <c r="J933" t="str">
        <f>"MICHAEL WAYNE MARTIN"</f>
        <v>MICHAEL WAYNE MARTIN</v>
      </c>
    </row>
    <row r="934" spans="1:10" x14ac:dyDescent="0.25">
      <c r="A934" t="str">
        <f t="shared" si="30"/>
        <v>01</v>
      </c>
      <c r="B934" t="str">
        <f t="shared" si="31"/>
        <v>1</v>
      </c>
      <c r="C934" t="s">
        <v>323</v>
      </c>
      <c r="D934">
        <v>139186</v>
      </c>
      <c r="E934" s="4">
        <v>6</v>
      </c>
      <c r="F934" s="5">
        <v>44609</v>
      </c>
      <c r="G934" t="str">
        <f>"202202179112"</f>
        <v>202202179112</v>
      </c>
      <c r="H934" t="str">
        <f>"Miscellane"</f>
        <v>Miscellane</v>
      </c>
      <c r="I934" s="4">
        <v>6</v>
      </c>
      <c r="J934" t="str">
        <f>"MAX RICHARD SEARS"</f>
        <v>MAX RICHARD SEARS</v>
      </c>
    </row>
    <row r="935" spans="1:10" x14ac:dyDescent="0.25">
      <c r="A935" t="str">
        <f t="shared" si="30"/>
        <v>01</v>
      </c>
      <c r="B935" t="str">
        <f t="shared" si="31"/>
        <v>1</v>
      </c>
      <c r="C935" t="s">
        <v>324</v>
      </c>
      <c r="D935">
        <v>139187</v>
      </c>
      <c r="E935" s="4">
        <v>6</v>
      </c>
      <c r="F935" s="5">
        <v>44609</v>
      </c>
      <c r="G935" t="str">
        <f>"202202179113"</f>
        <v>202202179113</v>
      </c>
      <c r="H935" t="str">
        <f>"Miscella"</f>
        <v>Miscella</v>
      </c>
      <c r="I935" s="4">
        <v>6</v>
      </c>
      <c r="J935" t="str">
        <f>"ANDRES LEE MARTINEZ"</f>
        <v>ANDRES LEE MARTINEZ</v>
      </c>
    </row>
    <row r="936" spans="1:10" x14ac:dyDescent="0.25">
      <c r="A936" t="str">
        <f t="shared" si="30"/>
        <v>01</v>
      </c>
      <c r="B936" t="str">
        <f t="shared" si="31"/>
        <v>1</v>
      </c>
      <c r="C936" t="s">
        <v>325</v>
      </c>
      <c r="D936">
        <v>139188</v>
      </c>
      <c r="E936" s="4">
        <v>6</v>
      </c>
      <c r="F936" s="5">
        <v>44609</v>
      </c>
      <c r="G936" t="str">
        <f>"202202179114"</f>
        <v>202202179114</v>
      </c>
      <c r="H936" t="str">
        <f>"Miscellaneous"</f>
        <v>Miscellaneous</v>
      </c>
      <c r="I936" s="4">
        <v>6</v>
      </c>
      <c r="J936" t="str">
        <f>"CYNTHIA HEPKER"</f>
        <v>CYNTHIA HEPKER</v>
      </c>
    </row>
    <row r="937" spans="1:10" x14ac:dyDescent="0.25">
      <c r="A937" t="str">
        <f t="shared" si="30"/>
        <v>01</v>
      </c>
      <c r="B937" t="str">
        <f t="shared" si="31"/>
        <v>1</v>
      </c>
      <c r="C937" t="s">
        <v>326</v>
      </c>
      <c r="D937">
        <v>139189</v>
      </c>
      <c r="E937" s="4">
        <v>6</v>
      </c>
      <c r="F937" s="5">
        <v>44609</v>
      </c>
      <c r="G937" t="str">
        <f>"202202179115"</f>
        <v>202202179115</v>
      </c>
      <c r="H937" t="str">
        <f>"Miscellaneou"</f>
        <v>Miscellaneou</v>
      </c>
      <c r="I937" s="4">
        <v>6</v>
      </c>
      <c r="J937" t="str">
        <f>"ALLAN RAY YOAST"</f>
        <v>ALLAN RAY YOAST</v>
      </c>
    </row>
    <row r="938" spans="1:10" x14ac:dyDescent="0.25">
      <c r="A938" t="str">
        <f t="shared" si="30"/>
        <v>01</v>
      </c>
      <c r="B938" t="str">
        <f t="shared" si="31"/>
        <v>1</v>
      </c>
      <c r="C938" t="s">
        <v>327</v>
      </c>
      <c r="D938">
        <v>139190</v>
      </c>
      <c r="E938" s="4">
        <v>6</v>
      </c>
      <c r="F938" s="5">
        <v>44609</v>
      </c>
      <c r="G938" t="str">
        <f>"202202179116"</f>
        <v>202202179116</v>
      </c>
      <c r="H938" t="str">
        <f>"Miscellaneous"</f>
        <v>Miscellaneous</v>
      </c>
      <c r="I938" s="4">
        <v>6</v>
      </c>
      <c r="J938" t="str">
        <f>"SIDNEY SPENCER"</f>
        <v>SIDNEY SPENCER</v>
      </c>
    </row>
    <row r="939" spans="1:10" x14ac:dyDescent="0.25">
      <c r="A939" t="str">
        <f t="shared" si="30"/>
        <v>01</v>
      </c>
      <c r="B939" t="str">
        <f t="shared" si="31"/>
        <v>1</v>
      </c>
      <c r="C939" t="s">
        <v>328</v>
      </c>
      <c r="D939">
        <v>139191</v>
      </c>
      <c r="E939" s="4">
        <v>6</v>
      </c>
      <c r="F939" s="5">
        <v>44609</v>
      </c>
      <c r="G939" t="str">
        <f>"202202179117"</f>
        <v>202202179117</v>
      </c>
      <c r="H939" t="str">
        <f>"Miscella"</f>
        <v>Miscella</v>
      </c>
      <c r="I939" s="4">
        <v>6</v>
      </c>
      <c r="J939" t="str">
        <f>"DENISE DIANE GAINES"</f>
        <v>DENISE DIANE GAINES</v>
      </c>
    </row>
    <row r="940" spans="1:10" x14ac:dyDescent="0.25">
      <c r="A940" t="str">
        <f t="shared" si="30"/>
        <v>01</v>
      </c>
      <c r="B940" t="str">
        <f t="shared" si="31"/>
        <v>1</v>
      </c>
      <c r="C940" t="s">
        <v>329</v>
      </c>
      <c r="D940">
        <v>139192</v>
      </c>
      <c r="E940" s="4">
        <v>6</v>
      </c>
      <c r="F940" s="5">
        <v>44609</v>
      </c>
      <c r="G940" t="str">
        <f>"202202179118"</f>
        <v>202202179118</v>
      </c>
      <c r="H940" t="str">
        <f>"Miscel"</f>
        <v>Miscel</v>
      </c>
      <c r="I940" s="4">
        <v>6</v>
      </c>
      <c r="J940" t="str">
        <f>"CYNTHIA LEE NICHOLSON"</f>
        <v>CYNTHIA LEE NICHOLSON</v>
      </c>
    </row>
    <row r="941" spans="1:10" x14ac:dyDescent="0.25">
      <c r="A941" t="str">
        <f t="shared" si="30"/>
        <v>01</v>
      </c>
      <c r="B941" t="str">
        <f t="shared" si="31"/>
        <v>1</v>
      </c>
      <c r="C941" t="s">
        <v>330</v>
      </c>
      <c r="D941">
        <v>139193</v>
      </c>
      <c r="E941" s="4">
        <v>6</v>
      </c>
      <c r="F941" s="5">
        <v>44609</v>
      </c>
      <c r="G941" t="str">
        <f>"202202179119"</f>
        <v>202202179119</v>
      </c>
      <c r="H941" t="str">
        <f>"Miscellaneo"</f>
        <v>Miscellaneo</v>
      </c>
      <c r="I941" s="4">
        <v>6</v>
      </c>
      <c r="J941" t="str">
        <f>"ANNE MATL LAYTON"</f>
        <v>ANNE MATL LAYTON</v>
      </c>
    </row>
    <row r="942" spans="1:10" x14ac:dyDescent="0.25">
      <c r="A942" t="str">
        <f t="shared" si="30"/>
        <v>01</v>
      </c>
      <c r="B942" t="str">
        <f t="shared" si="31"/>
        <v>1</v>
      </c>
      <c r="C942" t="s">
        <v>331</v>
      </c>
      <c r="D942">
        <v>139194</v>
      </c>
      <c r="E942" s="4">
        <v>6</v>
      </c>
      <c r="F942" s="5">
        <v>44609</v>
      </c>
      <c r="G942" t="str">
        <f>"202202179120"</f>
        <v>202202179120</v>
      </c>
      <c r="H942" t="str">
        <f>"Misce"</f>
        <v>Misce</v>
      </c>
      <c r="I942" s="4">
        <v>6</v>
      </c>
      <c r="J942" t="str">
        <f>"JOEL BENJAMIN SHEPHERD"</f>
        <v>JOEL BENJAMIN SHEPHERD</v>
      </c>
    </row>
    <row r="943" spans="1:10" x14ac:dyDescent="0.25">
      <c r="A943" t="str">
        <f t="shared" si="30"/>
        <v>01</v>
      </c>
      <c r="B943" t="str">
        <f t="shared" si="31"/>
        <v>1</v>
      </c>
      <c r="C943" t="s">
        <v>332</v>
      </c>
      <c r="D943">
        <v>139195</v>
      </c>
      <c r="E943" s="4">
        <v>6</v>
      </c>
      <c r="F943" s="5">
        <v>44609</v>
      </c>
      <c r="G943" t="str">
        <f>"202202179121"</f>
        <v>202202179121</v>
      </c>
      <c r="H943" t="str">
        <f>"Miscel"</f>
        <v>Miscel</v>
      </c>
      <c r="I943" s="4">
        <v>6</v>
      </c>
      <c r="J943" t="str">
        <f>"LAUREN ROSE CONTRERAS"</f>
        <v>LAUREN ROSE CONTRERAS</v>
      </c>
    </row>
    <row r="944" spans="1:10" x14ac:dyDescent="0.25">
      <c r="A944" t="str">
        <f t="shared" si="30"/>
        <v>01</v>
      </c>
      <c r="B944" t="str">
        <f t="shared" si="31"/>
        <v>1</v>
      </c>
      <c r="C944" t="s">
        <v>333</v>
      </c>
      <c r="D944">
        <v>139196</v>
      </c>
      <c r="E944" s="4">
        <v>86</v>
      </c>
      <c r="F944" s="5">
        <v>44609</v>
      </c>
      <c r="G944" t="str">
        <f>"202202179122"</f>
        <v>202202179122</v>
      </c>
      <c r="H944" t="str">
        <f>"Miscellane"</f>
        <v>Miscellane</v>
      </c>
      <c r="I944" s="4">
        <v>86</v>
      </c>
      <c r="J944" t="str">
        <f>"ALAN MICHAEL MACK"</f>
        <v>ALAN MICHAEL MACK</v>
      </c>
    </row>
    <row r="945" spans="1:10" x14ac:dyDescent="0.25">
      <c r="A945" t="str">
        <f t="shared" si="30"/>
        <v>01</v>
      </c>
      <c r="B945" t="str">
        <f t="shared" si="31"/>
        <v>1</v>
      </c>
      <c r="C945" t="s">
        <v>334</v>
      </c>
      <c r="D945">
        <v>139197</v>
      </c>
      <c r="E945" s="4">
        <v>6</v>
      </c>
      <c r="F945" s="5">
        <v>44609</v>
      </c>
      <c r="G945" t="str">
        <f>"202202179123"</f>
        <v>202202179123</v>
      </c>
      <c r="H945" t="str">
        <f>"Miscellane"</f>
        <v>Miscellane</v>
      </c>
      <c r="I945" s="4">
        <v>6</v>
      </c>
      <c r="J945" t="str">
        <f>"PAUL DANIEL SHORT"</f>
        <v>PAUL DANIEL SHORT</v>
      </c>
    </row>
    <row r="946" spans="1:10" x14ac:dyDescent="0.25">
      <c r="A946" t="str">
        <f t="shared" si="30"/>
        <v>01</v>
      </c>
      <c r="B946" t="str">
        <f t="shared" si="31"/>
        <v>1</v>
      </c>
      <c r="C946" t="s">
        <v>335</v>
      </c>
      <c r="D946">
        <v>139198</v>
      </c>
      <c r="E946" s="4">
        <v>6</v>
      </c>
      <c r="F946" s="5">
        <v>44609</v>
      </c>
      <c r="G946" t="str">
        <f>"202202179124"</f>
        <v>202202179124</v>
      </c>
      <c r="H946" t="str">
        <f>"Miscell"</f>
        <v>Miscell</v>
      </c>
      <c r="I946" s="4">
        <v>6</v>
      </c>
      <c r="J946" t="str">
        <f>"CALEB GARRETT HUDSON"</f>
        <v>CALEB GARRETT HUDSON</v>
      </c>
    </row>
    <row r="947" spans="1:10" x14ac:dyDescent="0.25">
      <c r="A947" t="str">
        <f t="shared" si="30"/>
        <v>01</v>
      </c>
      <c r="B947" t="str">
        <f t="shared" si="31"/>
        <v>1</v>
      </c>
      <c r="C947" t="s">
        <v>336</v>
      </c>
      <c r="D947">
        <v>139199</v>
      </c>
      <c r="E947" s="4">
        <v>6</v>
      </c>
      <c r="F947" s="5">
        <v>44609</v>
      </c>
      <c r="G947" t="str">
        <f>"202202179125"</f>
        <v>202202179125</v>
      </c>
      <c r="H947" t="str">
        <f>"Miscellan"</f>
        <v>Miscellan</v>
      </c>
      <c r="I947" s="4">
        <v>6</v>
      </c>
      <c r="J947" t="str">
        <f>"MARIE LOUISE FRYER"</f>
        <v>MARIE LOUISE FRYER</v>
      </c>
    </row>
    <row r="948" spans="1:10" x14ac:dyDescent="0.25">
      <c r="A948" t="str">
        <f t="shared" si="30"/>
        <v>01</v>
      </c>
      <c r="B948" t="str">
        <f t="shared" si="31"/>
        <v>1</v>
      </c>
      <c r="C948" t="s">
        <v>337</v>
      </c>
      <c r="D948">
        <v>139200</v>
      </c>
      <c r="E948" s="4">
        <v>6</v>
      </c>
      <c r="F948" s="5">
        <v>44609</v>
      </c>
      <c r="G948" t="str">
        <f>"202202179126"</f>
        <v>202202179126</v>
      </c>
      <c r="H948" t="str">
        <f>"Miscellan"</f>
        <v>Miscellan</v>
      </c>
      <c r="I948" s="4">
        <v>6</v>
      </c>
      <c r="J948" t="str">
        <f>"THOMAS LAZARO COLE"</f>
        <v>THOMAS LAZARO COLE</v>
      </c>
    </row>
    <row r="949" spans="1:10" x14ac:dyDescent="0.25">
      <c r="A949" t="str">
        <f t="shared" si="30"/>
        <v>01</v>
      </c>
      <c r="B949" t="str">
        <f t="shared" si="31"/>
        <v>1</v>
      </c>
      <c r="C949" t="s">
        <v>338</v>
      </c>
      <c r="D949">
        <v>139201</v>
      </c>
      <c r="E949" s="4">
        <v>6</v>
      </c>
      <c r="F949" s="5">
        <v>44609</v>
      </c>
      <c r="G949" t="str">
        <f>"202202179127"</f>
        <v>202202179127</v>
      </c>
      <c r="H949" t="str">
        <f>"Miscella"</f>
        <v>Miscella</v>
      </c>
      <c r="I949" s="4">
        <v>6</v>
      </c>
      <c r="J949" t="str">
        <f>"JOSE ANTHONY JAIMES"</f>
        <v>JOSE ANTHONY JAIMES</v>
      </c>
    </row>
    <row r="950" spans="1:10" x14ac:dyDescent="0.25">
      <c r="A950" t="str">
        <f t="shared" si="30"/>
        <v>01</v>
      </c>
      <c r="B950" t="str">
        <f t="shared" si="31"/>
        <v>1</v>
      </c>
      <c r="C950" t="s">
        <v>339</v>
      </c>
      <c r="D950">
        <v>139202</v>
      </c>
      <c r="E950" s="4">
        <v>6</v>
      </c>
      <c r="F950" s="5">
        <v>44609</v>
      </c>
      <c r="G950" t="str">
        <f>"202202179128"</f>
        <v>202202179128</v>
      </c>
      <c r="H950" t="str">
        <f>"Miscellan"</f>
        <v>Miscellan</v>
      </c>
      <c r="I950" s="4">
        <v>6</v>
      </c>
      <c r="J950" t="str">
        <f>"RENEE DECARLO GRAY"</f>
        <v>RENEE DECARLO GRAY</v>
      </c>
    </row>
    <row r="951" spans="1:10" x14ac:dyDescent="0.25">
      <c r="A951" t="str">
        <f t="shared" si="30"/>
        <v>01</v>
      </c>
      <c r="B951" t="str">
        <f t="shared" si="31"/>
        <v>1</v>
      </c>
      <c r="C951" t="s">
        <v>340</v>
      </c>
      <c r="D951">
        <v>139203</v>
      </c>
      <c r="E951" s="4">
        <v>6</v>
      </c>
      <c r="F951" s="5">
        <v>44609</v>
      </c>
      <c r="G951" t="str">
        <f>"202202179129"</f>
        <v>202202179129</v>
      </c>
      <c r="H951" t="str">
        <f>"Miscella"</f>
        <v>Miscella</v>
      </c>
      <c r="I951" s="4">
        <v>6</v>
      </c>
      <c r="J951" t="str">
        <f>"BRENDA LEE CANTWELL"</f>
        <v>BRENDA LEE CANTWELL</v>
      </c>
    </row>
    <row r="952" spans="1:10" x14ac:dyDescent="0.25">
      <c r="A952" t="str">
        <f t="shared" si="30"/>
        <v>01</v>
      </c>
      <c r="B952" t="str">
        <f t="shared" si="31"/>
        <v>1</v>
      </c>
      <c r="C952" t="s">
        <v>341</v>
      </c>
      <c r="D952">
        <v>139204</v>
      </c>
      <c r="E952" s="4">
        <v>86</v>
      </c>
      <c r="F952" s="5">
        <v>44609</v>
      </c>
      <c r="G952" t="str">
        <f>"202202179130"</f>
        <v>202202179130</v>
      </c>
      <c r="H952" t="str">
        <f>"Misce"</f>
        <v>Misce</v>
      </c>
      <c r="I952" s="4">
        <v>86</v>
      </c>
      <c r="J952" t="str">
        <f>"RICHARD JOSEPH RICHTER"</f>
        <v>RICHARD JOSEPH RICHTER</v>
      </c>
    </row>
    <row r="953" spans="1:10" x14ac:dyDescent="0.25">
      <c r="A953" t="str">
        <f t="shared" ref="A953:A991" si="32">"01"</f>
        <v>01</v>
      </c>
      <c r="B953" t="str">
        <f t="shared" ref="B953:B980" si="33">"1"</f>
        <v>1</v>
      </c>
      <c r="C953" t="s">
        <v>342</v>
      </c>
      <c r="D953">
        <v>139205</v>
      </c>
      <c r="E953" s="4">
        <v>6</v>
      </c>
      <c r="F953" s="5">
        <v>44609</v>
      </c>
      <c r="G953" t="str">
        <f>"202202179131"</f>
        <v>202202179131</v>
      </c>
      <c r="H953" t="str">
        <f>"Misce"</f>
        <v>Misce</v>
      </c>
      <c r="I953" s="4">
        <v>6</v>
      </c>
      <c r="J953" t="str">
        <f>"TIMOTHY PAUL HAWKINSON"</f>
        <v>TIMOTHY PAUL HAWKINSON</v>
      </c>
    </row>
    <row r="954" spans="1:10" x14ac:dyDescent="0.25">
      <c r="A954" t="str">
        <f t="shared" si="32"/>
        <v>01</v>
      </c>
      <c r="B954" t="str">
        <f t="shared" si="33"/>
        <v>1</v>
      </c>
      <c r="C954" t="s">
        <v>343</v>
      </c>
      <c r="D954">
        <v>139206</v>
      </c>
      <c r="E954" s="4">
        <v>6</v>
      </c>
      <c r="F954" s="5">
        <v>44609</v>
      </c>
      <c r="G954" t="str">
        <f>"202202179132"</f>
        <v>202202179132</v>
      </c>
      <c r="H954" t="str">
        <f>"Mis"</f>
        <v>Mis</v>
      </c>
      <c r="I954" s="4">
        <v>6</v>
      </c>
      <c r="J954" t="str">
        <f>"DENNIS THOMAS CUNNINGHAM"</f>
        <v>DENNIS THOMAS CUNNINGHAM</v>
      </c>
    </row>
    <row r="955" spans="1:10" x14ac:dyDescent="0.25">
      <c r="A955" t="str">
        <f t="shared" si="32"/>
        <v>01</v>
      </c>
      <c r="B955" t="str">
        <f t="shared" si="33"/>
        <v>1</v>
      </c>
      <c r="C955" t="s">
        <v>344</v>
      </c>
      <c r="D955">
        <v>139207</v>
      </c>
      <c r="E955" s="4">
        <v>6</v>
      </c>
      <c r="F955" s="5">
        <v>44609</v>
      </c>
      <c r="G955" t="str">
        <f>"202202179133"</f>
        <v>202202179133</v>
      </c>
      <c r="H955" t="str">
        <f>"Miscella"</f>
        <v>Miscella</v>
      </c>
      <c r="I955" s="4">
        <v>6</v>
      </c>
      <c r="J955" t="str">
        <f>"GLEN ARTHUR AMBROSE"</f>
        <v>GLEN ARTHUR AMBROSE</v>
      </c>
    </row>
    <row r="956" spans="1:10" x14ac:dyDescent="0.25">
      <c r="A956" t="str">
        <f t="shared" si="32"/>
        <v>01</v>
      </c>
      <c r="B956" t="str">
        <f t="shared" si="33"/>
        <v>1</v>
      </c>
      <c r="C956" t="s">
        <v>345</v>
      </c>
      <c r="D956">
        <v>139208</v>
      </c>
      <c r="E956" s="4">
        <v>6</v>
      </c>
      <c r="F956" s="5">
        <v>44609</v>
      </c>
      <c r="G956" t="str">
        <f>"202202179134"</f>
        <v>202202179134</v>
      </c>
      <c r="H956" t="str">
        <f>"Miscellaneo"</f>
        <v>Miscellaneo</v>
      </c>
      <c r="I956" s="4">
        <v>6</v>
      </c>
      <c r="J956" t="str">
        <f>"LEAH LAHELA GANN"</f>
        <v>LEAH LAHELA GANN</v>
      </c>
    </row>
    <row r="957" spans="1:10" x14ac:dyDescent="0.25">
      <c r="A957" t="str">
        <f t="shared" si="32"/>
        <v>01</v>
      </c>
      <c r="B957" t="str">
        <f t="shared" si="33"/>
        <v>1</v>
      </c>
      <c r="C957" t="s">
        <v>346</v>
      </c>
      <c r="D957">
        <v>139209</v>
      </c>
      <c r="E957" s="4">
        <v>6</v>
      </c>
      <c r="F957" s="5">
        <v>44609</v>
      </c>
      <c r="G957" t="str">
        <f>"202202179135"</f>
        <v>202202179135</v>
      </c>
      <c r="H957" t="str">
        <f>"Miscellane"</f>
        <v>Miscellane</v>
      </c>
      <c r="I957" s="4">
        <v>6</v>
      </c>
      <c r="J957" t="str">
        <f>"TAMMY LYNN MILLER"</f>
        <v>TAMMY LYNN MILLER</v>
      </c>
    </row>
    <row r="958" spans="1:10" x14ac:dyDescent="0.25">
      <c r="A958" t="str">
        <f t="shared" si="32"/>
        <v>01</v>
      </c>
      <c r="B958" t="str">
        <f t="shared" si="33"/>
        <v>1</v>
      </c>
      <c r="C958" t="s">
        <v>347</v>
      </c>
      <c r="D958">
        <v>139210</v>
      </c>
      <c r="E958" s="4">
        <v>6</v>
      </c>
      <c r="F958" s="5">
        <v>44609</v>
      </c>
      <c r="G958" t="str">
        <f>"202202179136"</f>
        <v>202202179136</v>
      </c>
      <c r="H958" t="str">
        <f>"Misce"</f>
        <v>Misce</v>
      </c>
      <c r="I958" s="4">
        <v>6</v>
      </c>
      <c r="J958" t="str">
        <f>"MICHAEL JOSEPH REARDON"</f>
        <v>MICHAEL JOSEPH REARDON</v>
      </c>
    </row>
    <row r="959" spans="1:10" x14ac:dyDescent="0.25">
      <c r="A959" t="str">
        <f t="shared" si="32"/>
        <v>01</v>
      </c>
      <c r="B959" t="str">
        <f t="shared" si="33"/>
        <v>1</v>
      </c>
      <c r="C959" t="s">
        <v>348</v>
      </c>
      <c r="D959">
        <v>139211</v>
      </c>
      <c r="E959" s="4">
        <v>6</v>
      </c>
      <c r="F959" s="5">
        <v>44609</v>
      </c>
      <c r="G959" t="str">
        <f>"202202179137"</f>
        <v>202202179137</v>
      </c>
      <c r="H959" t="str">
        <f>"Mis"</f>
        <v>Mis</v>
      </c>
      <c r="I959" s="4">
        <v>6</v>
      </c>
      <c r="J959" t="str">
        <f>"KASSANDRA OLIVIA BURNIAS"</f>
        <v>KASSANDRA OLIVIA BURNIAS</v>
      </c>
    </row>
    <row r="960" spans="1:10" x14ac:dyDescent="0.25">
      <c r="A960" t="str">
        <f t="shared" si="32"/>
        <v>01</v>
      </c>
      <c r="B960" t="str">
        <f t="shared" si="33"/>
        <v>1</v>
      </c>
      <c r="C960" t="s">
        <v>349</v>
      </c>
      <c r="D960">
        <v>139212</v>
      </c>
      <c r="E960" s="4">
        <v>86</v>
      </c>
      <c r="F960" s="5">
        <v>44609</v>
      </c>
      <c r="G960" t="str">
        <f>"202202179138"</f>
        <v>202202179138</v>
      </c>
      <c r="H960" t="str">
        <f>"Miscellane"</f>
        <v>Miscellane</v>
      </c>
      <c r="I960" s="4">
        <v>86</v>
      </c>
      <c r="J960" t="str">
        <f>"PRISCILLA GREGORY"</f>
        <v>PRISCILLA GREGORY</v>
      </c>
    </row>
    <row r="961" spans="1:10" x14ac:dyDescent="0.25">
      <c r="A961" t="str">
        <f t="shared" si="32"/>
        <v>01</v>
      </c>
      <c r="B961" t="str">
        <f t="shared" si="33"/>
        <v>1</v>
      </c>
      <c r="C961" t="s">
        <v>350</v>
      </c>
      <c r="D961">
        <v>139213</v>
      </c>
      <c r="E961" s="4">
        <v>6</v>
      </c>
      <c r="F961" s="5">
        <v>44609</v>
      </c>
      <c r="G961" t="str">
        <f>"202202179139"</f>
        <v>202202179139</v>
      </c>
      <c r="H961" t="str">
        <f>"Mis"</f>
        <v>Mis</v>
      </c>
      <c r="I961" s="4">
        <v>6</v>
      </c>
      <c r="J961" t="str">
        <f>"CRYSTAL YVONNE RODRIGUEZ"</f>
        <v>CRYSTAL YVONNE RODRIGUEZ</v>
      </c>
    </row>
    <row r="962" spans="1:10" x14ac:dyDescent="0.25">
      <c r="A962" t="str">
        <f t="shared" si="32"/>
        <v>01</v>
      </c>
      <c r="B962" t="str">
        <f t="shared" si="33"/>
        <v>1</v>
      </c>
      <c r="C962" t="s">
        <v>351</v>
      </c>
      <c r="D962">
        <v>139214</v>
      </c>
      <c r="E962" s="4">
        <v>6</v>
      </c>
      <c r="F962" s="5">
        <v>44609</v>
      </c>
      <c r="G962" t="str">
        <f>"202202179140"</f>
        <v>202202179140</v>
      </c>
      <c r="H962" t="str">
        <f>"Miscellane"</f>
        <v>Miscellane</v>
      </c>
      <c r="I962" s="4">
        <v>6</v>
      </c>
      <c r="J962" t="str">
        <f>"ANDREW LEE HARPER"</f>
        <v>ANDREW LEE HARPER</v>
      </c>
    </row>
    <row r="963" spans="1:10" x14ac:dyDescent="0.25">
      <c r="A963" t="str">
        <f t="shared" si="32"/>
        <v>01</v>
      </c>
      <c r="B963" t="str">
        <f t="shared" si="33"/>
        <v>1</v>
      </c>
      <c r="C963" t="s">
        <v>352</v>
      </c>
      <c r="D963">
        <v>139215</v>
      </c>
      <c r="E963" s="4">
        <v>6</v>
      </c>
      <c r="F963" s="5">
        <v>44609</v>
      </c>
      <c r="G963" t="str">
        <f>"202202179141"</f>
        <v>202202179141</v>
      </c>
      <c r="H963" t="str">
        <f>"M"</f>
        <v>M</v>
      </c>
      <c r="I963" s="4">
        <v>6</v>
      </c>
      <c r="J963" t="str">
        <f>"CONSUELO GUERRERO STRICKEL"</f>
        <v>CONSUELO GUERRERO STRICKEL</v>
      </c>
    </row>
    <row r="964" spans="1:10" x14ac:dyDescent="0.25">
      <c r="A964" t="str">
        <f t="shared" si="32"/>
        <v>01</v>
      </c>
      <c r="B964" t="str">
        <f t="shared" si="33"/>
        <v>1</v>
      </c>
      <c r="C964" t="s">
        <v>353</v>
      </c>
      <c r="D964">
        <v>139216</v>
      </c>
      <c r="E964" s="4">
        <v>6</v>
      </c>
      <c r="F964" s="5">
        <v>44609</v>
      </c>
      <c r="G964" t="str">
        <f>"202202179142"</f>
        <v>202202179142</v>
      </c>
      <c r="H964" t="str">
        <f>"Mis"</f>
        <v>Mis</v>
      </c>
      <c r="I964" s="4">
        <v>6</v>
      </c>
      <c r="J964" t="str">
        <f>"SOCORRO RODRIGUEZ CADENA"</f>
        <v>SOCORRO RODRIGUEZ CADENA</v>
      </c>
    </row>
    <row r="965" spans="1:10" x14ac:dyDescent="0.25">
      <c r="A965" t="str">
        <f t="shared" si="32"/>
        <v>01</v>
      </c>
      <c r="B965" t="str">
        <f t="shared" si="33"/>
        <v>1</v>
      </c>
      <c r="C965" t="s">
        <v>354</v>
      </c>
      <c r="D965">
        <v>139217</v>
      </c>
      <c r="E965" s="4">
        <v>6</v>
      </c>
      <c r="F965" s="5">
        <v>44609</v>
      </c>
      <c r="G965" t="str">
        <f>"202202179143"</f>
        <v>202202179143</v>
      </c>
      <c r="H965" t="str">
        <f>"Misce"</f>
        <v>Misce</v>
      </c>
      <c r="I965" s="4">
        <v>6</v>
      </c>
      <c r="J965" t="str">
        <f>"KRISTINE MARIE WILHELM"</f>
        <v>KRISTINE MARIE WILHELM</v>
      </c>
    </row>
    <row r="966" spans="1:10" x14ac:dyDescent="0.25">
      <c r="A966" t="str">
        <f t="shared" si="32"/>
        <v>01</v>
      </c>
      <c r="B966" t="str">
        <f t="shared" si="33"/>
        <v>1</v>
      </c>
      <c r="C966" t="s">
        <v>355</v>
      </c>
      <c r="D966">
        <v>139218</v>
      </c>
      <c r="E966" s="4">
        <v>6</v>
      </c>
      <c r="F966" s="5">
        <v>44609</v>
      </c>
      <c r="G966" t="str">
        <f>"202202179144"</f>
        <v>202202179144</v>
      </c>
      <c r="H966" t="str">
        <f>"Miscell"</f>
        <v>Miscell</v>
      </c>
      <c r="I966" s="4">
        <v>6</v>
      </c>
      <c r="J966" t="str">
        <f>"DIXIE LOUISE RUSSELL"</f>
        <v>DIXIE LOUISE RUSSELL</v>
      </c>
    </row>
    <row r="967" spans="1:10" x14ac:dyDescent="0.25">
      <c r="A967" t="str">
        <f t="shared" si="32"/>
        <v>01</v>
      </c>
      <c r="B967" t="str">
        <f t="shared" si="33"/>
        <v>1</v>
      </c>
      <c r="C967" t="s">
        <v>356</v>
      </c>
      <c r="D967">
        <v>139219</v>
      </c>
      <c r="E967" s="4">
        <v>6</v>
      </c>
      <c r="F967" s="5">
        <v>44609</v>
      </c>
      <c r="G967" t="str">
        <f>"202202179145"</f>
        <v>202202179145</v>
      </c>
      <c r="H967" t="str">
        <f>"Miscellaneo"</f>
        <v>Miscellaneo</v>
      </c>
      <c r="I967" s="4">
        <v>6</v>
      </c>
      <c r="J967" t="str">
        <f>"AMY IRENE PAVONE"</f>
        <v>AMY IRENE PAVONE</v>
      </c>
    </row>
    <row r="968" spans="1:10" x14ac:dyDescent="0.25">
      <c r="A968" t="str">
        <f t="shared" si="32"/>
        <v>01</v>
      </c>
      <c r="B968" t="str">
        <f t="shared" si="33"/>
        <v>1</v>
      </c>
      <c r="C968" t="s">
        <v>357</v>
      </c>
      <c r="D968">
        <v>139220</v>
      </c>
      <c r="E968" s="4">
        <v>6</v>
      </c>
      <c r="F968" s="5">
        <v>44609</v>
      </c>
      <c r="G968" t="str">
        <f>"202202179146"</f>
        <v>202202179146</v>
      </c>
      <c r="H968" t="str">
        <f>"M"</f>
        <v>M</v>
      </c>
      <c r="I968" s="4">
        <v>6</v>
      </c>
      <c r="J968" t="str">
        <f>"ELISABETH CECELIA LIEBERUM"</f>
        <v>ELISABETH CECELIA LIEBERUM</v>
      </c>
    </row>
    <row r="969" spans="1:10" x14ac:dyDescent="0.25">
      <c r="A969" t="str">
        <f t="shared" si="32"/>
        <v>01</v>
      </c>
      <c r="B969" t="str">
        <f t="shared" si="33"/>
        <v>1</v>
      </c>
      <c r="C969" t="s">
        <v>358</v>
      </c>
      <c r="D969">
        <v>139221</v>
      </c>
      <c r="E969" s="4">
        <v>86</v>
      </c>
      <c r="F969" s="5">
        <v>44609</v>
      </c>
      <c r="G969" t="str">
        <f>"202202179147"</f>
        <v>202202179147</v>
      </c>
      <c r="H969" t="str">
        <f>"Miscellaneo"</f>
        <v>Miscellaneo</v>
      </c>
      <c r="I969" s="4">
        <v>86</v>
      </c>
      <c r="J969" t="str">
        <f>"RITA KONZ WHITED"</f>
        <v>RITA KONZ WHITED</v>
      </c>
    </row>
    <row r="970" spans="1:10" x14ac:dyDescent="0.25">
      <c r="A970" t="str">
        <f t="shared" si="32"/>
        <v>01</v>
      </c>
      <c r="B970" t="str">
        <f t="shared" si="33"/>
        <v>1</v>
      </c>
      <c r="C970" t="s">
        <v>359</v>
      </c>
      <c r="D970">
        <v>139222</v>
      </c>
      <c r="E970" s="4">
        <v>86</v>
      </c>
      <c r="F970" s="5">
        <v>44609</v>
      </c>
      <c r="G970" t="str">
        <f>"202202179148"</f>
        <v>202202179148</v>
      </c>
      <c r="H970" t="str">
        <f>"Miscellane"</f>
        <v>Miscellane</v>
      </c>
      <c r="I970" s="4">
        <v>86</v>
      </c>
      <c r="J970" t="str">
        <f>"TERA LYNN HEINZKE"</f>
        <v>TERA LYNN HEINZKE</v>
      </c>
    </row>
    <row r="971" spans="1:10" x14ac:dyDescent="0.25">
      <c r="A971" t="str">
        <f t="shared" si="32"/>
        <v>01</v>
      </c>
      <c r="B971" t="str">
        <f t="shared" si="33"/>
        <v>1</v>
      </c>
      <c r="C971" t="s">
        <v>360</v>
      </c>
      <c r="D971">
        <v>139223</v>
      </c>
      <c r="E971" s="4">
        <v>86</v>
      </c>
      <c r="F971" s="5">
        <v>44609</v>
      </c>
      <c r="G971" t="str">
        <f>"202202179149"</f>
        <v>202202179149</v>
      </c>
      <c r="H971" t="str">
        <f>"Miscellane"</f>
        <v>Miscellane</v>
      </c>
      <c r="I971" s="4">
        <v>86</v>
      </c>
      <c r="J971" t="str">
        <f>"SARAH LEA DEERKOP"</f>
        <v>SARAH LEA DEERKOP</v>
      </c>
    </row>
    <row r="972" spans="1:10" x14ac:dyDescent="0.25">
      <c r="A972" t="str">
        <f t="shared" si="32"/>
        <v>01</v>
      </c>
      <c r="B972" t="str">
        <f t="shared" si="33"/>
        <v>1</v>
      </c>
      <c r="C972" t="s">
        <v>361</v>
      </c>
      <c r="D972">
        <v>139224</v>
      </c>
      <c r="E972" s="4">
        <v>86</v>
      </c>
      <c r="F972" s="5">
        <v>44609</v>
      </c>
      <c r="G972" t="str">
        <f>"202202179150"</f>
        <v>202202179150</v>
      </c>
      <c r="H972" t="str">
        <f>"Miscell"</f>
        <v>Miscell</v>
      </c>
      <c r="I972" s="4">
        <v>86</v>
      </c>
      <c r="J972" t="str">
        <f>"TWINK HARRISON POTTS"</f>
        <v>TWINK HARRISON POTTS</v>
      </c>
    </row>
    <row r="973" spans="1:10" x14ac:dyDescent="0.25">
      <c r="A973" t="str">
        <f t="shared" si="32"/>
        <v>01</v>
      </c>
      <c r="B973" t="str">
        <f t="shared" si="33"/>
        <v>1</v>
      </c>
      <c r="C973" t="s">
        <v>362</v>
      </c>
      <c r="D973">
        <v>139225</v>
      </c>
      <c r="E973" s="4">
        <v>6</v>
      </c>
      <c r="F973" s="5">
        <v>44609</v>
      </c>
      <c r="G973" t="str">
        <f>"202202179151"</f>
        <v>202202179151</v>
      </c>
      <c r="H973" t="str">
        <f>"Mi"</f>
        <v>Mi</v>
      </c>
      <c r="I973" s="4">
        <v>6</v>
      </c>
      <c r="J973" t="str">
        <f>"MICHAEL EMERSON SCHNEIDER"</f>
        <v>MICHAEL EMERSON SCHNEIDER</v>
      </c>
    </row>
    <row r="974" spans="1:10" x14ac:dyDescent="0.25">
      <c r="A974" t="str">
        <f t="shared" si="32"/>
        <v>01</v>
      </c>
      <c r="B974" t="str">
        <f t="shared" si="33"/>
        <v>1</v>
      </c>
      <c r="C974" t="s">
        <v>363</v>
      </c>
      <c r="D974">
        <v>139226</v>
      </c>
      <c r="E974" s="4">
        <v>6</v>
      </c>
      <c r="F974" s="5">
        <v>44609</v>
      </c>
      <c r="G974" t="str">
        <f>"202202179152"</f>
        <v>202202179152</v>
      </c>
      <c r="H974" t="str">
        <f>"Miscella"</f>
        <v>Miscella</v>
      </c>
      <c r="I974" s="4">
        <v>6</v>
      </c>
      <c r="J974" t="str">
        <f>"CARL LEE GUTHRIE JR"</f>
        <v>CARL LEE GUTHRIE JR</v>
      </c>
    </row>
    <row r="975" spans="1:10" x14ac:dyDescent="0.25">
      <c r="A975" t="str">
        <f t="shared" si="32"/>
        <v>01</v>
      </c>
      <c r="B975" t="str">
        <f t="shared" si="33"/>
        <v>1</v>
      </c>
      <c r="C975" t="s">
        <v>364</v>
      </c>
      <c r="D975">
        <v>139227</v>
      </c>
      <c r="E975" s="4">
        <v>6</v>
      </c>
      <c r="F975" s="5">
        <v>44609</v>
      </c>
      <c r="G975" t="str">
        <f>"202202179153"</f>
        <v>202202179153</v>
      </c>
      <c r="H975" t="str">
        <f>"Miscellaneo"</f>
        <v>Miscellaneo</v>
      </c>
      <c r="I975" s="4">
        <v>6</v>
      </c>
      <c r="J975" t="str">
        <f>"HARRY DEAN SCOTT"</f>
        <v>HARRY DEAN SCOTT</v>
      </c>
    </row>
    <row r="976" spans="1:10" x14ac:dyDescent="0.25">
      <c r="A976" t="str">
        <f t="shared" si="32"/>
        <v>01</v>
      </c>
      <c r="B976" t="str">
        <f t="shared" si="33"/>
        <v>1</v>
      </c>
      <c r="C976" t="s">
        <v>365</v>
      </c>
      <c r="D976">
        <v>139228</v>
      </c>
      <c r="E976" s="4">
        <v>6</v>
      </c>
      <c r="F976" s="5">
        <v>44609</v>
      </c>
      <c r="G976" t="str">
        <f>"202202179154"</f>
        <v>202202179154</v>
      </c>
      <c r="H976" t="str">
        <f>"Misce"</f>
        <v>Misce</v>
      </c>
      <c r="I976" s="4">
        <v>6</v>
      </c>
      <c r="J976" t="str">
        <f>"KIARA ISABEL CASTANEDA"</f>
        <v>KIARA ISABEL CASTANEDA</v>
      </c>
    </row>
    <row r="977" spans="1:10" x14ac:dyDescent="0.25">
      <c r="A977" t="str">
        <f t="shared" si="32"/>
        <v>01</v>
      </c>
      <c r="B977" t="str">
        <f t="shared" si="33"/>
        <v>1</v>
      </c>
      <c r="C977" t="s">
        <v>366</v>
      </c>
      <c r="D977">
        <v>139229</v>
      </c>
      <c r="E977" s="4">
        <v>6</v>
      </c>
      <c r="F977" s="5">
        <v>44609</v>
      </c>
      <c r="G977" t="str">
        <f>"202202179155"</f>
        <v>202202179155</v>
      </c>
      <c r="H977" t="str">
        <f>"Miscellane"</f>
        <v>Miscellane</v>
      </c>
      <c r="I977" s="4">
        <v>6</v>
      </c>
      <c r="J977" t="str">
        <f>"TERESA LYNN STURM"</f>
        <v>TERESA LYNN STURM</v>
      </c>
    </row>
    <row r="978" spans="1:10" x14ac:dyDescent="0.25">
      <c r="A978" t="str">
        <f t="shared" si="32"/>
        <v>01</v>
      </c>
      <c r="B978" t="str">
        <f t="shared" si="33"/>
        <v>1</v>
      </c>
      <c r="C978" t="s">
        <v>367</v>
      </c>
      <c r="D978">
        <v>139230</v>
      </c>
      <c r="E978" s="4">
        <v>6</v>
      </c>
      <c r="F978" s="5">
        <v>44609</v>
      </c>
      <c r="G978" t="str">
        <f>"202202179156"</f>
        <v>202202179156</v>
      </c>
      <c r="H978" t="str">
        <f>"Miscellaneo"</f>
        <v>Miscellaneo</v>
      </c>
      <c r="I978" s="4">
        <v>6</v>
      </c>
      <c r="J978" t="str">
        <f>"OLIVIA JARAMILLO"</f>
        <v>OLIVIA JARAMILLO</v>
      </c>
    </row>
    <row r="979" spans="1:10" x14ac:dyDescent="0.25">
      <c r="A979" t="str">
        <f t="shared" si="32"/>
        <v>01</v>
      </c>
      <c r="B979" t="str">
        <f t="shared" si="33"/>
        <v>1</v>
      </c>
      <c r="C979" t="s">
        <v>368</v>
      </c>
      <c r="D979">
        <v>139231</v>
      </c>
      <c r="E979" s="4">
        <v>6</v>
      </c>
      <c r="F979" s="5">
        <v>44609</v>
      </c>
      <c r="G979" t="str">
        <f>"202202179157"</f>
        <v>202202179157</v>
      </c>
      <c r="H979" t="str">
        <f>"Miscel"</f>
        <v>Miscel</v>
      </c>
      <c r="I979" s="4">
        <v>6</v>
      </c>
      <c r="J979" t="str">
        <f>"BRIAN LAMONT MILLIGAN"</f>
        <v>BRIAN LAMONT MILLIGAN</v>
      </c>
    </row>
    <row r="980" spans="1:10" x14ac:dyDescent="0.25">
      <c r="A980" t="str">
        <f t="shared" si="32"/>
        <v>01</v>
      </c>
      <c r="B980" t="str">
        <f t="shared" si="33"/>
        <v>1</v>
      </c>
      <c r="C980" t="s">
        <v>369</v>
      </c>
      <c r="D980">
        <v>139232</v>
      </c>
      <c r="E980" s="4">
        <v>6</v>
      </c>
      <c r="F980" s="5">
        <v>44609</v>
      </c>
      <c r="G980" t="str">
        <f>"202202179158"</f>
        <v>202202179158</v>
      </c>
      <c r="H980" t="str">
        <f>"Miscellane"</f>
        <v>Miscellane</v>
      </c>
      <c r="I980" s="4">
        <v>6</v>
      </c>
      <c r="J980" t="str">
        <f>"JANA MARIE MCCANN"</f>
        <v>JANA MARIE MCCANN</v>
      </c>
    </row>
    <row r="981" spans="1:10" x14ac:dyDescent="0.25">
      <c r="A981" t="str">
        <f t="shared" si="32"/>
        <v>01</v>
      </c>
      <c r="B981" t="str">
        <f>"002547"</f>
        <v>002547</v>
      </c>
      <c r="C981" t="s">
        <v>370</v>
      </c>
      <c r="D981">
        <v>139101</v>
      </c>
      <c r="E981" s="4">
        <v>75</v>
      </c>
      <c r="F981" s="5">
        <v>44606</v>
      </c>
      <c r="G981" t="str">
        <f>"12518"</f>
        <v>12518</v>
      </c>
      <c r="H981" t="str">
        <f>"SERVICE"</f>
        <v>SERVICE</v>
      </c>
      <c r="I981" s="4">
        <v>75</v>
      </c>
      <c r="J981" t="str">
        <f>"SERVICE"</f>
        <v>SERVICE</v>
      </c>
    </row>
    <row r="982" spans="1:10" x14ac:dyDescent="0.25">
      <c r="A982" t="str">
        <f t="shared" si="32"/>
        <v>01</v>
      </c>
      <c r="B982" t="str">
        <f>"006851"</f>
        <v>006851</v>
      </c>
      <c r="C982" t="s">
        <v>371</v>
      </c>
      <c r="D982">
        <v>139102</v>
      </c>
      <c r="E982" s="4">
        <v>75</v>
      </c>
      <c r="F982" s="5">
        <v>44606</v>
      </c>
      <c r="G982" t="str">
        <f>"12518"</f>
        <v>12518</v>
      </c>
      <c r="H982" t="str">
        <f>"SERVICE"</f>
        <v>SERVICE</v>
      </c>
      <c r="I982" s="4">
        <v>75</v>
      </c>
      <c r="J982" t="str">
        <f>"SERVICE"</f>
        <v>SERVICE</v>
      </c>
    </row>
    <row r="983" spans="1:10" x14ac:dyDescent="0.25">
      <c r="A983" t="str">
        <f t="shared" si="32"/>
        <v>01</v>
      </c>
      <c r="B983" t="str">
        <f>"189"</f>
        <v>189</v>
      </c>
      <c r="C983" t="s">
        <v>372</v>
      </c>
      <c r="D983">
        <v>139103</v>
      </c>
      <c r="E983" s="4">
        <v>25047.360000000001</v>
      </c>
      <c r="F983" s="5">
        <v>44606</v>
      </c>
      <c r="G983" t="str">
        <f>"8230353238"</f>
        <v>8230353238</v>
      </c>
      <c r="H983" t="str">
        <f>"CUST#1036215277/FEB 2022"</f>
        <v>CUST#1036215277/FEB 2022</v>
      </c>
      <c r="I983" s="4">
        <v>25047.360000000001</v>
      </c>
      <c r="J983" t="str">
        <f>"CUST#1036215277/FEB 2022"</f>
        <v>CUST#1036215277/FEB 2022</v>
      </c>
    </row>
    <row r="984" spans="1:10" x14ac:dyDescent="0.25">
      <c r="A984" t="str">
        <f t="shared" si="32"/>
        <v>01</v>
      </c>
      <c r="B984" t="str">
        <f>"006097"</f>
        <v>006097</v>
      </c>
      <c r="C984" t="s">
        <v>373</v>
      </c>
      <c r="D984">
        <v>139104</v>
      </c>
      <c r="E984" s="4">
        <v>420</v>
      </c>
      <c r="F984" s="5">
        <v>44606</v>
      </c>
      <c r="G984" t="str">
        <f>"202202088752"</f>
        <v>202202088752</v>
      </c>
      <c r="H984" t="str">
        <f>"REIMBURSE COUPON #25064/27366"</f>
        <v>REIMBURSE COUPON #25064/27366</v>
      </c>
      <c r="I984" s="4">
        <v>420</v>
      </c>
      <c r="J984" t="str">
        <f>"REIMBURSE COUPON #25064/27366"</f>
        <v>REIMBURSE COUPON #25064/27366</v>
      </c>
    </row>
    <row r="985" spans="1:10" x14ac:dyDescent="0.25">
      <c r="A985" t="str">
        <f t="shared" si="32"/>
        <v>01</v>
      </c>
      <c r="B985" t="str">
        <f>"006097"</f>
        <v>006097</v>
      </c>
      <c r="C985" t="s">
        <v>373</v>
      </c>
      <c r="D985">
        <v>139330</v>
      </c>
      <c r="E985" s="4">
        <v>30</v>
      </c>
      <c r="F985" s="5">
        <v>44620</v>
      </c>
      <c r="G985" t="str">
        <f>"202202239330"</f>
        <v>202202239330</v>
      </c>
      <c r="H985" t="str">
        <f>"BOND STICKERS/ 23900/25952"</f>
        <v>BOND STICKERS/ 23900/25952</v>
      </c>
      <c r="I985" s="4">
        <v>30</v>
      </c>
      <c r="J985" t="str">
        <f>"BOND STICKERS/ 23900/25952"</f>
        <v>BOND STICKERS/ 23900/25952</v>
      </c>
    </row>
    <row r="986" spans="1:10" x14ac:dyDescent="0.25">
      <c r="A986" t="str">
        <f t="shared" si="32"/>
        <v>01</v>
      </c>
      <c r="B986" t="str">
        <f>"004401"</f>
        <v>004401</v>
      </c>
      <c r="C986" t="s">
        <v>374</v>
      </c>
      <c r="D986">
        <v>5763</v>
      </c>
      <c r="E986" s="4">
        <v>132195.23000000001</v>
      </c>
      <c r="F986" s="5">
        <v>44607</v>
      </c>
      <c r="G986" t="str">
        <f>"299D3"</f>
        <v>299D3</v>
      </c>
      <c r="H986" t="str">
        <f>"MUSTANG MACHINERY COMPANY LTD"</f>
        <v>MUSTANG MACHINERY COMPANY LTD</v>
      </c>
      <c r="I986" s="4">
        <v>132195.23000000001</v>
      </c>
      <c r="J986" t="str">
        <f>"Track Loader"</f>
        <v>Track Loader</v>
      </c>
    </row>
    <row r="987" spans="1:10" x14ac:dyDescent="0.25">
      <c r="A987" t="str">
        <f t="shared" si="32"/>
        <v>01</v>
      </c>
      <c r="B987" t="str">
        <f>"001325"</f>
        <v>001325</v>
      </c>
      <c r="C987" t="s">
        <v>375</v>
      </c>
      <c r="D987">
        <v>139331</v>
      </c>
      <c r="E987" s="4">
        <v>350</v>
      </c>
      <c r="F987" s="5">
        <v>44620</v>
      </c>
      <c r="G987" t="str">
        <f>"202202239326"</f>
        <v>202202239326</v>
      </c>
      <c r="H987" t="str">
        <f>"REGISTRATION/JAYSON SWETNAM"</f>
        <v>REGISTRATION/JAYSON SWETNAM</v>
      </c>
      <c r="I987" s="4">
        <v>350</v>
      </c>
      <c r="J987" t="str">
        <f>"REGISTRATION/JAYSON SWETNAM"</f>
        <v>REGISTRATION/JAYSON SWETNAM</v>
      </c>
    </row>
    <row r="988" spans="1:10" x14ac:dyDescent="0.25">
      <c r="A988" t="str">
        <f t="shared" si="32"/>
        <v>01</v>
      </c>
      <c r="B988" t="str">
        <f>"004694"</f>
        <v>004694</v>
      </c>
      <c r="C988" t="s">
        <v>376</v>
      </c>
      <c r="D988">
        <v>139105</v>
      </c>
      <c r="E988" s="4">
        <v>1014.55</v>
      </c>
      <c r="F988" s="5">
        <v>44606</v>
      </c>
      <c r="G988" t="str">
        <f>"6670194153"</f>
        <v>6670194153</v>
      </c>
      <c r="H988" t="str">
        <f>"PAYER#150344157"</f>
        <v>PAYER#150344157</v>
      </c>
      <c r="I988" s="4">
        <v>1014.55</v>
      </c>
      <c r="J988" t="str">
        <f>"PAYER#150344157"</f>
        <v>PAYER#150344157</v>
      </c>
    </row>
    <row r="989" spans="1:10" x14ac:dyDescent="0.25">
      <c r="A989" t="str">
        <f t="shared" si="32"/>
        <v>01</v>
      </c>
      <c r="B989" t="str">
        <f>"004694"</f>
        <v>004694</v>
      </c>
      <c r="C989" t="s">
        <v>376</v>
      </c>
      <c r="D989">
        <v>139332</v>
      </c>
      <c r="E989" s="4">
        <v>1014.55</v>
      </c>
      <c r="F989" s="5">
        <v>44620</v>
      </c>
      <c r="G989" t="str">
        <f>"6670208653"</f>
        <v>6670208653</v>
      </c>
      <c r="H989" t="str">
        <f>"ACCT#150344157/GENERAL SVCS"</f>
        <v>ACCT#150344157/GENERAL SVCS</v>
      </c>
      <c r="I989" s="4">
        <v>1014.55</v>
      </c>
      <c r="J989" t="str">
        <f>"ACCT#150344157/GENERAL SVCS"</f>
        <v>ACCT#150344157/GENERAL SVCS</v>
      </c>
    </row>
    <row r="990" spans="1:10" x14ac:dyDescent="0.25">
      <c r="A990" t="str">
        <f t="shared" si="32"/>
        <v>01</v>
      </c>
      <c r="B990" t="str">
        <f>"006539"</f>
        <v>006539</v>
      </c>
      <c r="C990" t="s">
        <v>377</v>
      </c>
      <c r="D990">
        <v>139106</v>
      </c>
      <c r="E990" s="4">
        <v>500</v>
      </c>
      <c r="F990" s="5">
        <v>44606</v>
      </c>
      <c r="G990" t="str">
        <f>"202202088803"</f>
        <v>202202088803</v>
      </c>
      <c r="H990" t="str">
        <f>"WELLNESS CENTER/NANCY M. LEWIS"</f>
        <v>WELLNESS CENTER/NANCY M. LEWIS</v>
      </c>
      <c r="I990" s="4">
        <v>500</v>
      </c>
      <c r="J990" t="str">
        <f>"WELLNESS CENTER/NANCY M. LEWIS"</f>
        <v>WELLNESS CENTER/NANCY M. LEWIS</v>
      </c>
    </row>
    <row r="991" spans="1:10" x14ac:dyDescent="0.25">
      <c r="A991" t="str">
        <f t="shared" si="32"/>
        <v>01</v>
      </c>
      <c r="B991" t="str">
        <f>"000562"</f>
        <v>000562</v>
      </c>
      <c r="C991" t="s">
        <v>378</v>
      </c>
      <c r="D991">
        <v>5743</v>
      </c>
      <c r="E991" s="4">
        <v>15930.23</v>
      </c>
      <c r="F991" s="5">
        <v>44607</v>
      </c>
      <c r="G991" t="str">
        <f>"202202088830"</f>
        <v>202202088830</v>
      </c>
      <c r="H991" t="str">
        <f>"INV IN0872263  IN0871947"</f>
        <v>INV IN0872263  IN0871947</v>
      </c>
      <c r="I991" s="4">
        <v>2135.4</v>
      </c>
      <c r="J991" t="str">
        <f>"INV IN0872263"</f>
        <v>INV IN0872263</v>
      </c>
    </row>
    <row r="992" spans="1:10" x14ac:dyDescent="0.25">
      <c r="A992" t="str">
        <f>""</f>
        <v/>
      </c>
      <c r="B992" t="str">
        <f>""</f>
        <v/>
      </c>
      <c r="G992" t="str">
        <f>""</f>
        <v/>
      </c>
      <c r="H992" t="str">
        <f>""</f>
        <v/>
      </c>
      <c r="I992" s="4">
        <v>3704.4</v>
      </c>
      <c r="J992" t="str">
        <f>"INV IN0871947"</f>
        <v>INV IN0871947</v>
      </c>
    </row>
    <row r="993" spans="1:10" x14ac:dyDescent="0.25">
      <c r="A993" t="str">
        <f>""</f>
        <v/>
      </c>
      <c r="B993" t="str">
        <f>""</f>
        <v/>
      </c>
      <c r="G993" t="str">
        <f>""</f>
        <v/>
      </c>
      <c r="H993" t="str">
        <f>""</f>
        <v/>
      </c>
      <c r="I993" s="4">
        <v>4187.25</v>
      </c>
      <c r="J993" t="str">
        <f>"INV IN0872182"</f>
        <v>INV IN0872182</v>
      </c>
    </row>
    <row r="994" spans="1:10" x14ac:dyDescent="0.25">
      <c r="A994" t="str">
        <f>""</f>
        <v/>
      </c>
      <c r="B994" t="str">
        <f>""</f>
        <v/>
      </c>
      <c r="G994" t="str">
        <f>""</f>
        <v/>
      </c>
      <c r="H994" t="str">
        <f>""</f>
        <v/>
      </c>
      <c r="I994" s="4">
        <v>5903.18</v>
      </c>
      <c r="J994" t="str">
        <f>"INV IN0872691"</f>
        <v>INV IN0872691</v>
      </c>
    </row>
    <row r="995" spans="1:10" x14ac:dyDescent="0.25">
      <c r="A995" t="str">
        <f>"01"</f>
        <v>01</v>
      </c>
      <c r="B995" t="str">
        <f>"T13560"</f>
        <v>T13560</v>
      </c>
      <c r="C995" t="s">
        <v>379</v>
      </c>
      <c r="D995">
        <v>139107</v>
      </c>
      <c r="E995" s="4">
        <v>632.11</v>
      </c>
      <c r="F995" s="5">
        <v>44606</v>
      </c>
      <c r="G995" t="str">
        <f>"54959"</f>
        <v>54959</v>
      </c>
      <c r="H995" t="str">
        <f>"SUPPLIES/PCT#2"</f>
        <v>SUPPLIES/PCT#2</v>
      </c>
      <c r="I995" s="4">
        <v>632.11</v>
      </c>
      <c r="J995" t="str">
        <f>"SUPPLIES/PCT#2"</f>
        <v>SUPPLIES/PCT#2</v>
      </c>
    </row>
    <row r="996" spans="1:10" x14ac:dyDescent="0.25">
      <c r="A996" t="str">
        <f>"01"</f>
        <v>01</v>
      </c>
      <c r="B996" t="str">
        <f>"T7758"</f>
        <v>T7758</v>
      </c>
      <c r="C996" t="s">
        <v>380</v>
      </c>
      <c r="D996">
        <v>139333</v>
      </c>
      <c r="E996" s="4">
        <v>13539.92</v>
      </c>
      <c r="F996" s="5">
        <v>44620</v>
      </c>
      <c r="G996" t="str">
        <f>"202202229275"</f>
        <v>202202229275</v>
      </c>
      <c r="H996" t="str">
        <f>"INDIGENT HEALTH"</f>
        <v>INDIGENT HEALTH</v>
      </c>
      <c r="I996" s="4">
        <v>13539.92</v>
      </c>
      <c r="J996" t="str">
        <f>"INDIGENT HEALTH"</f>
        <v>INDIGENT HEALTH</v>
      </c>
    </row>
    <row r="997" spans="1:10" x14ac:dyDescent="0.25">
      <c r="A997" t="str">
        <f>"01"</f>
        <v>01</v>
      </c>
      <c r="B997" t="str">
        <f>"T10762"</f>
        <v>T10762</v>
      </c>
      <c r="C997" t="s">
        <v>381</v>
      </c>
      <c r="D997">
        <v>139108</v>
      </c>
      <c r="E997" s="4">
        <v>166.5</v>
      </c>
      <c r="F997" s="5">
        <v>44606</v>
      </c>
      <c r="G997" t="str">
        <f>"202202088764"</f>
        <v>202202088764</v>
      </c>
      <c r="H997" t="str">
        <f>"NOTARY/PATSY JOHNSON"</f>
        <v>NOTARY/PATSY JOHNSON</v>
      </c>
      <c r="I997" s="4">
        <v>166.5</v>
      </c>
      <c r="J997" t="str">
        <f>"NOTARY/PATSY JOHNSON"</f>
        <v>NOTARY/PATSY JOHNSON</v>
      </c>
    </row>
    <row r="998" spans="1:10" x14ac:dyDescent="0.25">
      <c r="A998" t="str">
        <f>"01"</f>
        <v>01</v>
      </c>
      <c r="B998" t="str">
        <f>"T6614"</f>
        <v>T6614</v>
      </c>
      <c r="C998" t="s">
        <v>382</v>
      </c>
      <c r="D998">
        <v>5803</v>
      </c>
      <c r="E998" s="4">
        <v>179.31</v>
      </c>
      <c r="F998" s="5">
        <v>44607</v>
      </c>
      <c r="G998" t="str">
        <f>"0581-370860"</f>
        <v>0581-370860</v>
      </c>
      <c r="H998" t="str">
        <f>"INV 0581-370860 / 372112"</f>
        <v>INV 0581-370860 / 372112</v>
      </c>
      <c r="I998" s="4">
        <v>53.08</v>
      </c>
      <c r="J998" t="str">
        <f>"INV 0581-370860"</f>
        <v>INV 0581-370860</v>
      </c>
    </row>
    <row r="999" spans="1:10" x14ac:dyDescent="0.25">
      <c r="A999" t="str">
        <f>""</f>
        <v/>
      </c>
      <c r="B999" t="str">
        <f>""</f>
        <v/>
      </c>
      <c r="G999" t="str">
        <f>""</f>
        <v/>
      </c>
      <c r="H999" t="str">
        <f>""</f>
        <v/>
      </c>
      <c r="I999" s="4">
        <v>95.76</v>
      </c>
      <c r="J999" t="str">
        <f>"INV 0581-372112"</f>
        <v>INV 0581-372112</v>
      </c>
    </row>
    <row r="1000" spans="1:10" x14ac:dyDescent="0.25">
      <c r="A1000" t="str">
        <f>""</f>
        <v/>
      </c>
      <c r="B1000" t="str">
        <f>""</f>
        <v/>
      </c>
      <c r="G1000" t="str">
        <f>"1772018"</f>
        <v>1772018</v>
      </c>
      <c r="H1000" t="str">
        <f>"CUST#1772018/PCT#4"</f>
        <v>CUST#1772018/PCT#4</v>
      </c>
      <c r="I1000" s="4">
        <v>30.47</v>
      </c>
      <c r="J1000" t="str">
        <f>"CUST#1772018/PCT#4"</f>
        <v>CUST#1772018/PCT#4</v>
      </c>
    </row>
    <row r="1001" spans="1:10" x14ac:dyDescent="0.25">
      <c r="A1001" t="str">
        <f>"01"</f>
        <v>01</v>
      </c>
      <c r="B1001" t="str">
        <f>"T5769"</f>
        <v>T5769</v>
      </c>
      <c r="C1001" t="s">
        <v>383</v>
      </c>
      <c r="D1001">
        <v>139109</v>
      </c>
      <c r="E1001" s="4">
        <v>3083.55</v>
      </c>
      <c r="F1001" s="5">
        <v>44606</v>
      </c>
      <c r="G1001" t="str">
        <f>"20869803"</f>
        <v>20869803</v>
      </c>
      <c r="H1001" t="str">
        <f>"01.19"</f>
        <v>01.19</v>
      </c>
      <c r="I1001" s="4">
        <v>73.98</v>
      </c>
      <c r="J1001" t="str">
        <f>"221594708001"</f>
        <v>221594708001</v>
      </c>
    </row>
    <row r="1002" spans="1:10" x14ac:dyDescent="0.25">
      <c r="A1002" t="str">
        <f>""</f>
        <v/>
      </c>
      <c r="B1002" t="str">
        <f>""</f>
        <v/>
      </c>
      <c r="G1002" t="str">
        <f>""</f>
        <v/>
      </c>
      <c r="H1002" t="str">
        <f>""</f>
        <v/>
      </c>
      <c r="I1002" s="4">
        <v>189.42</v>
      </c>
      <c r="J1002" t="str">
        <f>"221051996001"</f>
        <v>221051996001</v>
      </c>
    </row>
    <row r="1003" spans="1:10" x14ac:dyDescent="0.25">
      <c r="A1003" t="str">
        <f>""</f>
        <v/>
      </c>
      <c r="B1003" t="str">
        <f>""</f>
        <v/>
      </c>
      <c r="G1003" t="str">
        <f>""</f>
        <v/>
      </c>
      <c r="H1003" t="str">
        <f>""</f>
        <v/>
      </c>
      <c r="I1003" s="4">
        <v>26.85</v>
      </c>
      <c r="J1003" t="str">
        <f>"221054044001"</f>
        <v>221054044001</v>
      </c>
    </row>
    <row r="1004" spans="1:10" x14ac:dyDescent="0.25">
      <c r="A1004" t="str">
        <f>""</f>
        <v/>
      </c>
      <c r="B1004" t="str">
        <f>""</f>
        <v/>
      </c>
      <c r="G1004" t="str">
        <f>""</f>
        <v/>
      </c>
      <c r="H1004" t="str">
        <f>""</f>
        <v/>
      </c>
      <c r="I1004" s="4">
        <v>143.76</v>
      </c>
      <c r="J1004" t="str">
        <f>"221486820001"</f>
        <v>221486820001</v>
      </c>
    </row>
    <row r="1005" spans="1:10" x14ac:dyDescent="0.25">
      <c r="A1005" t="str">
        <f>""</f>
        <v/>
      </c>
      <c r="B1005" t="str">
        <f>""</f>
        <v/>
      </c>
      <c r="G1005" t="str">
        <f>""</f>
        <v/>
      </c>
      <c r="H1005" t="str">
        <f>""</f>
        <v/>
      </c>
      <c r="I1005" s="4">
        <v>16.239999999999998</v>
      </c>
      <c r="J1005" t="str">
        <f>"221489024001"</f>
        <v>221489024001</v>
      </c>
    </row>
    <row r="1006" spans="1:10" x14ac:dyDescent="0.25">
      <c r="A1006" t="str">
        <f>""</f>
        <v/>
      </c>
      <c r="B1006" t="str">
        <f>""</f>
        <v/>
      </c>
      <c r="G1006" t="str">
        <f>""</f>
        <v/>
      </c>
      <c r="H1006" t="str">
        <f>""</f>
        <v/>
      </c>
      <c r="I1006" s="4">
        <v>171.79</v>
      </c>
      <c r="J1006" t="str">
        <f>"220767496001"</f>
        <v>220767496001</v>
      </c>
    </row>
    <row r="1007" spans="1:10" x14ac:dyDescent="0.25">
      <c r="A1007" t="str">
        <f>""</f>
        <v/>
      </c>
      <c r="B1007" t="str">
        <f>""</f>
        <v/>
      </c>
      <c r="G1007" t="str">
        <f>""</f>
        <v/>
      </c>
      <c r="H1007" t="str">
        <f>""</f>
        <v/>
      </c>
      <c r="I1007" s="4">
        <v>130.12</v>
      </c>
      <c r="J1007" t="str">
        <f>"221893340001"</f>
        <v>221893340001</v>
      </c>
    </row>
    <row r="1008" spans="1:10" x14ac:dyDescent="0.25">
      <c r="A1008" t="str">
        <f>""</f>
        <v/>
      </c>
      <c r="B1008" t="str">
        <f>""</f>
        <v/>
      </c>
      <c r="G1008" t="str">
        <f>""</f>
        <v/>
      </c>
      <c r="H1008" t="str">
        <f>""</f>
        <v/>
      </c>
      <c r="I1008" s="4">
        <v>16.940000000000001</v>
      </c>
      <c r="J1008" t="str">
        <f>"221894932001"</f>
        <v>221894932001</v>
      </c>
    </row>
    <row r="1009" spans="1:10" x14ac:dyDescent="0.25">
      <c r="A1009" t="str">
        <f>""</f>
        <v/>
      </c>
      <c r="B1009" t="str">
        <f>""</f>
        <v/>
      </c>
      <c r="G1009" t="str">
        <f>""</f>
        <v/>
      </c>
      <c r="H1009" t="str">
        <f>""</f>
        <v/>
      </c>
      <c r="I1009" s="4">
        <v>35.67</v>
      </c>
      <c r="J1009" t="str">
        <f>"218112188001"</f>
        <v>218112188001</v>
      </c>
    </row>
    <row r="1010" spans="1:10" x14ac:dyDescent="0.25">
      <c r="A1010" t="str">
        <f>""</f>
        <v/>
      </c>
      <c r="B1010" t="str">
        <f>""</f>
        <v/>
      </c>
      <c r="G1010" t="str">
        <f>""</f>
        <v/>
      </c>
      <c r="H1010" t="str">
        <f>""</f>
        <v/>
      </c>
      <c r="I1010" s="4">
        <v>23.78</v>
      </c>
      <c r="J1010" t="str">
        <f>"218112188002"</f>
        <v>218112188002</v>
      </c>
    </row>
    <row r="1011" spans="1:10" x14ac:dyDescent="0.25">
      <c r="A1011" t="str">
        <f>""</f>
        <v/>
      </c>
      <c r="B1011" t="str">
        <f>""</f>
        <v/>
      </c>
      <c r="G1011" t="str">
        <f>""</f>
        <v/>
      </c>
      <c r="H1011" t="str">
        <f>""</f>
        <v/>
      </c>
      <c r="I1011" s="4">
        <v>91.34</v>
      </c>
      <c r="J1011" t="str">
        <f>"219351116001"</f>
        <v>219351116001</v>
      </c>
    </row>
    <row r="1012" spans="1:10" x14ac:dyDescent="0.25">
      <c r="A1012" t="str">
        <f>""</f>
        <v/>
      </c>
      <c r="B1012" t="str">
        <f>""</f>
        <v/>
      </c>
      <c r="G1012" t="str">
        <f>""</f>
        <v/>
      </c>
      <c r="H1012" t="str">
        <f>""</f>
        <v/>
      </c>
      <c r="I1012" s="4">
        <v>12.42</v>
      </c>
      <c r="J1012" t="str">
        <f>"219408046001"</f>
        <v>219408046001</v>
      </c>
    </row>
    <row r="1013" spans="1:10" x14ac:dyDescent="0.25">
      <c r="A1013" t="str">
        <f>""</f>
        <v/>
      </c>
      <c r="B1013" t="str">
        <f>""</f>
        <v/>
      </c>
      <c r="G1013" t="str">
        <f>""</f>
        <v/>
      </c>
      <c r="H1013" t="str">
        <f>""</f>
        <v/>
      </c>
      <c r="I1013" s="4">
        <v>77.84</v>
      </c>
      <c r="J1013" t="str">
        <f>"216096980001"</f>
        <v>216096980001</v>
      </c>
    </row>
    <row r="1014" spans="1:10" x14ac:dyDescent="0.25">
      <c r="A1014" t="str">
        <f>""</f>
        <v/>
      </c>
      <c r="B1014" t="str">
        <f>""</f>
        <v/>
      </c>
      <c r="G1014" t="str">
        <f>""</f>
        <v/>
      </c>
      <c r="H1014" t="str">
        <f>""</f>
        <v/>
      </c>
      <c r="I1014" s="4">
        <v>8.39</v>
      </c>
      <c r="J1014" t="str">
        <f>"216248530001"</f>
        <v>216248530001</v>
      </c>
    </row>
    <row r="1015" spans="1:10" x14ac:dyDescent="0.25">
      <c r="A1015" t="str">
        <f>""</f>
        <v/>
      </c>
      <c r="B1015" t="str">
        <f>""</f>
        <v/>
      </c>
      <c r="G1015" t="str">
        <f>""</f>
        <v/>
      </c>
      <c r="H1015" t="str">
        <f>""</f>
        <v/>
      </c>
      <c r="I1015" s="4">
        <v>90.88</v>
      </c>
      <c r="J1015" t="str">
        <f>"219712635001"</f>
        <v>219712635001</v>
      </c>
    </row>
    <row r="1016" spans="1:10" x14ac:dyDescent="0.25">
      <c r="A1016" t="str">
        <f>""</f>
        <v/>
      </c>
      <c r="B1016" t="str">
        <f>""</f>
        <v/>
      </c>
      <c r="G1016" t="str">
        <f>"21053107"</f>
        <v>21053107</v>
      </c>
      <c r="H1016" t="str">
        <f>"02.04"</f>
        <v>02.04</v>
      </c>
      <c r="I1016" s="4">
        <v>16.47</v>
      </c>
      <c r="J1016" t="str">
        <f>"223728700001"</f>
        <v>223728700001</v>
      </c>
    </row>
    <row r="1017" spans="1:10" x14ac:dyDescent="0.25">
      <c r="A1017" t="str">
        <f>""</f>
        <v/>
      </c>
      <c r="B1017" t="str">
        <f>""</f>
        <v/>
      </c>
      <c r="G1017" t="str">
        <f>""</f>
        <v/>
      </c>
      <c r="H1017" t="str">
        <f>""</f>
        <v/>
      </c>
      <c r="I1017" s="4">
        <v>23.06</v>
      </c>
      <c r="J1017" t="str">
        <f>"223865453001"</f>
        <v>223865453001</v>
      </c>
    </row>
    <row r="1018" spans="1:10" x14ac:dyDescent="0.25">
      <c r="A1018" t="str">
        <f>""</f>
        <v/>
      </c>
      <c r="B1018" t="str">
        <f>""</f>
        <v/>
      </c>
      <c r="G1018" t="str">
        <f>""</f>
        <v/>
      </c>
      <c r="H1018" t="str">
        <f>""</f>
        <v/>
      </c>
      <c r="I1018" s="4">
        <v>16.29</v>
      </c>
      <c r="J1018" t="str">
        <f>"223865460001"</f>
        <v>223865460001</v>
      </c>
    </row>
    <row r="1019" spans="1:10" x14ac:dyDescent="0.25">
      <c r="A1019" t="str">
        <f>""</f>
        <v/>
      </c>
      <c r="B1019" t="str">
        <f>""</f>
        <v/>
      </c>
      <c r="G1019" t="str">
        <f>""</f>
        <v/>
      </c>
      <c r="H1019" t="str">
        <f>""</f>
        <v/>
      </c>
      <c r="I1019" s="4">
        <v>363.14</v>
      </c>
      <c r="J1019" t="str">
        <f>"218464216001"</f>
        <v>218464216001</v>
      </c>
    </row>
    <row r="1020" spans="1:10" x14ac:dyDescent="0.25">
      <c r="A1020" t="str">
        <f>""</f>
        <v/>
      </c>
      <c r="B1020" t="str">
        <f>""</f>
        <v/>
      </c>
      <c r="G1020" t="str">
        <f>""</f>
        <v/>
      </c>
      <c r="H1020" t="str">
        <f>""</f>
        <v/>
      </c>
      <c r="I1020" s="4">
        <v>27.85</v>
      </c>
      <c r="J1020" t="str">
        <f>"223807194001"</f>
        <v>223807194001</v>
      </c>
    </row>
    <row r="1021" spans="1:10" x14ac:dyDescent="0.25">
      <c r="A1021" t="str">
        <f>""</f>
        <v/>
      </c>
      <c r="B1021" t="str">
        <f>""</f>
        <v/>
      </c>
      <c r="G1021" t="str">
        <f>""</f>
        <v/>
      </c>
      <c r="H1021" t="str">
        <f>""</f>
        <v/>
      </c>
      <c r="I1021" s="4">
        <v>219.42</v>
      </c>
      <c r="J1021" t="str">
        <f>"223808493001"</f>
        <v>223808493001</v>
      </c>
    </row>
    <row r="1022" spans="1:10" x14ac:dyDescent="0.25">
      <c r="A1022" t="str">
        <f>""</f>
        <v/>
      </c>
      <c r="B1022" t="str">
        <f>""</f>
        <v/>
      </c>
      <c r="G1022" t="str">
        <f>""</f>
        <v/>
      </c>
      <c r="H1022" t="str">
        <f>""</f>
        <v/>
      </c>
      <c r="I1022" s="4">
        <v>361.14</v>
      </c>
      <c r="J1022" t="str">
        <f>"224212291001"</f>
        <v>224212291001</v>
      </c>
    </row>
    <row r="1023" spans="1:10" x14ac:dyDescent="0.25">
      <c r="A1023" t="str">
        <f>""</f>
        <v/>
      </c>
      <c r="B1023" t="str">
        <f>""</f>
        <v/>
      </c>
      <c r="G1023" t="str">
        <f>""</f>
        <v/>
      </c>
      <c r="H1023" t="str">
        <f>""</f>
        <v/>
      </c>
      <c r="I1023" s="4">
        <v>51.56</v>
      </c>
      <c r="J1023" t="str">
        <f>"224227899001"</f>
        <v>224227899001</v>
      </c>
    </row>
    <row r="1024" spans="1:10" x14ac:dyDescent="0.25">
      <c r="A1024" t="str">
        <f>""</f>
        <v/>
      </c>
      <c r="B1024" t="str">
        <f>""</f>
        <v/>
      </c>
      <c r="G1024" t="str">
        <f>""</f>
        <v/>
      </c>
      <c r="H1024" t="str">
        <f>""</f>
        <v/>
      </c>
      <c r="I1024" s="4">
        <v>65.959999999999994</v>
      </c>
      <c r="J1024" t="str">
        <f>"224228901001"</f>
        <v>224228901001</v>
      </c>
    </row>
    <row r="1025" spans="1:10" x14ac:dyDescent="0.25">
      <c r="A1025" t="str">
        <f>""</f>
        <v/>
      </c>
      <c r="B1025" t="str">
        <f>""</f>
        <v/>
      </c>
      <c r="G1025" t="str">
        <f>""</f>
        <v/>
      </c>
      <c r="H1025" t="str">
        <f>""</f>
        <v/>
      </c>
      <c r="I1025" s="4">
        <v>127.48</v>
      </c>
      <c r="J1025" t="str">
        <f>"224256133001"</f>
        <v>224256133001</v>
      </c>
    </row>
    <row r="1026" spans="1:10" x14ac:dyDescent="0.25">
      <c r="A1026" t="str">
        <f>""</f>
        <v/>
      </c>
      <c r="B1026" t="str">
        <f>""</f>
        <v/>
      </c>
      <c r="G1026" t="str">
        <f>""</f>
        <v/>
      </c>
      <c r="H1026" t="str">
        <f>""</f>
        <v/>
      </c>
      <c r="I1026" s="4">
        <v>22.78</v>
      </c>
      <c r="J1026" t="str">
        <f>"222321425001"</f>
        <v>222321425001</v>
      </c>
    </row>
    <row r="1027" spans="1:10" x14ac:dyDescent="0.25">
      <c r="A1027" t="str">
        <f>""</f>
        <v/>
      </c>
      <c r="B1027" t="str">
        <f>""</f>
        <v/>
      </c>
      <c r="G1027" t="str">
        <f>""</f>
        <v/>
      </c>
      <c r="H1027" t="str">
        <f>""</f>
        <v/>
      </c>
      <c r="I1027" s="4">
        <v>30.57</v>
      </c>
      <c r="J1027" t="str">
        <f>"222324471001"</f>
        <v>222324471001</v>
      </c>
    </row>
    <row r="1028" spans="1:10" x14ac:dyDescent="0.25">
      <c r="A1028" t="str">
        <f>""</f>
        <v/>
      </c>
      <c r="B1028" t="str">
        <f>""</f>
        <v/>
      </c>
      <c r="G1028" t="str">
        <f>""</f>
        <v/>
      </c>
      <c r="H1028" t="str">
        <f>""</f>
        <v/>
      </c>
      <c r="I1028" s="4">
        <v>38.67</v>
      </c>
      <c r="J1028" t="str">
        <f>"222324475001"</f>
        <v>222324475001</v>
      </c>
    </row>
    <row r="1029" spans="1:10" x14ac:dyDescent="0.25">
      <c r="A1029" t="str">
        <f>""</f>
        <v/>
      </c>
      <c r="B1029" t="str">
        <f>""</f>
        <v/>
      </c>
      <c r="G1029" t="str">
        <f>""</f>
        <v/>
      </c>
      <c r="H1029" t="str">
        <f>""</f>
        <v/>
      </c>
      <c r="I1029" s="4">
        <v>23.09</v>
      </c>
      <c r="J1029" t="str">
        <f>"222324477001"</f>
        <v>222324477001</v>
      </c>
    </row>
    <row r="1030" spans="1:10" x14ac:dyDescent="0.25">
      <c r="A1030" t="str">
        <f>""</f>
        <v/>
      </c>
      <c r="B1030" t="str">
        <f>""</f>
        <v/>
      </c>
      <c r="G1030" t="str">
        <f>""</f>
        <v/>
      </c>
      <c r="H1030" t="str">
        <f>""</f>
        <v/>
      </c>
      <c r="I1030" s="4">
        <v>41.28</v>
      </c>
      <c r="J1030" t="str">
        <f>"222324478001"</f>
        <v>222324478001</v>
      </c>
    </row>
    <row r="1031" spans="1:10" x14ac:dyDescent="0.25">
      <c r="A1031" t="str">
        <f>""</f>
        <v/>
      </c>
      <c r="B1031" t="str">
        <f>""</f>
        <v/>
      </c>
      <c r="G1031" t="str">
        <f>""</f>
        <v/>
      </c>
      <c r="H1031" t="str">
        <f>""</f>
        <v/>
      </c>
      <c r="I1031" s="4">
        <v>145.41999999999999</v>
      </c>
      <c r="J1031" t="str">
        <f>"217877405001"</f>
        <v>217877405001</v>
      </c>
    </row>
    <row r="1032" spans="1:10" x14ac:dyDescent="0.25">
      <c r="A1032" t="str">
        <f>""</f>
        <v/>
      </c>
      <c r="B1032" t="str">
        <f>""</f>
        <v/>
      </c>
      <c r="G1032" t="str">
        <f>""</f>
        <v/>
      </c>
      <c r="H1032" t="str">
        <f>""</f>
        <v/>
      </c>
      <c r="I1032" s="4">
        <v>152.88999999999999</v>
      </c>
      <c r="J1032" t="str">
        <f>"222605157001"</f>
        <v>222605157001</v>
      </c>
    </row>
    <row r="1033" spans="1:10" x14ac:dyDescent="0.25">
      <c r="A1033" t="str">
        <f>""</f>
        <v/>
      </c>
      <c r="B1033" t="str">
        <f>""</f>
        <v/>
      </c>
      <c r="G1033" t="str">
        <f>""</f>
        <v/>
      </c>
      <c r="H1033" t="str">
        <f>""</f>
        <v/>
      </c>
      <c r="I1033" s="4">
        <v>31.81</v>
      </c>
      <c r="J1033" t="str">
        <f>"222796165001"</f>
        <v>222796165001</v>
      </c>
    </row>
    <row r="1034" spans="1:10" x14ac:dyDescent="0.25">
      <c r="A1034" t="str">
        <f>""</f>
        <v/>
      </c>
      <c r="B1034" t="str">
        <f>""</f>
        <v/>
      </c>
      <c r="G1034" t="str">
        <f>""</f>
        <v/>
      </c>
      <c r="H1034" t="str">
        <f>""</f>
        <v/>
      </c>
      <c r="I1034" s="4">
        <v>127.49</v>
      </c>
      <c r="J1034" t="str">
        <f>"222796168001"</f>
        <v>222796168001</v>
      </c>
    </row>
    <row r="1035" spans="1:10" x14ac:dyDescent="0.25">
      <c r="A1035" t="str">
        <f>""</f>
        <v/>
      </c>
      <c r="B1035" t="str">
        <f>""</f>
        <v/>
      </c>
      <c r="G1035" t="str">
        <f>""</f>
        <v/>
      </c>
      <c r="H1035" t="str">
        <f>""</f>
        <v/>
      </c>
      <c r="I1035" s="4">
        <v>23.68</v>
      </c>
      <c r="J1035" t="str">
        <f>"223865453001"</f>
        <v>223865453001</v>
      </c>
    </row>
    <row r="1036" spans="1:10" x14ac:dyDescent="0.25">
      <c r="A1036" t="str">
        <f>""</f>
        <v/>
      </c>
      <c r="B1036" t="str">
        <f>""</f>
        <v/>
      </c>
      <c r="G1036" t="str">
        <f>""</f>
        <v/>
      </c>
      <c r="H1036" t="str">
        <f>""</f>
        <v/>
      </c>
      <c r="I1036" s="4">
        <v>64.08</v>
      </c>
      <c r="J1036" t="str">
        <f>"223865460001"</f>
        <v>223865460001</v>
      </c>
    </row>
    <row r="1037" spans="1:10" x14ac:dyDescent="0.25">
      <c r="A1037" t="str">
        <f>"01"</f>
        <v>01</v>
      </c>
      <c r="B1037" t="str">
        <f>"T5769"</f>
        <v>T5769</v>
      </c>
      <c r="C1037" t="s">
        <v>383</v>
      </c>
      <c r="D1037">
        <v>139334</v>
      </c>
      <c r="E1037" s="4">
        <v>1134.4100000000001</v>
      </c>
      <c r="F1037" s="5">
        <v>44620</v>
      </c>
      <c r="G1037" t="str">
        <f>"202202229296"</f>
        <v>202202229296</v>
      </c>
      <c r="H1037" t="str">
        <f>"OFFICE DEPOT"</f>
        <v>OFFICE DEPOT</v>
      </c>
      <c r="I1037" s="4">
        <v>96.58</v>
      </c>
      <c r="J1037" t="str">
        <f>"227947037001"</f>
        <v>227947037001</v>
      </c>
    </row>
    <row r="1038" spans="1:10" x14ac:dyDescent="0.25">
      <c r="A1038" t="str">
        <f>""</f>
        <v/>
      </c>
      <c r="B1038" t="str">
        <f>""</f>
        <v/>
      </c>
      <c r="G1038" t="str">
        <f>""</f>
        <v/>
      </c>
      <c r="H1038" t="str">
        <f>""</f>
        <v/>
      </c>
      <c r="I1038" s="4">
        <v>88.44</v>
      </c>
      <c r="J1038" t="str">
        <f>"227088828001"</f>
        <v>227088828001</v>
      </c>
    </row>
    <row r="1039" spans="1:10" x14ac:dyDescent="0.25">
      <c r="A1039" t="str">
        <f>""</f>
        <v/>
      </c>
      <c r="B1039" t="str">
        <f>""</f>
        <v/>
      </c>
      <c r="G1039" t="str">
        <f>""</f>
        <v/>
      </c>
      <c r="H1039" t="str">
        <f>""</f>
        <v/>
      </c>
      <c r="I1039" s="4">
        <v>87.73</v>
      </c>
      <c r="J1039" t="str">
        <f>"227089352001"</f>
        <v>227089352001</v>
      </c>
    </row>
    <row r="1040" spans="1:10" x14ac:dyDescent="0.25">
      <c r="A1040" t="str">
        <f>""</f>
        <v/>
      </c>
      <c r="B1040" t="str">
        <f>""</f>
        <v/>
      </c>
      <c r="G1040" t="str">
        <f>""</f>
        <v/>
      </c>
      <c r="H1040" t="str">
        <f>""</f>
        <v/>
      </c>
      <c r="I1040" s="4">
        <v>63.74</v>
      </c>
      <c r="J1040" t="str">
        <f>"228802825001"</f>
        <v>228802825001</v>
      </c>
    </row>
    <row r="1041" spans="1:10" x14ac:dyDescent="0.25">
      <c r="A1041" t="str">
        <f>""</f>
        <v/>
      </c>
      <c r="B1041" t="str">
        <f>""</f>
        <v/>
      </c>
      <c r="G1041" t="str">
        <f>""</f>
        <v/>
      </c>
      <c r="H1041" t="str">
        <f>""</f>
        <v/>
      </c>
      <c r="I1041" s="4">
        <v>19.559999999999999</v>
      </c>
      <c r="J1041" t="str">
        <f>"228360264001"</f>
        <v>228360264001</v>
      </c>
    </row>
    <row r="1042" spans="1:10" x14ac:dyDescent="0.25">
      <c r="A1042" t="str">
        <f>""</f>
        <v/>
      </c>
      <c r="B1042" t="str">
        <f>""</f>
        <v/>
      </c>
      <c r="G1042" t="str">
        <f>""</f>
        <v/>
      </c>
      <c r="H1042" t="str">
        <f>""</f>
        <v/>
      </c>
      <c r="I1042" s="4">
        <v>160.68</v>
      </c>
      <c r="J1042" t="str">
        <f>"226805658001"</f>
        <v>226805658001</v>
      </c>
    </row>
    <row r="1043" spans="1:10" x14ac:dyDescent="0.25">
      <c r="A1043" t="str">
        <f>""</f>
        <v/>
      </c>
      <c r="B1043" t="str">
        <f>""</f>
        <v/>
      </c>
      <c r="G1043" t="str">
        <f>""</f>
        <v/>
      </c>
      <c r="H1043" t="str">
        <f>""</f>
        <v/>
      </c>
      <c r="I1043" s="4">
        <v>245.23</v>
      </c>
      <c r="J1043" t="str">
        <f>"228594016001"</f>
        <v>228594016001</v>
      </c>
    </row>
    <row r="1044" spans="1:10" x14ac:dyDescent="0.25">
      <c r="A1044" t="str">
        <f>""</f>
        <v/>
      </c>
      <c r="B1044" t="str">
        <f>""</f>
        <v/>
      </c>
      <c r="G1044" t="str">
        <f>""</f>
        <v/>
      </c>
      <c r="H1044" t="str">
        <f>""</f>
        <v/>
      </c>
      <c r="I1044" s="4">
        <v>55.7</v>
      </c>
      <c r="J1044" t="str">
        <f>"225589343001"</f>
        <v>225589343001</v>
      </c>
    </row>
    <row r="1045" spans="1:10" x14ac:dyDescent="0.25">
      <c r="A1045" t="str">
        <f>""</f>
        <v/>
      </c>
      <c r="B1045" t="str">
        <f>""</f>
        <v/>
      </c>
      <c r="G1045" t="str">
        <f>""</f>
        <v/>
      </c>
      <c r="H1045" t="str">
        <f>""</f>
        <v/>
      </c>
      <c r="I1045" s="4">
        <v>316.75</v>
      </c>
      <c r="J1045" t="str">
        <f>"226663763001"</f>
        <v>226663763001</v>
      </c>
    </row>
    <row r="1046" spans="1:10" x14ac:dyDescent="0.25">
      <c r="A1046" t="str">
        <f>"01"</f>
        <v>01</v>
      </c>
      <c r="B1046" t="str">
        <f>"000877"</f>
        <v>000877</v>
      </c>
      <c r="C1046" t="s">
        <v>384</v>
      </c>
      <c r="D1046">
        <v>139110</v>
      </c>
      <c r="E1046" s="4">
        <v>170</v>
      </c>
      <c r="F1046" s="5">
        <v>44606</v>
      </c>
      <c r="G1046" t="str">
        <f>"289984"</f>
        <v>289984</v>
      </c>
      <c r="H1046" t="str">
        <f>"CUST#BASCOU/HR"</f>
        <v>CUST#BASCOU/HR</v>
      </c>
      <c r="I1046" s="4">
        <v>45</v>
      </c>
      <c r="J1046" t="str">
        <f>"CUST#BASCOU/HR"</f>
        <v>CUST#BASCOU/HR</v>
      </c>
    </row>
    <row r="1047" spans="1:10" x14ac:dyDescent="0.25">
      <c r="A1047" t="str">
        <f>""</f>
        <v/>
      </c>
      <c r="B1047" t="str">
        <f>""</f>
        <v/>
      </c>
      <c r="G1047" t="str">
        <f>""</f>
        <v/>
      </c>
      <c r="H1047" t="str">
        <f>""</f>
        <v/>
      </c>
      <c r="I1047" s="4">
        <v>40</v>
      </c>
      <c r="J1047" t="str">
        <f>"CUST#BASCOU/HR"</f>
        <v>CUST#BASCOU/HR</v>
      </c>
    </row>
    <row r="1048" spans="1:10" x14ac:dyDescent="0.25">
      <c r="A1048" t="str">
        <f>""</f>
        <v/>
      </c>
      <c r="B1048" t="str">
        <f>""</f>
        <v/>
      </c>
      <c r="G1048" t="str">
        <f>""</f>
        <v/>
      </c>
      <c r="H1048" t="str">
        <f>""</f>
        <v/>
      </c>
      <c r="I1048" s="4">
        <v>45</v>
      </c>
      <c r="J1048" t="str">
        <f>"CUST#BASCOU/HR"</f>
        <v>CUST#BASCOU/HR</v>
      </c>
    </row>
    <row r="1049" spans="1:10" x14ac:dyDescent="0.25">
      <c r="A1049" t="str">
        <f>""</f>
        <v/>
      </c>
      <c r="B1049" t="str">
        <f>""</f>
        <v/>
      </c>
      <c r="G1049" t="str">
        <f>""</f>
        <v/>
      </c>
      <c r="H1049" t="str">
        <f>""</f>
        <v/>
      </c>
      <c r="I1049" s="4">
        <v>40</v>
      </c>
      <c r="J1049" t="str">
        <f>"CUST#BASCOU/HR"</f>
        <v>CUST#BASCOU/HR</v>
      </c>
    </row>
    <row r="1050" spans="1:10" x14ac:dyDescent="0.25">
      <c r="A1050" t="str">
        <f t="shared" ref="A1050:A1056" si="34">"01"</f>
        <v>01</v>
      </c>
      <c r="B1050" t="str">
        <f>"000877"</f>
        <v>000877</v>
      </c>
      <c r="C1050" t="s">
        <v>384</v>
      </c>
      <c r="D1050">
        <v>139335</v>
      </c>
      <c r="E1050" s="4">
        <v>40</v>
      </c>
      <c r="F1050" s="5">
        <v>44620</v>
      </c>
      <c r="G1050" t="str">
        <f>"290090"</f>
        <v>290090</v>
      </c>
      <c r="H1050" t="str">
        <f>"CUST#BASCOU"</f>
        <v>CUST#BASCOU</v>
      </c>
      <c r="I1050" s="4">
        <v>40</v>
      </c>
      <c r="J1050" t="str">
        <f>"CUST#BASCOU"</f>
        <v>CUST#BASCOU</v>
      </c>
    </row>
    <row r="1051" spans="1:10" x14ac:dyDescent="0.25">
      <c r="A1051" t="str">
        <f t="shared" si="34"/>
        <v>01</v>
      </c>
      <c r="B1051" t="str">
        <f>"OP"</f>
        <v>OP</v>
      </c>
      <c r="C1051" t="s">
        <v>385</v>
      </c>
      <c r="D1051">
        <v>5794</v>
      </c>
      <c r="E1051" s="4">
        <v>1050</v>
      </c>
      <c r="F1051" s="5">
        <v>44607</v>
      </c>
      <c r="G1051" t="str">
        <f>"3942"</f>
        <v>3942</v>
      </c>
      <c r="H1051" t="str">
        <f>"STAIRWELL DRAIN/COURTHOUSE"</f>
        <v>STAIRWELL DRAIN/COURTHOUSE</v>
      </c>
      <c r="I1051" s="4">
        <v>1050</v>
      </c>
      <c r="J1051" t="str">
        <f>"STAIRWELL DRAIN/COURTHOUSE"</f>
        <v>STAIRWELL DRAIN/COURTHOUSE</v>
      </c>
    </row>
    <row r="1052" spans="1:10" x14ac:dyDescent="0.25">
      <c r="A1052" t="str">
        <f t="shared" si="34"/>
        <v>01</v>
      </c>
      <c r="B1052" t="str">
        <f>"000594"</f>
        <v>000594</v>
      </c>
      <c r="C1052" t="s">
        <v>386</v>
      </c>
      <c r="D1052">
        <v>5744</v>
      </c>
      <c r="E1052" s="4">
        <v>14855.03</v>
      </c>
      <c r="F1052" s="5">
        <v>44607</v>
      </c>
      <c r="G1052" t="str">
        <f>"22001"</f>
        <v>22001</v>
      </c>
      <c r="H1052" t="str">
        <f>"POTHOLE PATCH/PCT#2"</f>
        <v>POTHOLE PATCH/PCT#2</v>
      </c>
      <c r="I1052" s="4">
        <v>14855.03</v>
      </c>
      <c r="J1052" t="str">
        <f>"POTHOLE PATCH/PCT#2"</f>
        <v>POTHOLE PATCH/PCT#2</v>
      </c>
    </row>
    <row r="1053" spans="1:10" x14ac:dyDescent="0.25">
      <c r="A1053" t="str">
        <f t="shared" si="34"/>
        <v>01</v>
      </c>
      <c r="B1053" t="str">
        <f>"PAIGE"</f>
        <v>PAIGE</v>
      </c>
      <c r="C1053" t="s">
        <v>387</v>
      </c>
      <c r="D1053">
        <v>139336</v>
      </c>
      <c r="E1053" s="4">
        <v>488.98</v>
      </c>
      <c r="F1053" s="5">
        <v>44620</v>
      </c>
      <c r="G1053" t="str">
        <f>"88058"</f>
        <v>88058</v>
      </c>
      <c r="H1053" t="str">
        <f>"CHAIN SAW/PCT#1"</f>
        <v>CHAIN SAW/PCT#1</v>
      </c>
      <c r="I1053" s="4">
        <v>488.98</v>
      </c>
      <c r="J1053" t="str">
        <f>"CHAIN SAW/PCT#1"</f>
        <v>CHAIN SAW/PCT#1</v>
      </c>
    </row>
    <row r="1054" spans="1:10" x14ac:dyDescent="0.25">
      <c r="A1054" t="str">
        <f t="shared" si="34"/>
        <v>01</v>
      </c>
      <c r="B1054" t="str">
        <f>"006869"</f>
        <v>006869</v>
      </c>
      <c r="C1054" t="s">
        <v>388</v>
      </c>
      <c r="D1054">
        <v>139337</v>
      </c>
      <c r="E1054" s="4">
        <v>50</v>
      </c>
      <c r="F1054" s="5">
        <v>44620</v>
      </c>
      <c r="G1054" t="str">
        <f>"13181"</f>
        <v>13181</v>
      </c>
      <c r="H1054" t="str">
        <f>"SERVICE"</f>
        <v>SERVICE</v>
      </c>
      <c r="I1054" s="4">
        <v>50</v>
      </c>
      <c r="J1054" t="str">
        <f>"SERVICE"</f>
        <v>SERVICE</v>
      </c>
    </row>
    <row r="1055" spans="1:10" x14ac:dyDescent="0.25">
      <c r="A1055" t="str">
        <f t="shared" si="34"/>
        <v>01</v>
      </c>
      <c r="B1055" t="str">
        <f>"006135"</f>
        <v>006135</v>
      </c>
      <c r="C1055" t="s">
        <v>389</v>
      </c>
      <c r="D1055">
        <v>5776</v>
      </c>
      <c r="E1055" s="4">
        <v>145</v>
      </c>
      <c r="F1055" s="5">
        <v>44607</v>
      </c>
      <c r="G1055" t="str">
        <f>"62102"</f>
        <v>62102</v>
      </c>
      <c r="H1055" t="str">
        <f>"INV 62102"</f>
        <v>INV 62102</v>
      </c>
      <c r="I1055" s="4">
        <v>145</v>
      </c>
      <c r="J1055" t="str">
        <f>"INV 62102"</f>
        <v>INV 62102</v>
      </c>
    </row>
    <row r="1056" spans="1:10" x14ac:dyDescent="0.25">
      <c r="A1056" t="str">
        <f t="shared" si="34"/>
        <v>01</v>
      </c>
      <c r="B1056" t="str">
        <f>"003566"</f>
        <v>003566</v>
      </c>
      <c r="C1056" t="s">
        <v>390</v>
      </c>
      <c r="D1056">
        <v>139111</v>
      </c>
      <c r="E1056" s="4">
        <v>103.92</v>
      </c>
      <c r="F1056" s="5">
        <v>44606</v>
      </c>
      <c r="G1056" t="str">
        <f>"202202098865"</f>
        <v>202202098865</v>
      </c>
      <c r="H1056" t="str">
        <f>"CUST#PK001137/PCT#4"</f>
        <v>CUST#PK001137/PCT#4</v>
      </c>
      <c r="I1056" s="4">
        <v>83.26</v>
      </c>
      <c r="J1056" t="str">
        <f>"CUST#PK001137/PCT#4"</f>
        <v>CUST#PK001137/PCT#4</v>
      </c>
    </row>
    <row r="1057" spans="1:10" x14ac:dyDescent="0.25">
      <c r="A1057" t="str">
        <f>""</f>
        <v/>
      </c>
      <c r="B1057" t="str">
        <f>""</f>
        <v/>
      </c>
      <c r="G1057" t="str">
        <f>""</f>
        <v/>
      </c>
      <c r="H1057" t="str">
        <f>""</f>
        <v/>
      </c>
      <c r="I1057" s="4">
        <v>20.66</v>
      </c>
      <c r="J1057" t="str">
        <f>"CUST#PK001137/PCT#4"</f>
        <v>CUST#PK001137/PCT#4</v>
      </c>
    </row>
    <row r="1058" spans="1:10" x14ac:dyDescent="0.25">
      <c r="A1058" t="str">
        <f>"01"</f>
        <v>01</v>
      </c>
      <c r="B1058" t="str">
        <f>"003875"</f>
        <v>003875</v>
      </c>
      <c r="C1058" t="s">
        <v>391</v>
      </c>
      <c r="D1058">
        <v>139112</v>
      </c>
      <c r="E1058" s="4">
        <v>5270</v>
      </c>
      <c r="F1058" s="5">
        <v>44606</v>
      </c>
      <c r="G1058" t="str">
        <f>"29682653"</f>
        <v>29682653</v>
      </c>
      <c r="H1058" t="str">
        <f>"GAS LINES IN KENNELS/ANIMAL"</f>
        <v>GAS LINES IN KENNELS/ANIMAL</v>
      </c>
      <c r="I1058" s="4">
        <v>3850</v>
      </c>
      <c r="J1058" t="str">
        <f>"GAS LINES IN KENNELS/ANIMAL"</f>
        <v>GAS LINES IN KENNELS/ANIMAL</v>
      </c>
    </row>
    <row r="1059" spans="1:10" x14ac:dyDescent="0.25">
      <c r="A1059" t="str">
        <f>""</f>
        <v/>
      </c>
      <c r="B1059" t="str">
        <f>""</f>
        <v/>
      </c>
      <c r="G1059" t="str">
        <f>"31030364"</f>
        <v>31030364</v>
      </c>
      <c r="H1059" t="str">
        <f>"REMOVING HEATERS/ANIMAL SHELTE"</f>
        <v>REMOVING HEATERS/ANIMAL SHELTE</v>
      </c>
      <c r="I1059" s="4">
        <v>1420</v>
      </c>
      <c r="J1059" t="str">
        <f>"REMOVING HEATERS/ANIMAL SHELTE"</f>
        <v>REMOVING HEATERS/ANIMAL SHELTE</v>
      </c>
    </row>
    <row r="1060" spans="1:10" x14ac:dyDescent="0.25">
      <c r="A1060" t="str">
        <f>"01"</f>
        <v>01</v>
      </c>
      <c r="B1060" t="str">
        <f>"WEBSTE"</f>
        <v>WEBSTE</v>
      </c>
      <c r="C1060" t="s">
        <v>392</v>
      </c>
      <c r="D1060">
        <v>139113</v>
      </c>
      <c r="E1060" s="4">
        <v>1742.93</v>
      </c>
      <c r="F1060" s="5">
        <v>44606</v>
      </c>
      <c r="G1060" t="str">
        <f>"202202088805"</f>
        <v>202202088805</v>
      </c>
      <c r="H1060" t="str">
        <f>"ACCT#0200140783/ANIMAL SHELTER"</f>
        <v>ACCT#0200140783/ANIMAL SHELTER</v>
      </c>
      <c r="I1060" s="4">
        <v>862.11</v>
      </c>
      <c r="J1060" t="str">
        <f>"ACCT#0200140783/ANIMAL SHELTER"</f>
        <v>ACCT#0200140783/ANIMAL SHELTER</v>
      </c>
    </row>
    <row r="1061" spans="1:10" x14ac:dyDescent="0.25">
      <c r="A1061" t="str">
        <f>""</f>
        <v/>
      </c>
      <c r="B1061" t="str">
        <f>""</f>
        <v/>
      </c>
      <c r="G1061" t="str">
        <f>""</f>
        <v/>
      </c>
      <c r="H1061" t="str">
        <f>""</f>
        <v/>
      </c>
      <c r="I1061" s="4">
        <v>416.7</v>
      </c>
      <c r="J1061" t="str">
        <f>"ACCT#0200140783/ANIMAL SHELTER"</f>
        <v>ACCT#0200140783/ANIMAL SHELTER</v>
      </c>
    </row>
    <row r="1062" spans="1:10" x14ac:dyDescent="0.25">
      <c r="A1062" t="str">
        <f>""</f>
        <v/>
      </c>
      <c r="B1062" t="str">
        <f>""</f>
        <v/>
      </c>
      <c r="G1062" t="str">
        <f>""</f>
        <v/>
      </c>
      <c r="H1062" t="str">
        <f>""</f>
        <v/>
      </c>
      <c r="I1062" s="4">
        <v>464.12</v>
      </c>
      <c r="J1062" t="str">
        <f>"ACCT#0200140783/ANIMAL SHELTER"</f>
        <v>ACCT#0200140783/ANIMAL SHELTER</v>
      </c>
    </row>
    <row r="1063" spans="1:10" x14ac:dyDescent="0.25">
      <c r="A1063" t="str">
        <f>"01"</f>
        <v>01</v>
      </c>
      <c r="B1063" t="str">
        <f>"002471"</f>
        <v>002471</v>
      </c>
      <c r="C1063" t="s">
        <v>393</v>
      </c>
      <c r="D1063">
        <v>139114</v>
      </c>
      <c r="E1063" s="4">
        <v>31500</v>
      </c>
      <c r="F1063" s="5">
        <v>44606</v>
      </c>
      <c r="G1063" t="str">
        <f>"446620"</f>
        <v>446620</v>
      </c>
      <c r="H1063" t="str">
        <f>"CLIENT NO#20442"</f>
        <v>CLIENT NO#20442</v>
      </c>
      <c r="I1063" s="4">
        <v>31500</v>
      </c>
      <c r="J1063" t="str">
        <f>"CLIENT NO#20442"</f>
        <v>CLIENT NO#20442</v>
      </c>
    </row>
    <row r="1064" spans="1:10" x14ac:dyDescent="0.25">
      <c r="A1064" t="str">
        <f>"01"</f>
        <v>01</v>
      </c>
      <c r="B1064" t="str">
        <f>"001854"</f>
        <v>001854</v>
      </c>
      <c r="C1064" t="s">
        <v>394</v>
      </c>
      <c r="D1064">
        <v>5749</v>
      </c>
      <c r="E1064" s="4">
        <v>793</v>
      </c>
      <c r="F1064" s="5">
        <v>44607</v>
      </c>
      <c r="G1064" t="str">
        <f>"202202088789"</f>
        <v>202202088789</v>
      </c>
      <c r="H1064" t="str">
        <f>"TRASH REMOVAL/PAUL GRANADO"</f>
        <v>TRASH REMOVAL/PAUL GRANADO</v>
      </c>
      <c r="I1064" s="4">
        <v>474.5</v>
      </c>
      <c r="J1064" t="str">
        <f>"TRASH REMOVAL/PAUL GRANADO"</f>
        <v>TRASH REMOVAL/PAUL GRANADO</v>
      </c>
    </row>
    <row r="1065" spans="1:10" x14ac:dyDescent="0.25">
      <c r="A1065" t="str">
        <f>""</f>
        <v/>
      </c>
      <c r="B1065" t="str">
        <f>""</f>
        <v/>
      </c>
      <c r="G1065" t="str">
        <f>"202202088790"</f>
        <v>202202088790</v>
      </c>
      <c r="H1065" t="str">
        <f>"TRASH REMOVAL/PAUL GRANADO"</f>
        <v>TRASH REMOVAL/PAUL GRANADO</v>
      </c>
      <c r="I1065" s="4">
        <v>318.5</v>
      </c>
      <c r="J1065" t="str">
        <f>"TRASH REMOVAL/PAUL GRANADO"</f>
        <v>TRASH REMOVAL/PAUL GRANADO</v>
      </c>
    </row>
    <row r="1066" spans="1:10" x14ac:dyDescent="0.25">
      <c r="A1066" t="str">
        <f>"01"</f>
        <v>01</v>
      </c>
      <c r="B1066" t="str">
        <f>"T3547"</f>
        <v>T3547</v>
      </c>
      <c r="C1066" t="s">
        <v>395</v>
      </c>
      <c r="D1066">
        <v>139115</v>
      </c>
      <c r="E1066" s="4">
        <v>6000</v>
      </c>
      <c r="F1066" s="5">
        <v>44606</v>
      </c>
      <c r="G1066" t="str">
        <f>"13069771"</f>
        <v>13069771</v>
      </c>
      <c r="H1066" t="str">
        <f>"2017/2018/2021 COMBINATION TAX"</f>
        <v>2017/2018/2021 COMBINATION TAX</v>
      </c>
      <c r="I1066" s="4">
        <v>6000</v>
      </c>
      <c r="J1066" t="str">
        <f>"2017/2018/2021 COMBINATION TAX"</f>
        <v>2017/2018/2021 COMBINATION TAX</v>
      </c>
    </row>
    <row r="1067" spans="1:10" x14ac:dyDescent="0.25">
      <c r="A1067" t="str">
        <f>"01"</f>
        <v>01</v>
      </c>
      <c r="B1067" t="str">
        <f>"000192"</f>
        <v>000192</v>
      </c>
      <c r="C1067" t="s">
        <v>396</v>
      </c>
      <c r="D1067">
        <v>139338</v>
      </c>
      <c r="E1067" s="4">
        <v>125</v>
      </c>
      <c r="F1067" s="5">
        <v>44620</v>
      </c>
      <c r="G1067" t="str">
        <f>"202202239340"</f>
        <v>202202239340</v>
      </c>
      <c r="H1067" t="str">
        <f>"REIMBURSE/PHILIP L HALL"</f>
        <v>REIMBURSE/PHILIP L HALL</v>
      </c>
      <c r="I1067" s="4">
        <v>125</v>
      </c>
      <c r="J1067" t="str">
        <f>"REIMBURSE/PHILIP L HALL"</f>
        <v>REIMBURSE/PHILIP L HALL</v>
      </c>
    </row>
    <row r="1068" spans="1:10" x14ac:dyDescent="0.25">
      <c r="A1068" t="str">
        <f>"01"</f>
        <v>01</v>
      </c>
      <c r="B1068" t="str">
        <f>"PRD"</f>
        <v>PRD</v>
      </c>
      <c r="C1068" t="s">
        <v>397</v>
      </c>
      <c r="D1068">
        <v>5795</v>
      </c>
      <c r="E1068" s="4">
        <v>4462.5</v>
      </c>
      <c r="F1068" s="5">
        <v>44607</v>
      </c>
      <c r="G1068" t="str">
        <f>"202201258551"</f>
        <v>202201258551</v>
      </c>
      <c r="H1068" t="str">
        <f>"21-21068"</f>
        <v>21-21068</v>
      </c>
      <c r="I1068" s="4">
        <v>400</v>
      </c>
      <c r="J1068" t="str">
        <f>"21-21068"</f>
        <v>21-21068</v>
      </c>
    </row>
    <row r="1069" spans="1:10" x14ac:dyDescent="0.25">
      <c r="A1069" t="str">
        <f>""</f>
        <v/>
      </c>
      <c r="B1069" t="str">
        <f>""</f>
        <v/>
      </c>
      <c r="G1069" t="str">
        <f>"202201258552"</f>
        <v>202201258552</v>
      </c>
      <c r="H1069" t="str">
        <f>"21-20635"</f>
        <v>21-20635</v>
      </c>
      <c r="I1069" s="4">
        <v>493.75</v>
      </c>
      <c r="J1069" t="str">
        <f>"21-20635"</f>
        <v>21-20635</v>
      </c>
    </row>
    <row r="1070" spans="1:10" x14ac:dyDescent="0.25">
      <c r="A1070" t="str">
        <f>""</f>
        <v/>
      </c>
      <c r="B1070" t="str">
        <f>""</f>
        <v/>
      </c>
      <c r="G1070" t="str">
        <f>"202202028707"</f>
        <v>202202028707</v>
      </c>
      <c r="H1070" t="str">
        <f>"4081220-3"</f>
        <v>4081220-3</v>
      </c>
      <c r="I1070" s="4">
        <v>250</v>
      </c>
      <c r="J1070" t="str">
        <f>"4081220-3"</f>
        <v>4081220-3</v>
      </c>
    </row>
    <row r="1071" spans="1:10" x14ac:dyDescent="0.25">
      <c r="A1071" t="str">
        <f>""</f>
        <v/>
      </c>
      <c r="B1071" t="str">
        <f>""</f>
        <v/>
      </c>
      <c r="G1071" t="str">
        <f>"202202028708"</f>
        <v>202202028708</v>
      </c>
      <c r="H1071" t="str">
        <f>"J-3262"</f>
        <v>J-3262</v>
      </c>
      <c r="I1071" s="4">
        <v>250</v>
      </c>
      <c r="J1071" t="str">
        <f>"J-3262"</f>
        <v>J-3262</v>
      </c>
    </row>
    <row r="1072" spans="1:10" x14ac:dyDescent="0.25">
      <c r="A1072" t="str">
        <f>""</f>
        <v/>
      </c>
      <c r="B1072" t="str">
        <f>""</f>
        <v/>
      </c>
      <c r="G1072" t="str">
        <f>"202202098852"</f>
        <v>202202098852</v>
      </c>
      <c r="H1072" t="str">
        <f>"21-21036"</f>
        <v>21-21036</v>
      </c>
      <c r="I1072" s="4">
        <v>275</v>
      </c>
      <c r="J1072" t="str">
        <f>"21-21036"</f>
        <v>21-21036</v>
      </c>
    </row>
    <row r="1073" spans="1:10" x14ac:dyDescent="0.25">
      <c r="A1073" t="str">
        <f>""</f>
        <v/>
      </c>
      <c r="B1073" t="str">
        <f>""</f>
        <v/>
      </c>
      <c r="G1073" t="str">
        <f>"202202098853"</f>
        <v>202202098853</v>
      </c>
      <c r="H1073" t="str">
        <f>"21-20884"</f>
        <v>21-20884</v>
      </c>
      <c r="I1073" s="4">
        <v>931.25</v>
      </c>
      <c r="J1073" t="str">
        <f>"21-20884"</f>
        <v>21-20884</v>
      </c>
    </row>
    <row r="1074" spans="1:10" x14ac:dyDescent="0.25">
      <c r="A1074" t="str">
        <f>""</f>
        <v/>
      </c>
      <c r="B1074" t="str">
        <f>""</f>
        <v/>
      </c>
      <c r="G1074" t="str">
        <f>"202202098854"</f>
        <v>202202098854</v>
      </c>
      <c r="H1074" t="str">
        <f>"21-20677"</f>
        <v>21-20677</v>
      </c>
      <c r="I1074" s="4">
        <v>1862.5</v>
      </c>
      <c r="J1074" t="str">
        <f>"21-20677"</f>
        <v>21-20677</v>
      </c>
    </row>
    <row r="1075" spans="1:10" x14ac:dyDescent="0.25">
      <c r="A1075" t="str">
        <f>"01"</f>
        <v>01</v>
      </c>
      <c r="B1075" t="str">
        <f>"PCAS"</f>
        <v>PCAS</v>
      </c>
      <c r="C1075" t="s">
        <v>398</v>
      </c>
      <c r="D1075">
        <v>139339</v>
      </c>
      <c r="E1075" s="4">
        <v>237</v>
      </c>
      <c r="F1075" s="5">
        <v>44620</v>
      </c>
      <c r="G1075" t="str">
        <f>"003215"</f>
        <v>003215</v>
      </c>
      <c r="H1075" t="str">
        <f>"STATE INSPECTIONS/PCT#3"</f>
        <v>STATE INSPECTIONS/PCT#3</v>
      </c>
      <c r="I1075" s="4">
        <v>230</v>
      </c>
      <c r="J1075" t="str">
        <f>"STATE INSPECTIONS/PCT#3"</f>
        <v>STATE INSPECTIONS/PCT#3</v>
      </c>
    </row>
    <row r="1076" spans="1:10" x14ac:dyDescent="0.25">
      <c r="A1076" t="str">
        <f>""</f>
        <v/>
      </c>
      <c r="B1076" t="str">
        <f>""</f>
        <v/>
      </c>
      <c r="G1076" t="str">
        <f>"003215-1"</f>
        <v>003215-1</v>
      </c>
      <c r="H1076" t="str">
        <f>"STATE INSPECTIONS/PCT#4"</f>
        <v>STATE INSPECTIONS/PCT#4</v>
      </c>
      <c r="I1076" s="4">
        <v>7</v>
      </c>
      <c r="J1076" t="str">
        <f>"STATE INSPECTIONS/PCT#4"</f>
        <v>STATE INSPECTIONS/PCT#4</v>
      </c>
    </row>
    <row r="1077" spans="1:10" x14ac:dyDescent="0.25">
      <c r="A1077" t="str">
        <f>"01"</f>
        <v>01</v>
      </c>
      <c r="B1077" t="str">
        <f>"PPLAN"</f>
        <v>PPLAN</v>
      </c>
      <c r="C1077" t="s">
        <v>399</v>
      </c>
      <c r="D1077">
        <v>139116</v>
      </c>
      <c r="E1077" s="4">
        <v>148.91</v>
      </c>
      <c r="F1077" s="5">
        <v>44606</v>
      </c>
      <c r="G1077" t="str">
        <f>"202202088799"</f>
        <v>202202088799</v>
      </c>
      <c r="H1077" t="str">
        <f>"ACCT#8850283308/PCT#1"</f>
        <v>ACCT#8850283308/PCT#1</v>
      </c>
      <c r="I1077" s="4">
        <v>148.91</v>
      </c>
      <c r="J1077" t="str">
        <f>"ACCT#8850283308/PCT#1"</f>
        <v>ACCT#8850283308/PCT#1</v>
      </c>
    </row>
    <row r="1078" spans="1:10" x14ac:dyDescent="0.25">
      <c r="A1078" t="str">
        <f>"01"</f>
        <v>01</v>
      </c>
      <c r="B1078" t="str">
        <f>"T11244"</f>
        <v>T11244</v>
      </c>
      <c r="C1078" t="s">
        <v>400</v>
      </c>
      <c r="D1078">
        <v>139117</v>
      </c>
      <c r="E1078" s="4">
        <v>622.1</v>
      </c>
      <c r="F1078" s="5">
        <v>44606</v>
      </c>
      <c r="G1078" t="str">
        <f>"1126649"</f>
        <v>1126649</v>
      </c>
      <c r="H1078" t="str">
        <f>"GLASS DOOR/PCT#4"</f>
        <v>GLASS DOOR/PCT#4</v>
      </c>
      <c r="I1078" s="4">
        <v>622.1</v>
      </c>
      <c r="J1078" t="str">
        <f>"GLASS DOOR/PCT#4"</f>
        <v>GLASS DOOR/PCT#4</v>
      </c>
    </row>
    <row r="1079" spans="1:10" x14ac:dyDescent="0.25">
      <c r="A1079" t="str">
        <f>"01"</f>
        <v>01</v>
      </c>
      <c r="B1079" t="str">
        <f>"T8663"</f>
        <v>T8663</v>
      </c>
      <c r="C1079" t="s">
        <v>401</v>
      </c>
      <c r="D1079">
        <v>139118</v>
      </c>
      <c r="E1079" s="4">
        <v>492</v>
      </c>
      <c r="F1079" s="5">
        <v>44606</v>
      </c>
      <c r="G1079" t="str">
        <f>"BCCP02491720"</f>
        <v>BCCP02491720</v>
      </c>
      <c r="H1079" t="str">
        <f>"CUST#BCCP024"</f>
        <v>CUST#BCCP024</v>
      </c>
      <c r="I1079" s="4">
        <v>162</v>
      </c>
      <c r="J1079" t="str">
        <f>"CUST#BCCP024"</f>
        <v>CUST#BCCP024</v>
      </c>
    </row>
    <row r="1080" spans="1:10" x14ac:dyDescent="0.25">
      <c r="A1080" t="str">
        <f>""</f>
        <v/>
      </c>
      <c r="B1080" t="str">
        <f>""</f>
        <v/>
      </c>
      <c r="G1080" t="str">
        <f>"BCEC0021722"</f>
        <v>BCEC0021722</v>
      </c>
      <c r="H1080" t="str">
        <f>"CUST#BCEC002"</f>
        <v>CUST#BCEC002</v>
      </c>
      <c r="I1080" s="4">
        <v>330</v>
      </c>
      <c r="J1080" t="str">
        <f>"CUST#BCEC002"</f>
        <v>CUST#BCEC002</v>
      </c>
    </row>
    <row r="1081" spans="1:10" x14ac:dyDescent="0.25">
      <c r="A1081" t="str">
        <f>"01"</f>
        <v>01</v>
      </c>
      <c r="B1081" t="str">
        <f>"005644"</f>
        <v>005644</v>
      </c>
      <c r="C1081" t="s">
        <v>402</v>
      </c>
      <c r="D1081">
        <v>139119</v>
      </c>
      <c r="E1081" s="4">
        <v>50</v>
      </c>
      <c r="F1081" s="5">
        <v>44606</v>
      </c>
      <c r="G1081" t="str">
        <f>"16-181 1/24/22"</f>
        <v>16-181 1/24/22</v>
      </c>
      <c r="H1081" t="str">
        <f>"RESTITUTION/COY FERRIS"</f>
        <v>RESTITUTION/COY FERRIS</v>
      </c>
      <c r="I1081" s="4">
        <v>50</v>
      </c>
      <c r="J1081" t="str">
        <f>"RESTITUTION/COY FERRIS"</f>
        <v>RESTITUTION/COY FERRIS</v>
      </c>
    </row>
    <row r="1082" spans="1:10" x14ac:dyDescent="0.25">
      <c r="A1082" t="str">
        <f>"01"</f>
        <v>01</v>
      </c>
      <c r="B1082" t="str">
        <f>"002297"</f>
        <v>002297</v>
      </c>
      <c r="C1082" t="s">
        <v>403</v>
      </c>
      <c r="D1082">
        <v>139120</v>
      </c>
      <c r="E1082" s="4">
        <v>1635</v>
      </c>
      <c r="F1082" s="5">
        <v>44606</v>
      </c>
      <c r="G1082" t="str">
        <f>"2021154"</f>
        <v>2021154</v>
      </c>
      <c r="H1082" t="str">
        <f>"TRANSPORT/BARBARA PARSONS"</f>
        <v>TRANSPORT/BARBARA PARSONS</v>
      </c>
      <c r="I1082" s="4">
        <v>695</v>
      </c>
      <c r="J1082" t="str">
        <f>"TRANSPORT/BARBARA PARSONS"</f>
        <v>TRANSPORT/BARBARA PARSONS</v>
      </c>
    </row>
    <row r="1083" spans="1:10" x14ac:dyDescent="0.25">
      <c r="A1083" t="str">
        <f>""</f>
        <v/>
      </c>
      <c r="B1083" t="str">
        <f>""</f>
        <v/>
      </c>
      <c r="G1083" t="str">
        <f>"202202088762"</f>
        <v>202202088762</v>
      </c>
      <c r="H1083" t="str">
        <f>"TRANSPORT/JARED STAATS"</f>
        <v>TRANSPORT/JARED STAATS</v>
      </c>
      <c r="I1083" s="4">
        <v>545</v>
      </c>
      <c r="J1083" t="str">
        <f>"TRANSPORT/JARED STAATS"</f>
        <v>TRANSPORT/JARED STAATS</v>
      </c>
    </row>
    <row r="1084" spans="1:10" x14ac:dyDescent="0.25">
      <c r="A1084" t="str">
        <f>""</f>
        <v/>
      </c>
      <c r="B1084" t="str">
        <f>""</f>
        <v/>
      </c>
      <c r="G1084" t="str">
        <f>"202202088763"</f>
        <v>202202088763</v>
      </c>
      <c r="H1084" t="str">
        <f>"TRANSPORT/DELOIS BOGLE"</f>
        <v>TRANSPORT/DELOIS BOGLE</v>
      </c>
      <c r="I1084" s="4">
        <v>395</v>
      </c>
      <c r="J1084" t="str">
        <f>"TRANSPORT/DELOIS BOGLE"</f>
        <v>TRANSPORT/DELOIS BOGLE</v>
      </c>
    </row>
    <row r="1085" spans="1:10" x14ac:dyDescent="0.25">
      <c r="A1085" t="str">
        <f>"01"</f>
        <v>01</v>
      </c>
      <c r="B1085" t="str">
        <f>"006222"</f>
        <v>006222</v>
      </c>
      <c r="C1085" t="s">
        <v>404</v>
      </c>
      <c r="D1085">
        <v>139340</v>
      </c>
      <c r="E1085" s="4">
        <v>489.5</v>
      </c>
      <c r="F1085" s="5">
        <v>44620</v>
      </c>
      <c r="G1085" t="str">
        <f>"345593"</f>
        <v>345593</v>
      </c>
      <c r="H1085" t="str">
        <f>"ANNUAL FIRE EXT/PCT#2"</f>
        <v>ANNUAL FIRE EXT/PCT#2</v>
      </c>
      <c r="I1085" s="4">
        <v>489.5</v>
      </c>
      <c r="J1085" t="str">
        <f>"ANNUAL FIRE EXT/PCT#2"</f>
        <v>ANNUAL FIRE EXT/PCT#2</v>
      </c>
    </row>
    <row r="1086" spans="1:10" x14ac:dyDescent="0.25">
      <c r="A1086" t="str">
        <f>"01"</f>
        <v>01</v>
      </c>
      <c r="B1086" t="str">
        <f>"T11156"</f>
        <v>T11156</v>
      </c>
      <c r="C1086" t="s">
        <v>405</v>
      </c>
      <c r="D1086">
        <v>139341</v>
      </c>
      <c r="E1086" s="4">
        <v>75</v>
      </c>
      <c r="F1086" s="5">
        <v>44620</v>
      </c>
      <c r="G1086" t="str">
        <f>"202202229276"</f>
        <v>202202229276</v>
      </c>
      <c r="H1086" t="str">
        <f>"INDIGENT HEALTH"</f>
        <v>INDIGENT HEALTH</v>
      </c>
      <c r="I1086" s="4">
        <v>75</v>
      </c>
      <c r="J1086" t="str">
        <f>"INDIGENT HEALTH"</f>
        <v>INDIGENT HEALTH</v>
      </c>
    </row>
    <row r="1087" spans="1:10" x14ac:dyDescent="0.25">
      <c r="A1087" t="str">
        <f>"01"</f>
        <v>01</v>
      </c>
      <c r="B1087" t="str">
        <f>"006774"</f>
        <v>006774</v>
      </c>
      <c r="C1087" t="s">
        <v>406</v>
      </c>
      <c r="D1087">
        <v>139121</v>
      </c>
      <c r="E1087" s="4">
        <v>400</v>
      </c>
      <c r="F1087" s="5">
        <v>44606</v>
      </c>
      <c r="G1087" t="str">
        <f>"202202028740"</f>
        <v>202202028740</v>
      </c>
      <c r="H1087" t="str">
        <f>"CLEANING/REBECA WEATHERLY"</f>
        <v>CLEANING/REBECA WEATHERLY</v>
      </c>
      <c r="I1087" s="4">
        <v>200</v>
      </c>
      <c r="J1087" t="str">
        <f>"CLEANING/REBECA WEATHERLY"</f>
        <v>CLEANING/REBECA WEATHERLY</v>
      </c>
    </row>
    <row r="1088" spans="1:10" x14ac:dyDescent="0.25">
      <c r="A1088" t="str">
        <f>""</f>
        <v/>
      </c>
      <c r="B1088" t="str">
        <f>""</f>
        <v/>
      </c>
      <c r="G1088" t="str">
        <f>"202202088796"</f>
        <v>202202088796</v>
      </c>
      <c r="H1088" t="str">
        <f>"CLEANING/REBECA WEATHERLY"</f>
        <v>CLEANING/REBECA WEATHERLY</v>
      </c>
      <c r="I1088" s="4">
        <v>200</v>
      </c>
      <c r="J1088" t="str">
        <f>"CLEANING/REBECA WEATHERLY"</f>
        <v>CLEANING/REBECA WEATHERLY</v>
      </c>
    </row>
    <row r="1089" spans="1:10" x14ac:dyDescent="0.25">
      <c r="A1089" t="str">
        <f>"01"</f>
        <v>01</v>
      </c>
      <c r="B1089" t="str">
        <f>"005470"</f>
        <v>005470</v>
      </c>
      <c r="C1089" t="s">
        <v>407</v>
      </c>
      <c r="D1089">
        <v>5770</v>
      </c>
      <c r="E1089" s="4">
        <v>2250</v>
      </c>
      <c r="F1089" s="5">
        <v>44607</v>
      </c>
      <c r="G1089" t="str">
        <f>"201"</f>
        <v>201</v>
      </c>
      <c r="H1089" t="str">
        <f>"SPAY/NEUTER/REBECCA STRNAD"</f>
        <v>SPAY/NEUTER/REBECCA STRNAD</v>
      </c>
      <c r="I1089" s="4">
        <v>2250</v>
      </c>
      <c r="J1089" t="str">
        <f>"SPAY/NEUTER/REBECCA STRNAD"</f>
        <v>SPAY/NEUTER/REBECCA STRNAD</v>
      </c>
    </row>
    <row r="1090" spans="1:10" x14ac:dyDescent="0.25">
      <c r="A1090" t="str">
        <f>"01"</f>
        <v>01</v>
      </c>
      <c r="B1090" t="str">
        <f>"005901"</f>
        <v>005901</v>
      </c>
      <c r="C1090" t="s">
        <v>408</v>
      </c>
      <c r="D1090">
        <v>139002</v>
      </c>
      <c r="E1090" s="4">
        <v>1471.91</v>
      </c>
      <c r="F1090" s="5">
        <v>44603</v>
      </c>
      <c r="G1090" t="str">
        <f>"301 003 569 284 3"</f>
        <v>301 003 569 284 3</v>
      </c>
      <c r="H1090" t="str">
        <f>"ACCT#15 070 712 3/02012022"</f>
        <v>ACCT#15 070 712 3/02012022</v>
      </c>
      <c r="I1090" s="4">
        <v>18.420000000000002</v>
      </c>
      <c r="J1090" t="str">
        <f>"ACCT#15 070 712 3/02012022"</f>
        <v>ACCT#15 070 712 3/02012022</v>
      </c>
    </row>
    <row r="1091" spans="1:10" x14ac:dyDescent="0.25">
      <c r="A1091" t="str">
        <f>""</f>
        <v/>
      </c>
      <c r="B1091" t="str">
        <f>""</f>
        <v/>
      </c>
      <c r="G1091" t="str">
        <f>"301 003 569 285 0"</f>
        <v>301 003 569 285 0</v>
      </c>
      <c r="H1091" t="str">
        <f>"ACCT#15 070 713 1/02012022"</f>
        <v>ACCT#15 070 713 1/02012022</v>
      </c>
      <c r="I1091" s="4">
        <v>22.29</v>
      </c>
      <c r="J1091" t="str">
        <f>"ACCT#15 070 713 1/02012022"</f>
        <v>ACCT#15 070 713 1/02012022</v>
      </c>
    </row>
    <row r="1092" spans="1:10" x14ac:dyDescent="0.25">
      <c r="A1092" t="str">
        <f>""</f>
        <v/>
      </c>
      <c r="B1092" t="str">
        <f>""</f>
        <v/>
      </c>
      <c r="G1092" t="str">
        <f>"301 003 569 2868"</f>
        <v>301 003 569 2868</v>
      </c>
      <c r="H1092" t="str">
        <f>"ACCT#15 072 199 -1/02012022"</f>
        <v>ACCT#15 072 199 -1/02012022</v>
      </c>
      <c r="I1092" s="4">
        <v>126.87</v>
      </c>
      <c r="J1092" t="str">
        <f>"ACCT#15 072 199 -1/02012022"</f>
        <v>ACCT#15 072 199 -1/02012022</v>
      </c>
    </row>
    <row r="1093" spans="1:10" x14ac:dyDescent="0.25">
      <c r="A1093" t="str">
        <f>""</f>
        <v/>
      </c>
      <c r="B1093" t="str">
        <f>""</f>
        <v/>
      </c>
      <c r="G1093" t="str">
        <f>"301 003 569 287 6"</f>
        <v>301 003 569 287 6</v>
      </c>
      <c r="H1093" t="str">
        <f>"ACCT#15 072 200-7/02012022"</f>
        <v>ACCT#15 072 200-7/02012022</v>
      </c>
      <c r="I1093" s="4">
        <v>327.42</v>
      </c>
      <c r="J1093" t="str">
        <f>"ACCT#15 072 200-7/02012022"</f>
        <v>ACCT#15 072 200-7/02012022</v>
      </c>
    </row>
    <row r="1094" spans="1:10" x14ac:dyDescent="0.25">
      <c r="A1094" t="str">
        <f>""</f>
        <v/>
      </c>
      <c r="B1094" t="str">
        <f>""</f>
        <v/>
      </c>
      <c r="G1094" t="str">
        <f>"301 003 569 288-4"</f>
        <v>301 003 569 288-4</v>
      </c>
      <c r="H1094" t="str">
        <f>"ACCT#15 072 201-5/02012022"</f>
        <v>ACCT#15 072 201-5/02012022</v>
      </c>
      <c r="I1094" s="4">
        <v>303.60000000000002</v>
      </c>
      <c r="J1094" t="str">
        <f>"ACCT#15 072 201-5/02012022"</f>
        <v>ACCT#15 072 201-5/02012022</v>
      </c>
    </row>
    <row r="1095" spans="1:10" x14ac:dyDescent="0.25">
      <c r="A1095" t="str">
        <f>""</f>
        <v/>
      </c>
      <c r="B1095" t="str">
        <f>""</f>
        <v/>
      </c>
      <c r="G1095" t="str">
        <f>"301 003 569 289 2"</f>
        <v>301 003 569 289 2</v>
      </c>
      <c r="H1095" t="str">
        <f>"ACCT#15 072 202-3/02012022"</f>
        <v>ACCT#15 072 202-3/02012022</v>
      </c>
      <c r="I1095" s="4">
        <v>25.73</v>
      </c>
      <c r="J1095" t="str">
        <f>"ACCT#15 072 202-3/02012022"</f>
        <v>ACCT#15 072 202-3/02012022</v>
      </c>
    </row>
    <row r="1096" spans="1:10" x14ac:dyDescent="0.25">
      <c r="A1096" t="str">
        <f>""</f>
        <v/>
      </c>
      <c r="B1096" t="str">
        <f>""</f>
        <v/>
      </c>
      <c r="G1096" t="str">
        <f>"301 003 569 290-0"</f>
        <v>301 003 569 290-0</v>
      </c>
      <c r="H1096" t="str">
        <f>"ACCT# 15 072 203-1/02012022"</f>
        <v>ACCT# 15 072 203-1/02012022</v>
      </c>
      <c r="I1096" s="4">
        <v>13.32</v>
      </c>
      <c r="J1096" t="str">
        <f>"ACCT# 15 072 203-1/02012022"</f>
        <v>ACCT# 15 072 203-1/02012022</v>
      </c>
    </row>
    <row r="1097" spans="1:10" x14ac:dyDescent="0.25">
      <c r="A1097" t="str">
        <f>""</f>
        <v/>
      </c>
      <c r="B1097" t="str">
        <f>""</f>
        <v/>
      </c>
      <c r="G1097" t="str">
        <f>"301 003 569 291 8"</f>
        <v>301 003 569 291 8</v>
      </c>
      <c r="H1097" t="str">
        <f>"ACCT#15 072 204-9/02012022"</f>
        <v>ACCT#15 072 204-9/02012022</v>
      </c>
      <c r="I1097" s="4">
        <v>222.95</v>
      </c>
      <c r="J1097" t="str">
        <f>"ACCT#15 072 204-9/02012022"</f>
        <v>ACCT#15 072 204-9/02012022</v>
      </c>
    </row>
    <row r="1098" spans="1:10" x14ac:dyDescent="0.25">
      <c r="A1098" t="str">
        <f>""</f>
        <v/>
      </c>
      <c r="B1098" t="str">
        <f>""</f>
        <v/>
      </c>
      <c r="G1098" t="str">
        <f>"304 001 191 220 4"</f>
        <v>304 001 191 220 4</v>
      </c>
      <c r="H1098" t="str">
        <f>"ACCT#15 069 451 1/02012022"</f>
        <v>ACCT#15 069 451 1/02012022</v>
      </c>
      <c r="I1098" s="4">
        <v>411.31</v>
      </c>
      <c r="J1098" t="str">
        <f>"ACCT#15 069 451 1/02012022"</f>
        <v>ACCT#15 069 451 1/02012022</v>
      </c>
    </row>
    <row r="1099" spans="1:10" x14ac:dyDescent="0.25">
      <c r="A1099" t="str">
        <f>"01"</f>
        <v>01</v>
      </c>
      <c r="B1099" t="str">
        <f>"RESERV"</f>
        <v>RESERV</v>
      </c>
      <c r="C1099" t="s">
        <v>409</v>
      </c>
      <c r="D1099">
        <v>139122</v>
      </c>
      <c r="E1099" s="4">
        <v>9000</v>
      </c>
      <c r="F1099" s="5">
        <v>44606</v>
      </c>
      <c r="G1099" t="str">
        <f>"202201268578"</f>
        <v>202201268578</v>
      </c>
      <c r="H1099" t="str">
        <f>"ACCT#34549337/RESERVE"</f>
        <v>ACCT#34549337/RESERVE</v>
      </c>
      <c r="I1099" s="4">
        <v>9000</v>
      </c>
      <c r="J1099" t="str">
        <f>"ACCT#34549337/RESERVE"</f>
        <v>ACCT#34549337/RESERVE</v>
      </c>
    </row>
    <row r="1100" spans="1:10" x14ac:dyDescent="0.25">
      <c r="A1100" t="str">
        <f>"01"</f>
        <v>01</v>
      </c>
      <c r="B1100" t="str">
        <f>"RESERV"</f>
        <v>RESERV</v>
      </c>
      <c r="C1100" t="s">
        <v>409</v>
      </c>
      <c r="D1100">
        <v>139342</v>
      </c>
      <c r="E1100" s="4">
        <v>9000</v>
      </c>
      <c r="F1100" s="5">
        <v>44620</v>
      </c>
      <c r="G1100" t="str">
        <f>"202202179219"</f>
        <v>202202179219</v>
      </c>
      <c r="H1100" t="str">
        <f>"ACCT#34549337"</f>
        <v>ACCT#34549337</v>
      </c>
      <c r="I1100" s="4">
        <v>9000</v>
      </c>
      <c r="J1100" t="str">
        <f>"ACCT#34549337"</f>
        <v>ACCT#34549337</v>
      </c>
    </row>
    <row r="1101" spans="1:10" x14ac:dyDescent="0.25">
      <c r="A1101" t="str">
        <f>"01"</f>
        <v>01</v>
      </c>
      <c r="B1101" t="str">
        <f>"T9868"</f>
        <v>T9868</v>
      </c>
      <c r="C1101" t="s">
        <v>410</v>
      </c>
      <c r="D1101">
        <v>139123</v>
      </c>
      <c r="E1101" s="4">
        <v>1250</v>
      </c>
      <c r="F1101" s="5">
        <v>44606</v>
      </c>
      <c r="G1101" t="str">
        <f>"202201258540"</f>
        <v>202201258540</v>
      </c>
      <c r="H1101" t="str">
        <f>"16-366"</f>
        <v>16-366</v>
      </c>
      <c r="I1101" s="4">
        <v>1250</v>
      </c>
      <c r="J1101" t="str">
        <f>"16-366"</f>
        <v>16-366</v>
      </c>
    </row>
    <row r="1102" spans="1:10" x14ac:dyDescent="0.25">
      <c r="A1102" t="str">
        <f>"01"</f>
        <v>01</v>
      </c>
      <c r="B1102" t="str">
        <f>"001322"</f>
        <v>001322</v>
      </c>
      <c r="C1102" t="s">
        <v>411</v>
      </c>
      <c r="D1102">
        <v>5746</v>
      </c>
      <c r="E1102" s="4">
        <v>41</v>
      </c>
      <c r="F1102" s="5">
        <v>44607</v>
      </c>
      <c r="G1102" t="str">
        <f>"1090847455"</f>
        <v>1090847455</v>
      </c>
      <c r="H1102" t="str">
        <f>"CUST#12848097/GENERAL SVCS"</f>
        <v>CUST#12848097/GENERAL SVCS</v>
      </c>
      <c r="I1102" s="4">
        <v>41</v>
      </c>
      <c r="J1102" t="str">
        <f>"CUST#12848097/GENERAL SVCS"</f>
        <v>CUST#12848097/GENERAL SVCS</v>
      </c>
    </row>
    <row r="1103" spans="1:10" x14ac:dyDescent="0.25">
      <c r="A1103" t="str">
        <f>"01"</f>
        <v>01</v>
      </c>
      <c r="B1103" t="str">
        <f>"000972"</f>
        <v>000972</v>
      </c>
      <c r="C1103" t="s">
        <v>412</v>
      </c>
      <c r="D1103">
        <v>139343</v>
      </c>
      <c r="E1103" s="4">
        <v>9315.17</v>
      </c>
      <c r="F1103" s="5">
        <v>44620</v>
      </c>
      <c r="G1103" t="str">
        <f>"39324928"</f>
        <v>39324928</v>
      </c>
      <c r="H1103" t="str">
        <f>"CUST#2000172616"</f>
        <v>CUST#2000172616</v>
      </c>
      <c r="I1103" s="4">
        <v>249.26</v>
      </c>
      <c r="J1103" t="str">
        <f t="shared" ref="J1103:J1134" si="35">"CUST#2000172616"</f>
        <v>CUST#2000172616</v>
      </c>
    </row>
    <row r="1104" spans="1:10" x14ac:dyDescent="0.25">
      <c r="A1104" t="str">
        <f>""</f>
        <v/>
      </c>
      <c r="B1104" t="str">
        <f>""</f>
        <v/>
      </c>
      <c r="G1104" t="str">
        <f>""</f>
        <v/>
      </c>
      <c r="H1104" t="str">
        <f>""</f>
        <v/>
      </c>
      <c r="I1104" s="4">
        <v>174.17</v>
      </c>
      <c r="J1104" t="str">
        <f t="shared" si="35"/>
        <v>CUST#2000172616</v>
      </c>
    </row>
    <row r="1105" spans="1:10" x14ac:dyDescent="0.25">
      <c r="A1105" t="str">
        <f>""</f>
        <v/>
      </c>
      <c r="B1105" t="str">
        <f>""</f>
        <v/>
      </c>
      <c r="G1105" t="str">
        <f>""</f>
        <v/>
      </c>
      <c r="H1105" t="str">
        <f>""</f>
        <v/>
      </c>
      <c r="I1105" s="4">
        <v>95.11</v>
      </c>
      <c r="J1105" t="str">
        <f t="shared" si="35"/>
        <v>CUST#2000172616</v>
      </c>
    </row>
    <row r="1106" spans="1:10" x14ac:dyDescent="0.25">
      <c r="A1106" t="str">
        <f>""</f>
        <v/>
      </c>
      <c r="B1106" t="str">
        <f>""</f>
        <v/>
      </c>
      <c r="G1106" t="str">
        <f>""</f>
        <v/>
      </c>
      <c r="H1106" t="str">
        <f>""</f>
        <v/>
      </c>
      <c r="I1106" s="4">
        <v>101.5</v>
      </c>
      <c r="J1106" t="str">
        <f t="shared" si="35"/>
        <v>CUST#2000172616</v>
      </c>
    </row>
    <row r="1107" spans="1:10" x14ac:dyDescent="0.25">
      <c r="A1107" t="str">
        <f>""</f>
        <v/>
      </c>
      <c r="B1107" t="str">
        <f>""</f>
        <v/>
      </c>
      <c r="G1107" t="str">
        <f>""</f>
        <v/>
      </c>
      <c r="H1107" t="str">
        <f>""</f>
        <v/>
      </c>
      <c r="I1107" s="4">
        <v>249.26</v>
      </c>
      <c r="J1107" t="str">
        <f t="shared" si="35"/>
        <v>CUST#2000172616</v>
      </c>
    </row>
    <row r="1108" spans="1:10" x14ac:dyDescent="0.25">
      <c r="A1108" t="str">
        <f>""</f>
        <v/>
      </c>
      <c r="B1108" t="str">
        <f>""</f>
        <v/>
      </c>
      <c r="G1108" t="str">
        <f>""</f>
        <v/>
      </c>
      <c r="H1108" t="str">
        <f>""</f>
        <v/>
      </c>
      <c r="I1108" s="4">
        <v>428.42</v>
      </c>
      <c r="J1108" t="str">
        <f t="shared" si="35"/>
        <v>CUST#2000172616</v>
      </c>
    </row>
    <row r="1109" spans="1:10" x14ac:dyDescent="0.25">
      <c r="A1109" t="str">
        <f>""</f>
        <v/>
      </c>
      <c r="B1109" t="str">
        <f>""</f>
        <v/>
      </c>
      <c r="G1109" t="str">
        <f>""</f>
        <v/>
      </c>
      <c r="H1109" t="str">
        <f>""</f>
        <v/>
      </c>
      <c r="I1109" s="4">
        <v>95.1</v>
      </c>
      <c r="J1109" t="str">
        <f t="shared" si="35"/>
        <v>CUST#2000172616</v>
      </c>
    </row>
    <row r="1110" spans="1:10" x14ac:dyDescent="0.25">
      <c r="A1110" t="str">
        <f>""</f>
        <v/>
      </c>
      <c r="B1110" t="str">
        <f>""</f>
        <v/>
      </c>
      <c r="G1110" t="str">
        <f>""</f>
        <v/>
      </c>
      <c r="H1110" t="str">
        <f>""</f>
        <v/>
      </c>
      <c r="I1110" s="4">
        <v>303.86</v>
      </c>
      <c r="J1110" t="str">
        <f t="shared" si="35"/>
        <v>CUST#2000172616</v>
      </c>
    </row>
    <row r="1111" spans="1:10" x14ac:dyDescent="0.25">
      <c r="A1111" t="str">
        <f>""</f>
        <v/>
      </c>
      <c r="B1111" t="str">
        <f>""</f>
        <v/>
      </c>
      <c r="G1111" t="str">
        <f>""</f>
        <v/>
      </c>
      <c r="H1111" t="str">
        <f>""</f>
        <v/>
      </c>
      <c r="I1111" s="4">
        <v>543.30999999999995</v>
      </c>
      <c r="J1111" t="str">
        <f t="shared" si="35"/>
        <v>CUST#2000172616</v>
      </c>
    </row>
    <row r="1112" spans="1:10" x14ac:dyDescent="0.25">
      <c r="A1112" t="str">
        <f>""</f>
        <v/>
      </c>
      <c r="B1112" t="str">
        <f>""</f>
        <v/>
      </c>
      <c r="G1112" t="str">
        <f>""</f>
        <v/>
      </c>
      <c r="H1112" t="str">
        <f>""</f>
        <v/>
      </c>
      <c r="I1112" s="4">
        <v>249.26</v>
      </c>
      <c r="J1112" t="str">
        <f t="shared" si="35"/>
        <v>CUST#2000172616</v>
      </c>
    </row>
    <row r="1113" spans="1:10" x14ac:dyDescent="0.25">
      <c r="A1113" t="str">
        <f>""</f>
        <v/>
      </c>
      <c r="B1113" t="str">
        <f>""</f>
        <v/>
      </c>
      <c r="G1113" t="str">
        <f>""</f>
        <v/>
      </c>
      <c r="H1113" t="str">
        <f>""</f>
        <v/>
      </c>
      <c r="I1113" s="4">
        <v>201</v>
      </c>
      <c r="J1113" t="str">
        <f t="shared" si="35"/>
        <v>CUST#2000172616</v>
      </c>
    </row>
    <row r="1114" spans="1:10" x14ac:dyDescent="0.25">
      <c r="A1114" t="str">
        <f>""</f>
        <v/>
      </c>
      <c r="B1114" t="str">
        <f>""</f>
        <v/>
      </c>
      <c r="G1114" t="str">
        <f>""</f>
        <v/>
      </c>
      <c r="H1114" t="str">
        <f>""</f>
        <v/>
      </c>
      <c r="I1114" s="4">
        <v>80.28</v>
      </c>
      <c r="J1114" t="str">
        <f t="shared" si="35"/>
        <v>CUST#2000172616</v>
      </c>
    </row>
    <row r="1115" spans="1:10" x14ac:dyDescent="0.25">
      <c r="A1115" t="str">
        <f>""</f>
        <v/>
      </c>
      <c r="B1115" t="str">
        <f>""</f>
        <v/>
      </c>
      <c r="G1115" t="str">
        <f>""</f>
        <v/>
      </c>
      <c r="H1115" t="str">
        <f>""</f>
        <v/>
      </c>
      <c r="I1115" s="4">
        <v>220.09</v>
      </c>
      <c r="J1115" t="str">
        <f t="shared" si="35"/>
        <v>CUST#2000172616</v>
      </c>
    </row>
    <row r="1116" spans="1:10" x14ac:dyDescent="0.25">
      <c r="A1116" t="str">
        <f>""</f>
        <v/>
      </c>
      <c r="B1116" t="str">
        <f>""</f>
        <v/>
      </c>
      <c r="G1116" t="str">
        <f>""</f>
        <v/>
      </c>
      <c r="H1116" t="str">
        <f>""</f>
        <v/>
      </c>
      <c r="I1116" s="4">
        <v>525.66</v>
      </c>
      <c r="J1116" t="str">
        <f t="shared" si="35"/>
        <v>CUST#2000172616</v>
      </c>
    </row>
    <row r="1117" spans="1:10" x14ac:dyDescent="0.25">
      <c r="A1117" t="str">
        <f>""</f>
        <v/>
      </c>
      <c r="B1117" t="str">
        <f>""</f>
        <v/>
      </c>
      <c r="G1117" t="str">
        <f>""</f>
        <v/>
      </c>
      <c r="H1117" t="str">
        <f>""</f>
        <v/>
      </c>
      <c r="I1117" s="4">
        <v>249.26</v>
      </c>
      <c r="J1117" t="str">
        <f t="shared" si="35"/>
        <v>CUST#2000172616</v>
      </c>
    </row>
    <row r="1118" spans="1:10" x14ac:dyDescent="0.25">
      <c r="A1118" t="str">
        <f>""</f>
        <v/>
      </c>
      <c r="B1118" t="str">
        <f>""</f>
        <v/>
      </c>
      <c r="G1118" t="str">
        <f>""</f>
        <v/>
      </c>
      <c r="H1118" t="str">
        <f>""</f>
        <v/>
      </c>
      <c r="I1118" s="4">
        <v>249.26</v>
      </c>
      <c r="J1118" t="str">
        <f t="shared" si="35"/>
        <v>CUST#2000172616</v>
      </c>
    </row>
    <row r="1119" spans="1:10" x14ac:dyDescent="0.25">
      <c r="A1119" t="str">
        <f>""</f>
        <v/>
      </c>
      <c r="B1119" t="str">
        <f>""</f>
        <v/>
      </c>
      <c r="G1119" t="str">
        <f>""</f>
        <v/>
      </c>
      <c r="H1119" t="str">
        <f>""</f>
        <v/>
      </c>
      <c r="I1119" s="4">
        <v>119.57</v>
      </c>
      <c r="J1119" t="str">
        <f t="shared" si="35"/>
        <v>CUST#2000172616</v>
      </c>
    </row>
    <row r="1120" spans="1:10" x14ac:dyDescent="0.25">
      <c r="A1120" t="str">
        <f>""</f>
        <v/>
      </c>
      <c r="B1120" t="str">
        <f>""</f>
        <v/>
      </c>
      <c r="G1120" t="str">
        <f>""</f>
        <v/>
      </c>
      <c r="H1120" t="str">
        <f>""</f>
        <v/>
      </c>
      <c r="I1120" s="4">
        <v>338.84</v>
      </c>
      <c r="J1120" t="str">
        <f t="shared" si="35"/>
        <v>CUST#2000172616</v>
      </c>
    </row>
    <row r="1121" spans="1:10" x14ac:dyDescent="0.25">
      <c r="A1121" t="str">
        <f>""</f>
        <v/>
      </c>
      <c r="B1121" t="str">
        <f>""</f>
        <v/>
      </c>
      <c r="G1121" t="str">
        <f>""</f>
        <v/>
      </c>
      <c r="H1121" t="str">
        <f>""</f>
        <v/>
      </c>
      <c r="I1121" s="4">
        <v>78.540000000000006</v>
      </c>
      <c r="J1121" t="str">
        <f t="shared" si="35"/>
        <v>CUST#2000172616</v>
      </c>
    </row>
    <row r="1122" spans="1:10" x14ac:dyDescent="0.25">
      <c r="A1122" t="str">
        <f>""</f>
        <v/>
      </c>
      <c r="B1122" t="str">
        <f>""</f>
        <v/>
      </c>
      <c r="G1122" t="str">
        <f>""</f>
        <v/>
      </c>
      <c r="H1122" t="str">
        <f>""</f>
        <v/>
      </c>
      <c r="I1122" s="4">
        <v>249.26</v>
      </c>
      <c r="J1122" t="str">
        <f t="shared" si="35"/>
        <v>CUST#2000172616</v>
      </c>
    </row>
    <row r="1123" spans="1:10" x14ac:dyDescent="0.25">
      <c r="A1123" t="str">
        <f>""</f>
        <v/>
      </c>
      <c r="B1123" t="str">
        <f>""</f>
        <v/>
      </c>
      <c r="G1123" t="str">
        <f>""</f>
        <v/>
      </c>
      <c r="H1123" t="str">
        <f>""</f>
        <v/>
      </c>
      <c r="I1123" s="4">
        <v>139.51</v>
      </c>
      <c r="J1123" t="str">
        <f t="shared" si="35"/>
        <v>CUST#2000172616</v>
      </c>
    </row>
    <row r="1124" spans="1:10" x14ac:dyDescent="0.25">
      <c r="A1124" t="str">
        <f>""</f>
        <v/>
      </c>
      <c r="B1124" t="str">
        <f>""</f>
        <v/>
      </c>
      <c r="G1124" t="str">
        <f>""</f>
        <v/>
      </c>
      <c r="H1124" t="str">
        <f>""</f>
        <v/>
      </c>
      <c r="I1124" s="4">
        <v>303.86</v>
      </c>
      <c r="J1124" t="str">
        <f t="shared" si="35"/>
        <v>CUST#2000172616</v>
      </c>
    </row>
    <row r="1125" spans="1:10" x14ac:dyDescent="0.25">
      <c r="A1125" t="str">
        <f>""</f>
        <v/>
      </c>
      <c r="B1125" t="str">
        <f>""</f>
        <v/>
      </c>
      <c r="G1125" t="str">
        <f>""</f>
        <v/>
      </c>
      <c r="H1125" t="str">
        <f>""</f>
        <v/>
      </c>
      <c r="I1125" s="4">
        <v>1267.82</v>
      </c>
      <c r="J1125" t="str">
        <f t="shared" si="35"/>
        <v>CUST#2000172616</v>
      </c>
    </row>
    <row r="1126" spans="1:10" x14ac:dyDescent="0.25">
      <c r="A1126" t="str">
        <f>""</f>
        <v/>
      </c>
      <c r="B1126" t="str">
        <f>""</f>
        <v/>
      </c>
      <c r="G1126" t="str">
        <f>""</f>
        <v/>
      </c>
      <c r="H1126" t="str">
        <f>""</f>
        <v/>
      </c>
      <c r="I1126" s="4">
        <v>1244.07</v>
      </c>
      <c r="J1126" t="str">
        <f t="shared" si="35"/>
        <v>CUST#2000172616</v>
      </c>
    </row>
    <row r="1127" spans="1:10" x14ac:dyDescent="0.25">
      <c r="A1127" t="str">
        <f>""</f>
        <v/>
      </c>
      <c r="B1127" t="str">
        <f>""</f>
        <v/>
      </c>
      <c r="G1127" t="str">
        <f>""</f>
        <v/>
      </c>
      <c r="H1127" t="str">
        <f>""</f>
        <v/>
      </c>
      <c r="I1127" s="4">
        <v>334.08</v>
      </c>
      <c r="J1127" t="str">
        <f t="shared" si="35"/>
        <v>CUST#2000172616</v>
      </c>
    </row>
    <row r="1128" spans="1:10" x14ac:dyDescent="0.25">
      <c r="A1128" t="str">
        <f>""</f>
        <v/>
      </c>
      <c r="B1128" t="str">
        <f>""</f>
        <v/>
      </c>
      <c r="G1128" t="str">
        <f>""</f>
        <v/>
      </c>
      <c r="H1128" t="str">
        <f>""</f>
        <v/>
      </c>
      <c r="I1128" s="4">
        <v>303.86</v>
      </c>
      <c r="J1128" t="str">
        <f t="shared" si="35"/>
        <v>CUST#2000172616</v>
      </c>
    </row>
    <row r="1129" spans="1:10" x14ac:dyDescent="0.25">
      <c r="A1129" t="str">
        <f>""</f>
        <v/>
      </c>
      <c r="B1129" t="str">
        <f>""</f>
        <v/>
      </c>
      <c r="G1129" t="str">
        <f>""</f>
        <v/>
      </c>
      <c r="H1129" t="str">
        <f>""</f>
        <v/>
      </c>
      <c r="I1129" s="4">
        <v>303.86</v>
      </c>
      <c r="J1129" t="str">
        <f t="shared" si="35"/>
        <v>CUST#2000172616</v>
      </c>
    </row>
    <row r="1130" spans="1:10" x14ac:dyDescent="0.25">
      <c r="A1130" t="str">
        <f>""</f>
        <v/>
      </c>
      <c r="B1130" t="str">
        <f>""</f>
        <v/>
      </c>
      <c r="G1130" t="str">
        <f>""</f>
        <v/>
      </c>
      <c r="H1130" t="str">
        <f>""</f>
        <v/>
      </c>
      <c r="I1130" s="4">
        <v>101.5</v>
      </c>
      <c r="J1130" t="str">
        <f t="shared" si="35"/>
        <v>CUST#2000172616</v>
      </c>
    </row>
    <row r="1131" spans="1:10" x14ac:dyDescent="0.25">
      <c r="A1131" t="str">
        <f>""</f>
        <v/>
      </c>
      <c r="B1131" t="str">
        <f>""</f>
        <v/>
      </c>
      <c r="G1131" t="str">
        <f>""</f>
        <v/>
      </c>
      <c r="H1131" t="str">
        <f>""</f>
        <v/>
      </c>
      <c r="I1131" s="4">
        <v>303.86</v>
      </c>
      <c r="J1131" t="str">
        <f t="shared" si="35"/>
        <v>CUST#2000172616</v>
      </c>
    </row>
    <row r="1132" spans="1:10" x14ac:dyDescent="0.25">
      <c r="A1132" t="str">
        <f>""</f>
        <v/>
      </c>
      <c r="B1132" t="str">
        <f>""</f>
        <v/>
      </c>
      <c r="G1132" t="str">
        <f>""</f>
        <v/>
      </c>
      <c r="H1132" t="str">
        <f>""</f>
        <v/>
      </c>
      <c r="I1132" s="4">
        <v>70.58</v>
      </c>
      <c r="J1132" t="str">
        <f t="shared" si="35"/>
        <v>CUST#2000172616</v>
      </c>
    </row>
    <row r="1133" spans="1:10" x14ac:dyDescent="0.25">
      <c r="A1133" t="str">
        <f>""</f>
        <v/>
      </c>
      <c r="B1133" t="str">
        <f>""</f>
        <v/>
      </c>
      <c r="G1133" t="str">
        <f>""</f>
        <v/>
      </c>
      <c r="H1133" t="str">
        <f>""</f>
        <v/>
      </c>
      <c r="I1133" s="4">
        <v>70.58</v>
      </c>
      <c r="J1133" t="str">
        <f t="shared" si="35"/>
        <v>CUST#2000172616</v>
      </c>
    </row>
    <row r="1134" spans="1:10" x14ac:dyDescent="0.25">
      <c r="A1134" t="str">
        <f>""</f>
        <v/>
      </c>
      <c r="B1134" t="str">
        <f>""</f>
        <v/>
      </c>
      <c r="G1134" t="str">
        <f>""</f>
        <v/>
      </c>
      <c r="H1134" t="str">
        <f>""</f>
        <v/>
      </c>
      <c r="I1134" s="4">
        <v>70.58</v>
      </c>
      <c r="J1134" t="str">
        <f t="shared" si="35"/>
        <v>CUST#2000172616</v>
      </c>
    </row>
    <row r="1135" spans="1:10" x14ac:dyDescent="0.25">
      <c r="A1135" t="str">
        <f>"01"</f>
        <v>01</v>
      </c>
      <c r="B1135" t="str">
        <f>"T4636"</f>
        <v>T4636</v>
      </c>
      <c r="C1135" t="s">
        <v>413</v>
      </c>
      <c r="D1135">
        <v>139124</v>
      </c>
      <c r="E1135" s="4">
        <v>46</v>
      </c>
      <c r="F1135" s="5">
        <v>44606</v>
      </c>
      <c r="G1135" t="str">
        <f>"14005"</f>
        <v>14005</v>
      </c>
      <c r="H1135" t="str">
        <f>"TIRES/MIKE DAVIS"</f>
        <v>TIRES/MIKE DAVIS</v>
      </c>
      <c r="I1135" s="4">
        <v>21</v>
      </c>
      <c r="J1135" t="str">
        <f>"TIRES/MIKE DAVIS"</f>
        <v>TIRES/MIKE DAVIS</v>
      </c>
    </row>
    <row r="1136" spans="1:10" x14ac:dyDescent="0.25">
      <c r="A1136" t="str">
        <f>""</f>
        <v/>
      </c>
      <c r="B1136" t="str">
        <f>""</f>
        <v/>
      </c>
      <c r="G1136" t="str">
        <f>"15463"</f>
        <v>15463</v>
      </c>
      <c r="H1136" t="str">
        <f>"TIRES/MIKE DAVIS"</f>
        <v>TIRES/MIKE DAVIS</v>
      </c>
      <c r="I1136" s="4">
        <v>25</v>
      </c>
      <c r="J1136" t="str">
        <f>"TIRES/MIKE DAVIS"</f>
        <v>TIRES/MIKE DAVIS</v>
      </c>
    </row>
    <row r="1137" spans="1:10" x14ac:dyDescent="0.25">
      <c r="A1137" t="str">
        <f>"01"</f>
        <v>01</v>
      </c>
      <c r="B1137" t="str">
        <f>"006181"</f>
        <v>006181</v>
      </c>
      <c r="C1137" t="s">
        <v>414</v>
      </c>
      <c r="D1137">
        <v>139125</v>
      </c>
      <c r="E1137" s="4">
        <v>445</v>
      </c>
      <c r="F1137" s="5">
        <v>44606</v>
      </c>
      <c r="G1137" t="str">
        <f>"202202088807"</f>
        <v>202202088807</v>
      </c>
      <c r="H1137" t="str">
        <f>"MELOXICAM/ANIMAL SHELTER"</f>
        <v>MELOXICAM/ANIMAL SHELTER</v>
      </c>
      <c r="I1137" s="4">
        <v>445</v>
      </c>
      <c r="J1137" t="str">
        <f>"MELOXICAM/ANIMAL SHELTER"</f>
        <v>MELOXICAM/ANIMAL SHELTER</v>
      </c>
    </row>
    <row r="1138" spans="1:10" x14ac:dyDescent="0.25">
      <c r="A1138" t="str">
        <f>"01"</f>
        <v>01</v>
      </c>
      <c r="B1138" t="str">
        <f>"004417"</f>
        <v>004417</v>
      </c>
      <c r="C1138" t="s">
        <v>415</v>
      </c>
      <c r="D1138">
        <v>5764</v>
      </c>
      <c r="E1138" s="4">
        <v>350</v>
      </c>
      <c r="F1138" s="5">
        <v>44607</v>
      </c>
      <c r="G1138" t="str">
        <f>"202202088829"</f>
        <v>202202088829</v>
      </c>
      <c r="H1138" t="str">
        <f>"INV BCSODEC21"</f>
        <v>INV BCSODEC21</v>
      </c>
      <c r="I1138" s="4">
        <v>350</v>
      </c>
      <c r="J1138" t="str">
        <f>"INV BCSODEC21"</f>
        <v>INV BCSODEC21</v>
      </c>
    </row>
    <row r="1139" spans="1:10" x14ac:dyDescent="0.25">
      <c r="A1139" t="str">
        <f>"01"</f>
        <v>01</v>
      </c>
      <c r="B1139" t="str">
        <f>"004722"</f>
        <v>004722</v>
      </c>
      <c r="C1139" t="s">
        <v>416</v>
      </c>
      <c r="D1139">
        <v>139344</v>
      </c>
      <c r="E1139" s="4">
        <v>135</v>
      </c>
      <c r="F1139" s="5">
        <v>44620</v>
      </c>
      <c r="G1139" t="str">
        <f>"202202229303"</f>
        <v>202202229303</v>
      </c>
      <c r="H1139" t="str">
        <f>"PER DIEM"</f>
        <v>PER DIEM</v>
      </c>
      <c r="I1139" s="4">
        <v>135</v>
      </c>
      <c r="J1139" t="str">
        <f>"PER DIEM"</f>
        <v>PER DIEM</v>
      </c>
    </row>
    <row r="1140" spans="1:10" x14ac:dyDescent="0.25">
      <c r="A1140" t="str">
        <f>"01"</f>
        <v>01</v>
      </c>
      <c r="B1140" t="str">
        <f>"006355"</f>
        <v>006355</v>
      </c>
      <c r="C1140" t="s">
        <v>417</v>
      </c>
      <c r="D1140">
        <v>139126</v>
      </c>
      <c r="E1140" s="4">
        <v>50</v>
      </c>
      <c r="F1140" s="5">
        <v>44606</v>
      </c>
      <c r="G1140" t="str">
        <f>"202202088827"</f>
        <v>202202088827</v>
      </c>
      <c r="H1140" t="str">
        <f>"ROBERT CLIPPER"</f>
        <v>ROBERT CLIPPER</v>
      </c>
      <c r="I1140" s="4">
        <v>50</v>
      </c>
      <c r="J1140" t="str">
        <f>""</f>
        <v/>
      </c>
    </row>
    <row r="1141" spans="1:10" x14ac:dyDescent="0.25">
      <c r="A1141" t="str">
        <f>"01"</f>
        <v>01</v>
      </c>
      <c r="B1141" t="str">
        <f>"T11144"</f>
        <v>T11144</v>
      </c>
      <c r="C1141" t="s">
        <v>418</v>
      </c>
      <c r="D1141">
        <v>139345</v>
      </c>
      <c r="E1141" s="4">
        <v>2400</v>
      </c>
      <c r="F1141" s="5">
        <v>44620</v>
      </c>
      <c r="G1141" t="str">
        <f>"202202179175"</f>
        <v>202202179175</v>
      </c>
      <c r="H1141" t="str">
        <f>"CASE NO. 17-481"</f>
        <v>CASE NO. 17-481</v>
      </c>
      <c r="I1141" s="4">
        <v>1200</v>
      </c>
      <c r="J1141" t="str">
        <f>"CASE NO. 17-481"</f>
        <v>CASE NO. 17-481</v>
      </c>
    </row>
    <row r="1142" spans="1:10" x14ac:dyDescent="0.25">
      <c r="A1142" t="str">
        <f>""</f>
        <v/>
      </c>
      <c r="B1142" t="str">
        <f>""</f>
        <v/>
      </c>
      <c r="G1142" t="str">
        <f>"202202179176"</f>
        <v>202202179176</v>
      </c>
      <c r="H1142" t="str">
        <f>"CASE NO. 17-259"</f>
        <v>CASE NO. 17-259</v>
      </c>
      <c r="I1142" s="4">
        <v>1200</v>
      </c>
      <c r="J1142" t="str">
        <f>"CASE NO. 17-259"</f>
        <v>CASE NO. 17-259</v>
      </c>
    </row>
    <row r="1143" spans="1:10" x14ac:dyDescent="0.25">
      <c r="A1143" t="str">
        <f>"01"</f>
        <v>01</v>
      </c>
      <c r="B1143" t="str">
        <f>"005809"</f>
        <v>005809</v>
      </c>
      <c r="C1143" t="s">
        <v>419</v>
      </c>
      <c r="D1143">
        <v>139127</v>
      </c>
      <c r="E1143" s="4">
        <v>7252.8</v>
      </c>
      <c r="F1143" s="5">
        <v>44606</v>
      </c>
      <c r="G1143" t="str">
        <f>"0017129"</f>
        <v>0017129</v>
      </c>
      <c r="H1143" t="str">
        <f>"TRANSMISSION REPLACEMENT/GS"</f>
        <v>TRANSMISSION REPLACEMENT/GS</v>
      </c>
      <c r="I1143" s="4">
        <v>7252.8</v>
      </c>
      <c r="J1143" t="str">
        <f>"TRANSMISSION REPLACEMENT/GS"</f>
        <v>TRANSMISSION REPLACEMENT/GS</v>
      </c>
    </row>
    <row r="1144" spans="1:10" x14ac:dyDescent="0.25">
      <c r="A1144" t="str">
        <f>"01"</f>
        <v>01</v>
      </c>
      <c r="B1144" t="str">
        <f>"005159"</f>
        <v>005159</v>
      </c>
      <c r="C1144" t="s">
        <v>420</v>
      </c>
      <c r="D1144">
        <v>139128</v>
      </c>
      <c r="E1144" s="4">
        <v>203.6</v>
      </c>
      <c r="F1144" s="5">
        <v>44606</v>
      </c>
      <c r="G1144" t="str">
        <f>"3026348404"</f>
        <v>3026348404</v>
      </c>
      <c r="H1144" t="str">
        <f>"CUST#109334/PCT#3"</f>
        <v>CUST#109334/PCT#3</v>
      </c>
      <c r="I1144" s="4">
        <v>203.6</v>
      </c>
      <c r="J1144" t="str">
        <f>"CUST#109334/PCT#3"</f>
        <v>CUST#109334/PCT#3</v>
      </c>
    </row>
    <row r="1145" spans="1:10" x14ac:dyDescent="0.25">
      <c r="A1145" t="str">
        <f>"01"</f>
        <v>01</v>
      </c>
      <c r="B1145" t="str">
        <f>"005256"</f>
        <v>005256</v>
      </c>
      <c r="C1145" t="s">
        <v>421</v>
      </c>
      <c r="D1145">
        <v>139129</v>
      </c>
      <c r="E1145" s="4">
        <v>501.84</v>
      </c>
      <c r="F1145" s="5">
        <v>44606</v>
      </c>
      <c r="G1145" t="str">
        <f>"01142022"</f>
        <v>01142022</v>
      </c>
      <c r="H1145" t="str">
        <f>"CAUSE#17383"</f>
        <v>CAUSE#17383</v>
      </c>
      <c r="I1145" s="4">
        <v>250.92</v>
      </c>
      <c r="J1145" t="str">
        <f>"CAUSE#17383"</f>
        <v>CAUSE#17383</v>
      </c>
    </row>
    <row r="1146" spans="1:10" x14ac:dyDescent="0.25">
      <c r="A1146" t="str">
        <f>""</f>
        <v/>
      </c>
      <c r="B1146" t="str">
        <f>""</f>
        <v/>
      </c>
      <c r="G1146" t="str">
        <f>"202201258541"</f>
        <v>202201258541</v>
      </c>
      <c r="H1146" t="str">
        <f>"423-8288"</f>
        <v>423-8288</v>
      </c>
      <c r="I1146" s="4">
        <v>250.92</v>
      </c>
      <c r="J1146" t="str">
        <f>"423-8288"</f>
        <v>423-8288</v>
      </c>
    </row>
    <row r="1147" spans="1:10" x14ac:dyDescent="0.25">
      <c r="A1147" t="str">
        <f>"01"</f>
        <v>01</v>
      </c>
      <c r="B1147" t="str">
        <f>"005256"</f>
        <v>005256</v>
      </c>
      <c r="C1147" t="s">
        <v>421</v>
      </c>
      <c r="D1147">
        <v>139346</v>
      </c>
      <c r="E1147" s="4">
        <v>300.92</v>
      </c>
      <c r="F1147" s="5">
        <v>44620</v>
      </c>
      <c r="G1147" t="str">
        <f>"202202179181"</f>
        <v>202202179181</v>
      </c>
      <c r="H1147" t="str">
        <f>"INTERPRETER"</f>
        <v>INTERPRETER</v>
      </c>
      <c r="I1147" s="4">
        <v>300.92</v>
      </c>
      <c r="J1147" t="str">
        <f>"INTERPRETER"</f>
        <v>INTERPRETER</v>
      </c>
    </row>
    <row r="1148" spans="1:10" x14ac:dyDescent="0.25">
      <c r="A1148" t="str">
        <f>"01"</f>
        <v>01</v>
      </c>
      <c r="B1148" t="str">
        <f>"T13018"</f>
        <v>T13018</v>
      </c>
      <c r="C1148" t="s">
        <v>422</v>
      </c>
      <c r="D1148">
        <v>139347</v>
      </c>
      <c r="E1148" s="4">
        <v>107.03</v>
      </c>
      <c r="F1148" s="5">
        <v>44620</v>
      </c>
      <c r="G1148" t="str">
        <f>"202202229270"</f>
        <v>202202229270</v>
      </c>
      <c r="H1148" t="str">
        <f>"INDIGENT HEALTH"</f>
        <v>INDIGENT HEALTH</v>
      </c>
      <c r="I1148" s="4">
        <v>107.03</v>
      </c>
      <c r="J1148" t="str">
        <f>"INDIGENT HEALTH"</f>
        <v>INDIGENT HEALTH</v>
      </c>
    </row>
    <row r="1149" spans="1:10" x14ac:dyDescent="0.25">
      <c r="A1149" t="str">
        <f>"01"</f>
        <v>01</v>
      </c>
      <c r="B1149" t="str">
        <f>"003131"</f>
        <v>003131</v>
      </c>
      <c r="C1149" t="s">
        <v>423</v>
      </c>
      <c r="D1149">
        <v>139348</v>
      </c>
      <c r="E1149" s="4">
        <v>12975.66</v>
      </c>
      <c r="F1149" s="5">
        <v>44620</v>
      </c>
      <c r="G1149" t="str">
        <f>"202202229268"</f>
        <v>202202229268</v>
      </c>
      <c r="H1149" t="str">
        <f>"INDIGENT HEALTH"</f>
        <v>INDIGENT HEALTH</v>
      </c>
      <c r="I1149" s="4">
        <v>81.239999999999995</v>
      </c>
      <c r="J1149" t="str">
        <f>"INDIGENT HEALTH"</f>
        <v>INDIGENT HEALTH</v>
      </c>
    </row>
    <row r="1150" spans="1:10" x14ac:dyDescent="0.25">
      <c r="A1150" t="str">
        <f>""</f>
        <v/>
      </c>
      <c r="B1150" t="str">
        <f>""</f>
        <v/>
      </c>
      <c r="G1150" t="str">
        <f>""</f>
        <v/>
      </c>
      <c r="H1150" t="str">
        <f>""</f>
        <v/>
      </c>
      <c r="I1150" s="4">
        <v>9494.42</v>
      </c>
      <c r="J1150" t="str">
        <f>"INDIGENT HEALTH"</f>
        <v>INDIGENT HEALTH</v>
      </c>
    </row>
    <row r="1151" spans="1:10" x14ac:dyDescent="0.25">
      <c r="A1151" t="str">
        <f>""</f>
        <v/>
      </c>
      <c r="B1151" t="str">
        <f>""</f>
        <v/>
      </c>
      <c r="G1151" t="str">
        <f>"22122"</f>
        <v>22122</v>
      </c>
      <c r="H1151" t="str">
        <f>"INDIGENT HEALTH"</f>
        <v>INDIGENT HEALTH</v>
      </c>
      <c r="I1151" s="4">
        <v>3400</v>
      </c>
      <c r="J1151" t="str">
        <f>"INDIGENT HEALTH"</f>
        <v>INDIGENT HEALTH</v>
      </c>
    </row>
    <row r="1152" spans="1:10" x14ac:dyDescent="0.25">
      <c r="A1152" t="str">
        <f>"01"</f>
        <v>01</v>
      </c>
      <c r="B1152" t="str">
        <f>"004521"</f>
        <v>004521</v>
      </c>
      <c r="C1152" t="s">
        <v>424</v>
      </c>
      <c r="D1152">
        <v>139130</v>
      </c>
      <c r="E1152" s="4">
        <v>50</v>
      </c>
      <c r="F1152" s="5">
        <v>44606</v>
      </c>
      <c r="G1152" t="str">
        <f>"14-962 1/24/22"</f>
        <v>14-962 1/24/22</v>
      </c>
      <c r="H1152" t="str">
        <f>"RESTITUTION/DEBRA MCCOMB"</f>
        <v>RESTITUTION/DEBRA MCCOMB</v>
      </c>
      <c r="I1152" s="4">
        <v>50</v>
      </c>
      <c r="J1152" t="str">
        <f>"RESTITUTION/DEBRA MCCOMB"</f>
        <v>RESTITUTION/DEBRA MCCOMB</v>
      </c>
    </row>
    <row r="1153" spans="1:10" x14ac:dyDescent="0.25">
      <c r="A1153" t="str">
        <f>"01"</f>
        <v>01</v>
      </c>
      <c r="B1153" t="str">
        <f>"005081"</f>
        <v>005081</v>
      </c>
      <c r="C1153" t="s">
        <v>425</v>
      </c>
      <c r="D1153">
        <v>139131</v>
      </c>
      <c r="E1153" s="4">
        <v>3814.93</v>
      </c>
      <c r="F1153" s="5">
        <v>44606</v>
      </c>
      <c r="G1153" t="str">
        <f>"5006790192"</f>
        <v>5006790192</v>
      </c>
      <c r="H1153" t="str">
        <f>"ACCT#120050140/ANIMAL SVCS"</f>
        <v>ACCT#120050140/ANIMAL SVCS</v>
      </c>
      <c r="I1153" s="4">
        <v>3814.93</v>
      </c>
      <c r="J1153" t="str">
        <f>"ACCT#120050140/ANIMAL SVCS"</f>
        <v>ACCT#120050140/ANIMAL SVCS</v>
      </c>
    </row>
    <row r="1154" spans="1:10" x14ac:dyDescent="0.25">
      <c r="A1154" t="str">
        <f>"01"</f>
        <v>01</v>
      </c>
      <c r="B1154" t="str">
        <f>"T10195"</f>
        <v>T10195</v>
      </c>
      <c r="C1154" t="s">
        <v>426</v>
      </c>
      <c r="D1154">
        <v>139132</v>
      </c>
      <c r="E1154" s="4">
        <v>30906.91</v>
      </c>
      <c r="F1154" s="5">
        <v>44606</v>
      </c>
      <c r="G1154" t="str">
        <f>"202201318611"</f>
        <v>202201318611</v>
      </c>
      <c r="H1154" t="str">
        <f>"Cisco IP Phone"</f>
        <v>Cisco IP Phone</v>
      </c>
      <c r="I1154" s="4">
        <v>256.12</v>
      </c>
      <c r="J1154" t="str">
        <f>"Cisco IP Phone"</f>
        <v>Cisco IP Phone</v>
      </c>
    </row>
    <row r="1155" spans="1:10" x14ac:dyDescent="0.25">
      <c r="A1155" t="str">
        <f>""</f>
        <v/>
      </c>
      <c r="B1155" t="str">
        <f>""</f>
        <v/>
      </c>
      <c r="G1155" t="str">
        <f>"202201318614"</f>
        <v>202201318614</v>
      </c>
      <c r="H1155" t="str">
        <f>"Smartnet Renewal"</f>
        <v>Smartnet Renewal</v>
      </c>
      <c r="I1155" s="4">
        <v>16326</v>
      </c>
      <c r="J1155" t="str">
        <f>"Smartnet Renewal"</f>
        <v>Smartnet Renewal</v>
      </c>
    </row>
    <row r="1156" spans="1:10" x14ac:dyDescent="0.25">
      <c r="A1156" t="str">
        <f>""</f>
        <v/>
      </c>
      <c r="B1156" t="str">
        <f>""</f>
        <v/>
      </c>
      <c r="G1156" t="str">
        <f>"202201318616"</f>
        <v>202201318616</v>
      </c>
      <c r="H1156" t="str">
        <f>"Cisco IP Phone 8811"</f>
        <v>Cisco IP Phone 8811</v>
      </c>
      <c r="I1156" s="4">
        <v>256.12</v>
      </c>
      <c r="J1156" t="str">
        <f>"Cisco IP Phone 8811"</f>
        <v>Cisco IP Phone 8811</v>
      </c>
    </row>
    <row r="1157" spans="1:10" x14ac:dyDescent="0.25">
      <c r="A1157" t="str">
        <f>""</f>
        <v/>
      </c>
      <c r="B1157" t="str">
        <f>""</f>
        <v/>
      </c>
      <c r="G1157" t="str">
        <f>"202201318617"</f>
        <v>202201318617</v>
      </c>
      <c r="H1157" t="str">
        <f>"KNOW BE4 SHI"</f>
        <v>KNOW BE4 SHI</v>
      </c>
      <c r="I1157" s="4">
        <v>11520</v>
      </c>
      <c r="J1157" t="str">
        <f>"KNOW BE4 SHI"</f>
        <v>KNOW BE4 SHI</v>
      </c>
    </row>
    <row r="1158" spans="1:10" x14ac:dyDescent="0.25">
      <c r="A1158" t="str">
        <f>""</f>
        <v/>
      </c>
      <c r="B1158" t="str">
        <f>""</f>
        <v/>
      </c>
      <c r="G1158" t="str">
        <f>"202201318618"</f>
        <v>202201318618</v>
      </c>
      <c r="H1158" t="str">
        <f>"Zoom Meetings Renewal"</f>
        <v>Zoom Meetings Renewal</v>
      </c>
      <c r="I1158" s="4">
        <v>707.9</v>
      </c>
      <c r="J1158" t="str">
        <f>"Zoom Meetings Renewal"</f>
        <v>Zoom Meetings Renewal</v>
      </c>
    </row>
    <row r="1159" spans="1:10" x14ac:dyDescent="0.25">
      <c r="A1159" t="str">
        <f>""</f>
        <v/>
      </c>
      <c r="B1159" t="str">
        <f>""</f>
        <v/>
      </c>
      <c r="G1159" t="str">
        <f>"28583"</f>
        <v>28583</v>
      </c>
      <c r="H1159" t="str">
        <f>"Apple Mac Mini"</f>
        <v>Apple Mac Mini</v>
      </c>
      <c r="I1159" s="4">
        <v>650.07000000000005</v>
      </c>
      <c r="J1159" t="str">
        <f>"Apple Mac Mini"</f>
        <v>Apple Mac Mini</v>
      </c>
    </row>
    <row r="1160" spans="1:10" x14ac:dyDescent="0.25">
      <c r="A1160" t="str">
        <f>""</f>
        <v/>
      </c>
      <c r="B1160" t="str">
        <f>""</f>
        <v/>
      </c>
      <c r="G1160" t="str">
        <f>"28629"</f>
        <v>28629</v>
      </c>
      <c r="H1160" t="str">
        <f>"7414 Notebook Battery"</f>
        <v>7414 Notebook Battery</v>
      </c>
      <c r="I1160" s="4">
        <v>1190.7</v>
      </c>
      <c r="J1160" t="str">
        <f>"7414 Notebook Battery"</f>
        <v>7414 Notebook Battery</v>
      </c>
    </row>
    <row r="1161" spans="1:10" x14ac:dyDescent="0.25">
      <c r="A1161" t="str">
        <f>"01"</f>
        <v>01</v>
      </c>
      <c r="B1161" t="str">
        <f>"004740"</f>
        <v>004740</v>
      </c>
      <c r="C1161" t="s">
        <v>427</v>
      </c>
      <c r="D1161">
        <v>139133</v>
      </c>
      <c r="E1161" s="4">
        <v>571.84</v>
      </c>
      <c r="F1161" s="5">
        <v>44606</v>
      </c>
      <c r="G1161" t="str">
        <f>"202202088826"</f>
        <v>202202088826</v>
      </c>
      <c r="H1161" t="str">
        <f>"INV 8000885319"</f>
        <v>INV 8000885319</v>
      </c>
      <c r="I1161" s="4">
        <v>88.55</v>
      </c>
      <c r="J1161" t="str">
        <f>"INV 8000885319 LE"</f>
        <v>INV 8000885319 LE</v>
      </c>
    </row>
    <row r="1162" spans="1:10" x14ac:dyDescent="0.25">
      <c r="A1162" t="str">
        <f>""</f>
        <v/>
      </c>
      <c r="B1162" t="str">
        <f>""</f>
        <v/>
      </c>
      <c r="G1162" t="str">
        <f>""</f>
        <v/>
      </c>
      <c r="H1162" t="str">
        <f>""</f>
        <v/>
      </c>
      <c r="I1162" s="4">
        <v>88.54</v>
      </c>
      <c r="J1162" t="str">
        <f>"INV 8000885319 JAIL"</f>
        <v>INV 8000885319 JAIL</v>
      </c>
    </row>
    <row r="1163" spans="1:10" x14ac:dyDescent="0.25">
      <c r="A1163" t="str">
        <f>""</f>
        <v/>
      </c>
      <c r="B1163" t="str">
        <f>""</f>
        <v/>
      </c>
      <c r="G1163" t="str">
        <f>"8000694820"</f>
        <v>8000694820</v>
      </c>
      <c r="H1163" t="str">
        <f>"CUST#1000374834/INDIGENT HEALT"</f>
        <v>CUST#1000374834/INDIGENT HEALT</v>
      </c>
      <c r="I1163" s="4">
        <v>40.090000000000003</v>
      </c>
      <c r="J1163" t="str">
        <f>"CUST#1000374834/INDIGENT HEALT"</f>
        <v>CUST#1000374834/INDIGENT HEALT</v>
      </c>
    </row>
    <row r="1164" spans="1:10" x14ac:dyDescent="0.25">
      <c r="A1164" t="str">
        <f>""</f>
        <v/>
      </c>
      <c r="B1164" t="str">
        <f>""</f>
        <v/>
      </c>
      <c r="G1164" t="str">
        <f>""</f>
        <v/>
      </c>
      <c r="H1164" t="str">
        <f>""</f>
        <v/>
      </c>
      <c r="I1164" s="4">
        <v>40.1</v>
      </c>
      <c r="J1164" t="str">
        <f>"CUST#1000374834/INDIGENT HEALT"</f>
        <v>CUST#1000374834/INDIGENT HEALT</v>
      </c>
    </row>
    <row r="1165" spans="1:10" x14ac:dyDescent="0.25">
      <c r="A1165" t="str">
        <f>""</f>
        <v/>
      </c>
      <c r="B1165" t="str">
        <f>""</f>
        <v/>
      </c>
      <c r="G1165" t="str">
        <f>"8000885643"</f>
        <v>8000885643</v>
      </c>
      <c r="H1165" t="str">
        <f>"CUST#1000374050/IT/OEM"</f>
        <v>CUST#1000374050/IT/OEM</v>
      </c>
      <c r="I1165" s="4">
        <v>27.26</v>
      </c>
      <c r="J1165" t="str">
        <f>"CUST#1000374050/IT/OEM"</f>
        <v>CUST#1000374050/IT/OEM</v>
      </c>
    </row>
    <row r="1166" spans="1:10" x14ac:dyDescent="0.25">
      <c r="A1166" t="str">
        <f>""</f>
        <v/>
      </c>
      <c r="B1166" t="str">
        <f>""</f>
        <v/>
      </c>
      <c r="G1166" t="str">
        <f>""</f>
        <v/>
      </c>
      <c r="H1166" t="str">
        <f>""</f>
        <v/>
      </c>
      <c r="I1166" s="4">
        <v>27.26</v>
      </c>
      <c r="J1166" t="str">
        <f>"CUST#1000374050/IT/OEM"</f>
        <v>CUST#1000374050/IT/OEM</v>
      </c>
    </row>
    <row r="1167" spans="1:10" x14ac:dyDescent="0.25">
      <c r="A1167" t="str">
        <f>""</f>
        <v/>
      </c>
      <c r="B1167" t="str">
        <f>""</f>
        <v/>
      </c>
      <c r="G1167" t="str">
        <f>"8000885772"</f>
        <v>8000885772</v>
      </c>
      <c r="H1167" t="str">
        <f>"CUST#1000374390/TAX OFFICE"</f>
        <v>CUST#1000374390/TAX OFFICE</v>
      </c>
      <c r="I1167" s="4">
        <v>185.27</v>
      </c>
      <c r="J1167" t="str">
        <f>"CUST#1000374390/TAX OFFICE"</f>
        <v>CUST#1000374390/TAX OFFICE</v>
      </c>
    </row>
    <row r="1168" spans="1:10" x14ac:dyDescent="0.25">
      <c r="A1168" t="str">
        <f>""</f>
        <v/>
      </c>
      <c r="B1168" t="str">
        <f>""</f>
        <v/>
      </c>
      <c r="G1168" t="str">
        <f>"8000885836"</f>
        <v>8000885836</v>
      </c>
      <c r="H1168" t="str">
        <f>"CUST#1000374545/JP #4"</f>
        <v>CUST#1000374545/JP #4</v>
      </c>
      <c r="I1168" s="4">
        <v>74.77</v>
      </c>
      <c r="J1168" t="str">
        <f>"CUST#1000374545/JP #4"</f>
        <v>CUST#1000374545/JP #4</v>
      </c>
    </row>
    <row r="1169" spans="1:10" x14ac:dyDescent="0.25">
      <c r="A1169" t="str">
        <f t="shared" ref="A1169:A1174" si="36">"01"</f>
        <v>01</v>
      </c>
      <c r="B1169" t="str">
        <f>"001260"</f>
        <v>001260</v>
      </c>
      <c r="C1169" t="s">
        <v>428</v>
      </c>
      <c r="D1169">
        <v>139349</v>
      </c>
      <c r="E1169" s="4">
        <v>170.71</v>
      </c>
      <c r="F1169" s="5">
        <v>44620</v>
      </c>
      <c r="G1169" t="str">
        <f>"202202229278"</f>
        <v>202202229278</v>
      </c>
      <c r="H1169" t="str">
        <f>"INDIGENT HEALTH"</f>
        <v>INDIGENT HEALTH</v>
      </c>
      <c r="I1169" s="4">
        <v>170.71</v>
      </c>
      <c r="J1169" t="str">
        <f>"INDIGENT HEALTH"</f>
        <v>INDIGENT HEALTH</v>
      </c>
    </row>
    <row r="1170" spans="1:10" x14ac:dyDescent="0.25">
      <c r="A1170" t="str">
        <f t="shared" si="36"/>
        <v>01</v>
      </c>
      <c r="B1170" t="str">
        <f>"005762"</f>
        <v>005762</v>
      </c>
      <c r="C1170" t="s">
        <v>429</v>
      </c>
      <c r="D1170">
        <v>5774</v>
      </c>
      <c r="E1170" s="4">
        <v>360</v>
      </c>
      <c r="F1170" s="5">
        <v>44607</v>
      </c>
      <c r="G1170" t="str">
        <f>"377291"</f>
        <v>377291</v>
      </c>
      <c r="H1170" t="str">
        <f>"PUMPED AND CLEAN SEPTIC"</f>
        <v>PUMPED AND CLEAN SEPTIC</v>
      </c>
      <c r="I1170" s="4">
        <v>360</v>
      </c>
      <c r="J1170" t="str">
        <f>"PUMPED AND CLEAN SEPTIC"</f>
        <v>PUMPED AND CLEAN SEPTIC</v>
      </c>
    </row>
    <row r="1171" spans="1:10" x14ac:dyDescent="0.25">
      <c r="A1171" t="str">
        <f t="shared" si="36"/>
        <v>01</v>
      </c>
      <c r="B1171" t="str">
        <f>"005920"</f>
        <v>005920</v>
      </c>
      <c r="C1171" t="s">
        <v>430</v>
      </c>
      <c r="D1171">
        <v>139134</v>
      </c>
      <c r="E1171" s="4">
        <v>75.38</v>
      </c>
      <c r="F1171" s="5">
        <v>44606</v>
      </c>
      <c r="G1171" t="str">
        <f>"202202098841"</f>
        <v>202202098841</v>
      </c>
      <c r="H1171" t="str">
        <f>"JAIL MEDICAL"</f>
        <v>JAIL MEDICAL</v>
      </c>
      <c r="I1171" s="4">
        <v>75.38</v>
      </c>
      <c r="J1171" t="str">
        <f>"JAIL MEDICAL"</f>
        <v>JAIL MEDICAL</v>
      </c>
    </row>
    <row r="1172" spans="1:10" x14ac:dyDescent="0.25">
      <c r="A1172" t="str">
        <f t="shared" si="36"/>
        <v>01</v>
      </c>
      <c r="B1172" t="str">
        <f>"005920"</f>
        <v>005920</v>
      </c>
      <c r="C1172" t="s">
        <v>430</v>
      </c>
      <c r="D1172">
        <v>139350</v>
      </c>
      <c r="E1172" s="4">
        <v>27</v>
      </c>
      <c r="F1172" s="5">
        <v>44620</v>
      </c>
      <c r="G1172" t="str">
        <f>"202202229279"</f>
        <v>202202229279</v>
      </c>
      <c r="H1172" t="str">
        <f>"INDIGENT HEALTH"</f>
        <v>INDIGENT HEALTH</v>
      </c>
      <c r="I1172" s="4">
        <v>27</v>
      </c>
      <c r="J1172" t="str">
        <f>"INDIGENT HEALTH"</f>
        <v>INDIGENT HEALTH</v>
      </c>
    </row>
    <row r="1173" spans="1:10" x14ac:dyDescent="0.25">
      <c r="A1173" t="str">
        <f t="shared" si="36"/>
        <v>01</v>
      </c>
      <c r="B1173" t="str">
        <f>"004284"</f>
        <v>004284</v>
      </c>
      <c r="C1173" t="s">
        <v>431</v>
      </c>
      <c r="D1173">
        <v>139135</v>
      </c>
      <c r="E1173" s="4">
        <v>349</v>
      </c>
      <c r="F1173" s="5">
        <v>44606</v>
      </c>
      <c r="G1173" t="str">
        <f>"8125010"</f>
        <v>8125010</v>
      </c>
      <c r="H1173" t="str">
        <f>"CUST#12909105/HR"</f>
        <v>CUST#12909105/HR</v>
      </c>
      <c r="I1173" s="4">
        <v>349</v>
      </c>
      <c r="J1173" t="str">
        <f>"CUST#12909105/HR"</f>
        <v>CUST#12909105/HR</v>
      </c>
    </row>
    <row r="1174" spans="1:10" x14ac:dyDescent="0.25">
      <c r="A1174" t="str">
        <f t="shared" si="36"/>
        <v>01</v>
      </c>
      <c r="B1174" t="str">
        <f>"SS"</f>
        <v>SS</v>
      </c>
      <c r="C1174" t="s">
        <v>432</v>
      </c>
      <c r="D1174">
        <v>139136</v>
      </c>
      <c r="E1174" s="4">
        <v>3244.77</v>
      </c>
      <c r="F1174" s="5">
        <v>44606</v>
      </c>
      <c r="G1174" t="str">
        <f>"38622"</f>
        <v>38622</v>
      </c>
      <c r="H1174" t="str">
        <f>"SUPPLIES/PCT#1"</f>
        <v>SUPPLIES/PCT#1</v>
      </c>
      <c r="I1174" s="4">
        <v>3031.8</v>
      </c>
      <c r="J1174" t="str">
        <f>"SUPPLIES/PCT#1"</f>
        <v>SUPPLIES/PCT#1</v>
      </c>
    </row>
    <row r="1175" spans="1:10" x14ac:dyDescent="0.25">
      <c r="A1175" t="str">
        <f>""</f>
        <v/>
      </c>
      <c r="B1175" t="str">
        <f>""</f>
        <v/>
      </c>
      <c r="G1175" t="str">
        <f>"38623"</f>
        <v>38623</v>
      </c>
      <c r="H1175" t="str">
        <f>"SUPPLIES/PCT#2"</f>
        <v>SUPPLIES/PCT#2</v>
      </c>
      <c r="I1175" s="4">
        <v>15.98</v>
      </c>
      <c r="J1175" t="str">
        <f>"SUPPLIES/PCT#2"</f>
        <v>SUPPLIES/PCT#2</v>
      </c>
    </row>
    <row r="1176" spans="1:10" x14ac:dyDescent="0.25">
      <c r="A1176" t="str">
        <f>""</f>
        <v/>
      </c>
      <c r="B1176" t="str">
        <f>""</f>
        <v/>
      </c>
      <c r="G1176" t="str">
        <f>""</f>
        <v/>
      </c>
      <c r="H1176" t="str">
        <f>""</f>
        <v/>
      </c>
      <c r="I1176" s="4">
        <v>94.59</v>
      </c>
      <c r="J1176" t="str">
        <f>"SUPPLIES/PCT#2"</f>
        <v>SUPPLIES/PCT#2</v>
      </c>
    </row>
    <row r="1177" spans="1:10" x14ac:dyDescent="0.25">
      <c r="A1177" t="str">
        <f>""</f>
        <v/>
      </c>
      <c r="B1177" t="str">
        <f>""</f>
        <v/>
      </c>
      <c r="G1177" t="str">
        <f>""</f>
        <v/>
      </c>
      <c r="H1177" t="str">
        <f>""</f>
        <v/>
      </c>
      <c r="I1177" s="4">
        <v>102.4</v>
      </c>
      <c r="J1177" t="str">
        <f>"SUPPLIES/PCT#2"</f>
        <v>SUPPLIES/PCT#2</v>
      </c>
    </row>
    <row r="1178" spans="1:10" x14ac:dyDescent="0.25">
      <c r="A1178" t="str">
        <f>"01"</f>
        <v>01</v>
      </c>
      <c r="B1178" t="str">
        <f>"SPD"</f>
        <v>SPD</v>
      </c>
      <c r="C1178" t="s">
        <v>433</v>
      </c>
      <c r="D1178">
        <v>139137</v>
      </c>
      <c r="E1178" s="4">
        <v>5</v>
      </c>
      <c r="F1178" s="5">
        <v>44606</v>
      </c>
      <c r="G1178" t="str">
        <f>"202202028695"</f>
        <v>202202028695</v>
      </c>
      <c r="H1178" t="str">
        <f>"ARREST FEES/JULY-SEPT/21"</f>
        <v>ARREST FEES/JULY-SEPT/21</v>
      </c>
      <c r="I1178" s="4">
        <v>4.49</v>
      </c>
      <c r="J1178" t="str">
        <f>"ARREST FEES/JULY-SEPT/21"</f>
        <v>ARREST FEES/JULY-SEPT/21</v>
      </c>
    </row>
    <row r="1179" spans="1:10" x14ac:dyDescent="0.25">
      <c r="A1179" t="str">
        <f>""</f>
        <v/>
      </c>
      <c r="B1179" t="str">
        <f>""</f>
        <v/>
      </c>
      <c r="G1179" t="str">
        <f>"202202028696"</f>
        <v>202202028696</v>
      </c>
      <c r="H1179" t="str">
        <f>"ARREST FEES/OCTOBER-DEC/21"</f>
        <v>ARREST FEES/OCTOBER-DEC/21</v>
      </c>
      <c r="I1179" s="4">
        <v>0.51</v>
      </c>
      <c r="J1179" t="str">
        <f>"ARREST FEES/OCTOBER-DEC/21"</f>
        <v>ARREST FEES/OCTOBER-DEC/21</v>
      </c>
    </row>
    <row r="1180" spans="1:10" x14ac:dyDescent="0.25">
      <c r="A1180" t="str">
        <f>"01"</f>
        <v>01</v>
      </c>
      <c r="B1180" t="str">
        <f>"002694"</f>
        <v>002694</v>
      </c>
      <c r="C1180" t="s">
        <v>434</v>
      </c>
      <c r="D1180">
        <v>139138</v>
      </c>
      <c r="E1180" s="4">
        <v>301</v>
      </c>
      <c r="F1180" s="5">
        <v>44606</v>
      </c>
      <c r="G1180" t="str">
        <f>"28531"</f>
        <v>28531</v>
      </c>
      <c r="H1180" t="str">
        <f>"Solar Winds"</f>
        <v>Solar Winds</v>
      </c>
      <c r="I1180" s="4">
        <v>301</v>
      </c>
      <c r="J1180" t="str">
        <f>"Solar Winds"</f>
        <v>Solar Winds</v>
      </c>
    </row>
    <row r="1181" spans="1:10" x14ac:dyDescent="0.25">
      <c r="A1181" t="str">
        <f>"01"</f>
        <v>01</v>
      </c>
      <c r="B1181" t="str">
        <f>"006477"</f>
        <v>006477</v>
      </c>
      <c r="C1181" t="s">
        <v>435</v>
      </c>
      <c r="D1181">
        <v>139139</v>
      </c>
      <c r="E1181" s="4">
        <v>2063.33</v>
      </c>
      <c r="F1181" s="5">
        <v>44606</v>
      </c>
      <c r="G1181" t="str">
        <f>"22T-737"</f>
        <v>22T-737</v>
      </c>
      <c r="H1181" t="str">
        <f>"JAN 2022/PERMIT SOFTWARE"</f>
        <v>JAN 2022/PERMIT SOFTWARE</v>
      </c>
      <c r="I1181" s="4">
        <v>2063.33</v>
      </c>
      <c r="J1181" t="str">
        <f>"JAN 2022/PERMIT SOFTWARE"</f>
        <v>JAN 2022/PERMIT SOFTWARE</v>
      </c>
    </row>
    <row r="1182" spans="1:10" x14ac:dyDescent="0.25">
      <c r="A1182" t="str">
        <f>"01"</f>
        <v>01</v>
      </c>
      <c r="B1182" t="str">
        <f>"T1656"</f>
        <v>T1656</v>
      </c>
      <c r="C1182" t="s">
        <v>436</v>
      </c>
      <c r="D1182">
        <v>139140</v>
      </c>
      <c r="E1182" s="4">
        <v>300</v>
      </c>
      <c r="F1182" s="5">
        <v>44606</v>
      </c>
      <c r="G1182" t="str">
        <f>"202202098930"</f>
        <v>202202098930</v>
      </c>
      <c r="H1182" t="str">
        <f>"FY 2022 MEMBERSHIP DUES"</f>
        <v>FY 2022 MEMBERSHIP DUES</v>
      </c>
      <c r="I1182" s="4">
        <v>300</v>
      </c>
      <c r="J1182" t="str">
        <f>"FY 2022 MEMBERSHIP DUES"</f>
        <v>FY 2022 MEMBERSHIP DUES</v>
      </c>
    </row>
    <row r="1183" spans="1:10" x14ac:dyDescent="0.25">
      <c r="A1183" t="str">
        <f>"01"</f>
        <v>01</v>
      </c>
      <c r="B1183" t="str">
        <f>"STM"</f>
        <v>STM</v>
      </c>
      <c r="C1183" t="s">
        <v>437</v>
      </c>
      <c r="D1183">
        <v>139141</v>
      </c>
      <c r="E1183" s="4">
        <v>7790.9</v>
      </c>
      <c r="F1183" s="5">
        <v>44606</v>
      </c>
      <c r="G1183" t="str">
        <f>"4240038320"</f>
        <v>4240038320</v>
      </c>
      <c r="H1183" t="str">
        <f>"INV 4240038320"</f>
        <v>INV 4240038320</v>
      </c>
      <c r="I1183" s="4">
        <v>240.5</v>
      </c>
      <c r="J1183" t="str">
        <f>"INV 4240038320"</f>
        <v>INV 4240038320</v>
      </c>
    </row>
    <row r="1184" spans="1:10" x14ac:dyDescent="0.25">
      <c r="A1184" t="str">
        <f>""</f>
        <v/>
      </c>
      <c r="B1184" t="str">
        <f>""</f>
        <v/>
      </c>
      <c r="G1184" t="str">
        <f>"4650101980"</f>
        <v>4650101980</v>
      </c>
      <c r="H1184" t="str">
        <f>"CUST#0052157/PCT#4"</f>
        <v>CUST#0052157/PCT#4</v>
      </c>
      <c r="I1184" s="4">
        <v>1309.24</v>
      </c>
      <c r="J1184" t="str">
        <f>"CUST#0052157/PCT#4"</f>
        <v>CUST#0052157/PCT#4</v>
      </c>
    </row>
    <row r="1185" spans="1:10" x14ac:dyDescent="0.25">
      <c r="A1185" t="str">
        <f>""</f>
        <v/>
      </c>
      <c r="B1185" t="str">
        <f>""</f>
        <v/>
      </c>
      <c r="G1185" t="str">
        <f>"4650102654"</f>
        <v>4650102654</v>
      </c>
      <c r="H1185" t="str">
        <f>"CUST#0052157/PCT#3"</f>
        <v>CUST#0052157/PCT#3</v>
      </c>
      <c r="I1185" s="4">
        <v>2541.34</v>
      </c>
      <c r="J1185" t="str">
        <f>"CUST#0052157/PCT#3"</f>
        <v>CUST#0052157/PCT#3</v>
      </c>
    </row>
    <row r="1186" spans="1:10" x14ac:dyDescent="0.25">
      <c r="A1186" t="str">
        <f>""</f>
        <v/>
      </c>
      <c r="B1186" t="str">
        <f>""</f>
        <v/>
      </c>
      <c r="G1186" t="str">
        <f>"4650102912"</f>
        <v>4650102912</v>
      </c>
      <c r="H1186" t="str">
        <f>"CUST#0052157/PCT#1"</f>
        <v>CUST#0052157/PCT#1</v>
      </c>
      <c r="I1186" s="4">
        <v>1384.36</v>
      </c>
      <c r="J1186" t="str">
        <f>"CUST#0052157/PCT#1"</f>
        <v>CUST#0052157/PCT#1</v>
      </c>
    </row>
    <row r="1187" spans="1:10" x14ac:dyDescent="0.25">
      <c r="A1187" t="str">
        <f>""</f>
        <v/>
      </c>
      <c r="B1187" t="str">
        <f>""</f>
        <v/>
      </c>
      <c r="G1187" t="str">
        <f>"4650103237"</f>
        <v>4650103237</v>
      </c>
      <c r="H1187" t="str">
        <f>"CUST#0052157/PCT#1"</f>
        <v>CUST#0052157/PCT#1</v>
      </c>
      <c r="I1187" s="4">
        <v>2315.46</v>
      </c>
      <c r="J1187" t="str">
        <f>"CUST#0052157/PCT#1"</f>
        <v>CUST#0052157/PCT#1</v>
      </c>
    </row>
    <row r="1188" spans="1:10" x14ac:dyDescent="0.25">
      <c r="A1188" t="str">
        <f>"01"</f>
        <v>01</v>
      </c>
      <c r="B1188" t="str">
        <f>"STM"</f>
        <v>STM</v>
      </c>
      <c r="C1188" t="s">
        <v>437</v>
      </c>
      <c r="D1188">
        <v>139351</v>
      </c>
      <c r="E1188" s="4">
        <v>3920.88</v>
      </c>
      <c r="F1188" s="5">
        <v>44620</v>
      </c>
      <c r="G1188" t="str">
        <f>"4240038529"</f>
        <v>4240038529</v>
      </c>
      <c r="H1188" t="str">
        <f>"INV 4240038529"</f>
        <v>INV 4240038529</v>
      </c>
      <c r="I1188" s="4">
        <v>1570.08</v>
      </c>
      <c r="J1188" t="str">
        <f>"INV 4240038529"</f>
        <v>INV 4240038529</v>
      </c>
    </row>
    <row r="1189" spans="1:10" x14ac:dyDescent="0.25">
      <c r="A1189" t="str">
        <f>""</f>
        <v/>
      </c>
      <c r="B1189" t="str">
        <f>""</f>
        <v/>
      </c>
      <c r="G1189" t="str">
        <f>"4650104257"</f>
        <v>4650104257</v>
      </c>
      <c r="H1189" t="str">
        <f>"CUST#0052157/PCT#3"</f>
        <v>CUST#0052157/PCT#3</v>
      </c>
      <c r="I1189" s="4">
        <v>2160.3000000000002</v>
      </c>
      <c r="J1189" t="str">
        <f>"CUST#0052157/PCT#3"</f>
        <v>CUST#0052157/PCT#3</v>
      </c>
    </row>
    <row r="1190" spans="1:10" x14ac:dyDescent="0.25">
      <c r="A1190" t="str">
        <f>""</f>
        <v/>
      </c>
      <c r="B1190" t="str">
        <f>""</f>
        <v/>
      </c>
      <c r="G1190" t="str">
        <f>"4650104793"</f>
        <v>4650104793</v>
      </c>
      <c r="H1190" t="str">
        <f>"CUST#0052158/PCT#1"</f>
        <v>CUST#0052158/PCT#1</v>
      </c>
      <c r="I1190" s="4">
        <v>190.5</v>
      </c>
      <c r="J1190" t="str">
        <f>"CUST#0052158/PCT#1"</f>
        <v>CUST#0052158/PCT#1</v>
      </c>
    </row>
    <row r="1191" spans="1:10" x14ac:dyDescent="0.25">
      <c r="A1191" t="str">
        <f t="shared" ref="A1191:A1196" si="37">"01"</f>
        <v>01</v>
      </c>
      <c r="B1191" t="str">
        <f>"T11061"</f>
        <v>T11061</v>
      </c>
      <c r="C1191" t="s">
        <v>438</v>
      </c>
      <c r="D1191">
        <v>139142</v>
      </c>
      <c r="E1191" s="4">
        <v>89.35</v>
      </c>
      <c r="F1191" s="5">
        <v>44606</v>
      </c>
      <c r="G1191" t="str">
        <f>"9604456-012722"</f>
        <v>9604456-012722</v>
      </c>
      <c r="H1191" t="str">
        <f>"CUST#46668439604456/JP#2"</f>
        <v>CUST#46668439604456/JP#2</v>
      </c>
      <c r="I1191" s="4">
        <v>89.35</v>
      </c>
      <c r="J1191" t="str">
        <f>"CUST#46668439604456/JP#2"</f>
        <v>CUST#46668439604456/JP#2</v>
      </c>
    </row>
    <row r="1192" spans="1:10" x14ac:dyDescent="0.25">
      <c r="A1192" t="str">
        <f t="shared" si="37"/>
        <v>01</v>
      </c>
      <c r="B1192" t="str">
        <f>"004843"</f>
        <v>004843</v>
      </c>
      <c r="C1192" t="s">
        <v>439</v>
      </c>
      <c r="D1192">
        <v>139143</v>
      </c>
      <c r="E1192" s="4">
        <v>278.63</v>
      </c>
      <c r="F1192" s="5">
        <v>44606</v>
      </c>
      <c r="G1192" t="str">
        <f>"S1201700"</f>
        <v>S1201700</v>
      </c>
      <c r="H1192" t="str">
        <f>"ACCT#114382/ANIMAL SHELTER"</f>
        <v>ACCT#114382/ANIMAL SHELTER</v>
      </c>
      <c r="I1192" s="4">
        <v>278.63</v>
      </c>
      <c r="J1192" t="str">
        <f>"ACCT#114382/ANIMAL SHELTER"</f>
        <v>ACCT#114382/ANIMAL SHELTER</v>
      </c>
    </row>
    <row r="1193" spans="1:10" x14ac:dyDescent="0.25">
      <c r="A1193" t="str">
        <f t="shared" si="37"/>
        <v>01</v>
      </c>
      <c r="B1193" t="str">
        <f>"T8972"</f>
        <v>T8972</v>
      </c>
      <c r="C1193" t="s">
        <v>440</v>
      </c>
      <c r="D1193">
        <v>139144</v>
      </c>
      <c r="E1193" s="4">
        <v>3251.03</v>
      </c>
      <c r="F1193" s="5">
        <v>44606</v>
      </c>
      <c r="G1193" t="str">
        <f>"202202098840"</f>
        <v>202202098840</v>
      </c>
      <c r="H1193" t="str">
        <f>"JAIL MEDICAL"</f>
        <v>JAIL MEDICAL</v>
      </c>
      <c r="I1193" s="4">
        <v>3251.03</v>
      </c>
      <c r="J1193" t="str">
        <f>"JAIL MEDICAL"</f>
        <v>JAIL MEDICAL</v>
      </c>
    </row>
    <row r="1194" spans="1:10" x14ac:dyDescent="0.25">
      <c r="A1194" t="str">
        <f t="shared" si="37"/>
        <v>01</v>
      </c>
      <c r="B1194" t="str">
        <f>"004527"</f>
        <v>004527</v>
      </c>
      <c r="C1194" t="s">
        <v>441</v>
      </c>
      <c r="D1194">
        <v>139352</v>
      </c>
      <c r="E1194" s="4">
        <v>114.69</v>
      </c>
      <c r="F1194" s="5">
        <v>44620</v>
      </c>
      <c r="G1194" t="str">
        <f>"202202229280"</f>
        <v>202202229280</v>
      </c>
      <c r="H1194" t="str">
        <f>"INDIGENT HEALTH"</f>
        <v>INDIGENT HEALTH</v>
      </c>
      <c r="I1194" s="4">
        <v>114.69</v>
      </c>
      <c r="J1194" t="str">
        <f>"INDIGENT HEALTH"</f>
        <v>INDIGENT HEALTH</v>
      </c>
    </row>
    <row r="1195" spans="1:10" x14ac:dyDescent="0.25">
      <c r="A1195" t="str">
        <f t="shared" si="37"/>
        <v>01</v>
      </c>
      <c r="B1195" t="str">
        <f>"T13088"</f>
        <v>T13088</v>
      </c>
      <c r="C1195" t="s">
        <v>442</v>
      </c>
      <c r="D1195">
        <v>139353</v>
      </c>
      <c r="E1195" s="4">
        <v>164.4</v>
      </c>
      <c r="F1195" s="5">
        <v>44620</v>
      </c>
      <c r="G1195" t="str">
        <f>"202202229281"</f>
        <v>202202229281</v>
      </c>
      <c r="H1195" t="str">
        <f>"INDIGENT HEALTH"</f>
        <v>INDIGENT HEALTH</v>
      </c>
      <c r="I1195" s="4">
        <v>164.4</v>
      </c>
      <c r="J1195" t="str">
        <f>"INDIGENT HEALTH"</f>
        <v>INDIGENT HEALTH</v>
      </c>
    </row>
    <row r="1196" spans="1:10" x14ac:dyDescent="0.25">
      <c r="A1196" t="str">
        <f t="shared" si="37"/>
        <v>01</v>
      </c>
      <c r="B1196" t="str">
        <f>"003508"</f>
        <v>003508</v>
      </c>
      <c r="C1196" t="s">
        <v>443</v>
      </c>
      <c r="D1196">
        <v>139145</v>
      </c>
      <c r="E1196" s="4">
        <v>3537.71</v>
      </c>
      <c r="F1196" s="5">
        <v>44606</v>
      </c>
      <c r="G1196" t="str">
        <f>"8064924083"</f>
        <v>8064924083</v>
      </c>
      <c r="H1196" t="str">
        <f>"01.15"</f>
        <v>01.15</v>
      </c>
      <c r="I1196" s="4">
        <v>10.64</v>
      </c>
      <c r="J1196" t="str">
        <f>"3497642890"</f>
        <v>3497642890</v>
      </c>
    </row>
    <row r="1197" spans="1:10" x14ac:dyDescent="0.25">
      <c r="A1197" t="str">
        <f>""</f>
        <v/>
      </c>
      <c r="B1197" t="str">
        <f>""</f>
        <v/>
      </c>
      <c r="G1197" t="str">
        <f>""</f>
        <v/>
      </c>
      <c r="H1197" t="str">
        <f>""</f>
        <v/>
      </c>
      <c r="I1197" s="4">
        <v>161.44999999999999</v>
      </c>
      <c r="J1197" t="str">
        <f>"3497642893"</f>
        <v>3497642893</v>
      </c>
    </row>
    <row r="1198" spans="1:10" x14ac:dyDescent="0.25">
      <c r="A1198" t="str">
        <f>""</f>
        <v/>
      </c>
      <c r="B1198" t="str">
        <f>""</f>
        <v/>
      </c>
      <c r="G1198" t="str">
        <f>""</f>
        <v/>
      </c>
      <c r="H1198" t="str">
        <f>""</f>
        <v/>
      </c>
      <c r="I1198" s="4">
        <v>54.04</v>
      </c>
      <c r="J1198" t="str">
        <f>"3497642894"</f>
        <v>3497642894</v>
      </c>
    </row>
    <row r="1199" spans="1:10" x14ac:dyDescent="0.25">
      <c r="A1199" t="str">
        <f>""</f>
        <v/>
      </c>
      <c r="B1199" t="str">
        <f>""</f>
        <v/>
      </c>
      <c r="G1199" t="str">
        <f>""</f>
        <v/>
      </c>
      <c r="H1199" t="str">
        <f>""</f>
        <v/>
      </c>
      <c r="I1199" s="4">
        <v>240.09</v>
      </c>
      <c r="J1199" t="str">
        <f>"3497642898"</f>
        <v>3497642898</v>
      </c>
    </row>
    <row r="1200" spans="1:10" x14ac:dyDescent="0.25">
      <c r="A1200" t="str">
        <f>""</f>
        <v/>
      </c>
      <c r="B1200" t="str">
        <f>""</f>
        <v/>
      </c>
      <c r="G1200" t="str">
        <f>""</f>
        <v/>
      </c>
      <c r="H1200" t="str">
        <f>""</f>
        <v/>
      </c>
      <c r="I1200" s="4">
        <v>110.1</v>
      </c>
      <c r="J1200" t="str">
        <f>"3497642899"</f>
        <v>3497642899</v>
      </c>
    </row>
    <row r="1201" spans="1:10" x14ac:dyDescent="0.25">
      <c r="A1201" t="str">
        <f>""</f>
        <v/>
      </c>
      <c r="B1201" t="str">
        <f>""</f>
        <v/>
      </c>
      <c r="G1201" t="str">
        <f>""</f>
        <v/>
      </c>
      <c r="H1201" t="str">
        <f>""</f>
        <v/>
      </c>
      <c r="I1201" s="4">
        <v>391.18</v>
      </c>
      <c r="J1201" t="str">
        <f>"3497642900"</f>
        <v>3497642900</v>
      </c>
    </row>
    <row r="1202" spans="1:10" x14ac:dyDescent="0.25">
      <c r="A1202" t="str">
        <f>""</f>
        <v/>
      </c>
      <c r="B1202" t="str">
        <f>""</f>
        <v/>
      </c>
      <c r="G1202" t="str">
        <f>""</f>
        <v/>
      </c>
      <c r="H1202" t="str">
        <f>""</f>
        <v/>
      </c>
      <c r="I1202" s="4">
        <v>225.82</v>
      </c>
      <c r="J1202" t="str">
        <f>"3497642901"</f>
        <v>3497642901</v>
      </c>
    </row>
    <row r="1203" spans="1:10" x14ac:dyDescent="0.25">
      <c r="A1203" t="str">
        <f>""</f>
        <v/>
      </c>
      <c r="B1203" t="str">
        <f>""</f>
        <v/>
      </c>
      <c r="G1203" t="str">
        <f>""</f>
        <v/>
      </c>
      <c r="H1203" t="str">
        <f>""</f>
        <v/>
      </c>
      <c r="I1203" s="4">
        <v>87.93</v>
      </c>
      <c r="J1203" t="str">
        <f>"3497642902"</f>
        <v>3497642902</v>
      </c>
    </row>
    <row r="1204" spans="1:10" x14ac:dyDescent="0.25">
      <c r="A1204" t="str">
        <f>""</f>
        <v/>
      </c>
      <c r="B1204" t="str">
        <f>""</f>
        <v/>
      </c>
      <c r="G1204" t="str">
        <f>""</f>
        <v/>
      </c>
      <c r="H1204" t="str">
        <f>""</f>
        <v/>
      </c>
      <c r="I1204" s="4">
        <v>204.47</v>
      </c>
      <c r="J1204" t="str">
        <f>"3497642903"</f>
        <v>3497642903</v>
      </c>
    </row>
    <row r="1205" spans="1:10" x14ac:dyDescent="0.25">
      <c r="A1205" t="str">
        <f>""</f>
        <v/>
      </c>
      <c r="B1205" t="str">
        <f>""</f>
        <v/>
      </c>
      <c r="G1205" t="str">
        <f>""</f>
        <v/>
      </c>
      <c r="H1205" t="str">
        <f>""</f>
        <v/>
      </c>
      <c r="I1205" s="4">
        <v>250.26</v>
      </c>
      <c r="J1205" t="str">
        <f>"3497642895"</f>
        <v>3497642895</v>
      </c>
    </row>
    <row r="1206" spans="1:10" x14ac:dyDescent="0.25">
      <c r="A1206" t="str">
        <f>""</f>
        <v/>
      </c>
      <c r="B1206" t="str">
        <f>""</f>
        <v/>
      </c>
      <c r="G1206" t="str">
        <f>"8065100067"</f>
        <v>8065100067</v>
      </c>
      <c r="H1206" t="str">
        <f>"02.01"</f>
        <v>02.01</v>
      </c>
      <c r="I1206" s="4">
        <v>9.7899999999999991</v>
      </c>
      <c r="J1206" t="str">
        <f>"3499180573"</f>
        <v>3499180573</v>
      </c>
    </row>
    <row r="1207" spans="1:10" x14ac:dyDescent="0.25">
      <c r="A1207" t="str">
        <f>""</f>
        <v/>
      </c>
      <c r="B1207" t="str">
        <f>""</f>
        <v/>
      </c>
      <c r="G1207" t="str">
        <f>""</f>
        <v/>
      </c>
      <c r="H1207" t="str">
        <f>""</f>
        <v/>
      </c>
      <c r="I1207" s="4">
        <v>20.9</v>
      </c>
      <c r="J1207" t="str">
        <f>"3499180571"</f>
        <v>3499180571</v>
      </c>
    </row>
    <row r="1208" spans="1:10" x14ac:dyDescent="0.25">
      <c r="A1208" t="str">
        <f>""</f>
        <v/>
      </c>
      <c r="B1208" t="str">
        <f>""</f>
        <v/>
      </c>
      <c r="G1208" t="str">
        <f>""</f>
        <v/>
      </c>
      <c r="H1208" t="str">
        <f>""</f>
        <v/>
      </c>
      <c r="I1208" s="4">
        <v>37.96</v>
      </c>
      <c r="J1208" t="str">
        <f>"3499180572"</f>
        <v>3499180572</v>
      </c>
    </row>
    <row r="1209" spans="1:10" x14ac:dyDescent="0.25">
      <c r="A1209" t="str">
        <f>""</f>
        <v/>
      </c>
      <c r="B1209" t="str">
        <f>""</f>
        <v/>
      </c>
      <c r="G1209" t="str">
        <f>""</f>
        <v/>
      </c>
      <c r="H1209" t="str">
        <f>""</f>
        <v/>
      </c>
      <c r="I1209" s="4">
        <v>990.33</v>
      </c>
      <c r="J1209" t="str">
        <f>"3499180567"</f>
        <v>3499180567</v>
      </c>
    </row>
    <row r="1210" spans="1:10" x14ac:dyDescent="0.25">
      <c r="A1210" t="str">
        <f>""</f>
        <v/>
      </c>
      <c r="B1210" t="str">
        <f>""</f>
        <v/>
      </c>
      <c r="G1210" t="str">
        <f>""</f>
        <v/>
      </c>
      <c r="H1210" t="str">
        <f>""</f>
        <v/>
      </c>
      <c r="I1210" s="4">
        <v>-1148.1400000000001</v>
      </c>
      <c r="J1210" t="str">
        <f>"3499180575"</f>
        <v>3499180575</v>
      </c>
    </row>
    <row r="1211" spans="1:10" x14ac:dyDescent="0.25">
      <c r="A1211" t="str">
        <f>""</f>
        <v/>
      </c>
      <c r="B1211" t="str">
        <f>""</f>
        <v/>
      </c>
      <c r="G1211" t="str">
        <f>""</f>
        <v/>
      </c>
      <c r="H1211" t="str">
        <f>""</f>
        <v/>
      </c>
      <c r="I1211" s="4">
        <v>55.24</v>
      </c>
      <c r="J1211" t="str">
        <f>"3499180576"</f>
        <v>3499180576</v>
      </c>
    </row>
    <row r="1212" spans="1:10" x14ac:dyDescent="0.25">
      <c r="A1212" t="str">
        <f>""</f>
        <v/>
      </c>
      <c r="B1212" t="str">
        <f>""</f>
        <v/>
      </c>
      <c r="G1212" t="str">
        <f>""</f>
        <v/>
      </c>
      <c r="H1212" t="str">
        <f>""</f>
        <v/>
      </c>
      <c r="I1212" s="4">
        <v>53.77</v>
      </c>
      <c r="J1212" t="str">
        <f>"3499180577"</f>
        <v>3499180577</v>
      </c>
    </row>
    <row r="1213" spans="1:10" x14ac:dyDescent="0.25">
      <c r="A1213" t="str">
        <f>""</f>
        <v/>
      </c>
      <c r="B1213" t="str">
        <f>""</f>
        <v/>
      </c>
      <c r="G1213" t="str">
        <f>""</f>
        <v/>
      </c>
      <c r="H1213" t="str">
        <f>""</f>
        <v/>
      </c>
      <c r="I1213" s="4">
        <v>442.11</v>
      </c>
      <c r="J1213" t="str">
        <f>"3499180568"</f>
        <v>3499180568</v>
      </c>
    </row>
    <row r="1214" spans="1:10" x14ac:dyDescent="0.25">
      <c r="A1214" t="str">
        <f>""</f>
        <v/>
      </c>
      <c r="B1214" t="str">
        <f>""</f>
        <v/>
      </c>
      <c r="G1214" t="str">
        <f>""</f>
        <v/>
      </c>
      <c r="H1214" t="str">
        <f>""</f>
        <v/>
      </c>
      <c r="I1214" s="4">
        <v>18</v>
      </c>
      <c r="J1214" t="str">
        <f>"3499180569"</f>
        <v>3499180569</v>
      </c>
    </row>
    <row r="1215" spans="1:10" x14ac:dyDescent="0.25">
      <c r="A1215" t="str">
        <f>""</f>
        <v/>
      </c>
      <c r="B1215" t="str">
        <f>""</f>
        <v/>
      </c>
      <c r="G1215" t="str">
        <f>""</f>
        <v/>
      </c>
      <c r="H1215" t="str">
        <f>""</f>
        <v/>
      </c>
      <c r="I1215" s="4">
        <v>192.78</v>
      </c>
      <c r="J1215" t="str">
        <f>"3499180570"</f>
        <v>3499180570</v>
      </c>
    </row>
    <row r="1216" spans="1:10" x14ac:dyDescent="0.25">
      <c r="A1216" t="str">
        <f>""</f>
        <v/>
      </c>
      <c r="B1216" t="str">
        <f>""</f>
        <v/>
      </c>
      <c r="G1216" t="str">
        <f>""</f>
        <v/>
      </c>
      <c r="H1216" t="str">
        <f>""</f>
        <v/>
      </c>
      <c r="I1216" s="4">
        <v>700.98</v>
      </c>
      <c r="J1216" t="str">
        <f>"3499180574"</f>
        <v>3499180574</v>
      </c>
    </row>
    <row r="1217" spans="1:10" x14ac:dyDescent="0.25">
      <c r="A1217" t="str">
        <f>""</f>
        <v/>
      </c>
      <c r="B1217" t="str">
        <f>""</f>
        <v/>
      </c>
      <c r="G1217" t="str">
        <f>""</f>
        <v/>
      </c>
      <c r="H1217" t="str">
        <f>""</f>
        <v/>
      </c>
      <c r="I1217" s="4">
        <v>181.65</v>
      </c>
      <c r="J1217" t="str">
        <f>"3499180566"</f>
        <v>3499180566</v>
      </c>
    </row>
    <row r="1218" spans="1:10" x14ac:dyDescent="0.25">
      <c r="A1218" t="str">
        <f>""</f>
        <v/>
      </c>
      <c r="B1218" t="str">
        <f>""</f>
        <v/>
      </c>
      <c r="G1218" t="str">
        <f>""</f>
        <v/>
      </c>
      <c r="H1218" t="str">
        <f>""</f>
        <v/>
      </c>
      <c r="I1218" s="4">
        <v>12.53</v>
      </c>
      <c r="J1218" t="str">
        <f>"3499180573"</f>
        <v>3499180573</v>
      </c>
    </row>
    <row r="1219" spans="1:10" x14ac:dyDescent="0.25">
      <c r="A1219" t="str">
        <f>""</f>
        <v/>
      </c>
      <c r="B1219" t="str">
        <f>""</f>
        <v/>
      </c>
      <c r="G1219" t="str">
        <f>""</f>
        <v/>
      </c>
      <c r="H1219" t="str">
        <f>""</f>
        <v/>
      </c>
      <c r="I1219" s="4">
        <v>233.83</v>
      </c>
      <c r="J1219" t="str">
        <f>"3499180573"</f>
        <v>3499180573</v>
      </c>
    </row>
    <row r="1220" spans="1:10" x14ac:dyDescent="0.25">
      <c r="A1220" t="str">
        <f>"01"</f>
        <v>01</v>
      </c>
      <c r="B1220" t="str">
        <f>"003508"</f>
        <v>003508</v>
      </c>
      <c r="C1220" t="s">
        <v>443</v>
      </c>
      <c r="D1220">
        <v>139354</v>
      </c>
      <c r="E1220" s="4">
        <v>640.14</v>
      </c>
      <c r="F1220" s="5">
        <v>44620</v>
      </c>
      <c r="G1220" t="str">
        <f>"202202229297"</f>
        <v>202202229297</v>
      </c>
      <c r="H1220" t="str">
        <f>"Staples"</f>
        <v>Staples</v>
      </c>
      <c r="I1220" s="4">
        <v>-50.54</v>
      </c>
      <c r="J1220" t="str">
        <f>"3500182313"</f>
        <v>3500182313</v>
      </c>
    </row>
    <row r="1221" spans="1:10" x14ac:dyDescent="0.25">
      <c r="A1221" t="str">
        <f>""</f>
        <v/>
      </c>
      <c r="B1221" t="str">
        <f>""</f>
        <v/>
      </c>
      <c r="G1221" t="str">
        <f>""</f>
        <v/>
      </c>
      <c r="H1221" t="str">
        <f>""</f>
        <v/>
      </c>
      <c r="I1221" s="4">
        <v>97.86</v>
      </c>
      <c r="J1221" t="str">
        <f>"3500182316"</f>
        <v>3500182316</v>
      </c>
    </row>
    <row r="1222" spans="1:10" x14ac:dyDescent="0.25">
      <c r="A1222" t="str">
        <f>""</f>
        <v/>
      </c>
      <c r="B1222" t="str">
        <f>""</f>
        <v/>
      </c>
      <c r="G1222" t="str">
        <f>""</f>
        <v/>
      </c>
      <c r="H1222" t="str">
        <f>""</f>
        <v/>
      </c>
      <c r="I1222" s="4">
        <v>50.74</v>
      </c>
      <c r="J1222" t="str">
        <f>"3500182317"</f>
        <v>3500182317</v>
      </c>
    </row>
    <row r="1223" spans="1:10" x14ac:dyDescent="0.25">
      <c r="A1223" t="str">
        <f>""</f>
        <v/>
      </c>
      <c r="B1223" t="str">
        <f>""</f>
        <v/>
      </c>
      <c r="G1223" t="str">
        <f>""</f>
        <v/>
      </c>
      <c r="H1223" t="str">
        <f>""</f>
        <v/>
      </c>
      <c r="I1223" s="4">
        <v>122.97</v>
      </c>
      <c r="J1223" t="str">
        <f>"3500182315"</f>
        <v>3500182315</v>
      </c>
    </row>
    <row r="1224" spans="1:10" x14ac:dyDescent="0.25">
      <c r="A1224" t="str">
        <f>""</f>
        <v/>
      </c>
      <c r="B1224" t="str">
        <f>""</f>
        <v/>
      </c>
      <c r="G1224" t="str">
        <f>""</f>
        <v/>
      </c>
      <c r="H1224" t="str">
        <f>""</f>
        <v/>
      </c>
      <c r="I1224" s="4">
        <v>47.31</v>
      </c>
      <c r="J1224" t="str">
        <f>"3500182319"</f>
        <v>3500182319</v>
      </c>
    </row>
    <row r="1225" spans="1:10" x14ac:dyDescent="0.25">
      <c r="A1225" t="str">
        <f>""</f>
        <v/>
      </c>
      <c r="B1225" t="str">
        <f>""</f>
        <v/>
      </c>
      <c r="G1225" t="str">
        <f>""</f>
        <v/>
      </c>
      <c r="H1225" t="str">
        <f>""</f>
        <v/>
      </c>
      <c r="I1225" s="4">
        <v>103.98</v>
      </c>
      <c r="J1225" t="str">
        <f>"3500182320"</f>
        <v>3500182320</v>
      </c>
    </row>
    <row r="1226" spans="1:10" x14ac:dyDescent="0.25">
      <c r="A1226" t="str">
        <f>""</f>
        <v/>
      </c>
      <c r="B1226" t="str">
        <f>""</f>
        <v/>
      </c>
      <c r="G1226" t="str">
        <f>""</f>
        <v/>
      </c>
      <c r="H1226" t="str">
        <f>""</f>
        <v/>
      </c>
      <c r="I1226" s="4">
        <v>187.9</v>
      </c>
      <c r="J1226" t="str">
        <f>"3500182312"</f>
        <v>3500182312</v>
      </c>
    </row>
    <row r="1227" spans="1:10" x14ac:dyDescent="0.25">
      <c r="A1227" t="str">
        <f>""</f>
        <v/>
      </c>
      <c r="B1227" t="str">
        <f>""</f>
        <v/>
      </c>
      <c r="G1227" t="str">
        <f>""</f>
        <v/>
      </c>
      <c r="H1227" t="str">
        <f>""</f>
        <v/>
      </c>
      <c r="I1227" s="4">
        <v>79.92</v>
      </c>
      <c r="J1227" t="str">
        <f>"3500182310"</f>
        <v>3500182310</v>
      </c>
    </row>
    <row r="1228" spans="1:10" x14ac:dyDescent="0.25">
      <c r="A1228" t="str">
        <f>"01"</f>
        <v>01</v>
      </c>
      <c r="B1228" t="str">
        <f>"T459"</f>
        <v>T459</v>
      </c>
      <c r="C1228" t="s">
        <v>444</v>
      </c>
      <c r="D1228">
        <v>139355</v>
      </c>
      <c r="E1228" s="4">
        <v>15</v>
      </c>
      <c r="F1228" s="5">
        <v>44620</v>
      </c>
      <c r="G1228" t="str">
        <f>"202202239323"</f>
        <v>202202239323</v>
      </c>
      <c r="H1228" t="str">
        <f>"JANUARY 2022"</f>
        <v>JANUARY 2022</v>
      </c>
      <c r="I1228" s="4">
        <v>15</v>
      </c>
      <c r="J1228" t="str">
        <f>"JANUARY 2022"</f>
        <v>JANUARY 2022</v>
      </c>
    </row>
    <row r="1229" spans="1:10" x14ac:dyDescent="0.25">
      <c r="A1229" t="str">
        <f>"01"</f>
        <v>01</v>
      </c>
      <c r="B1229" t="str">
        <f>"T8648"</f>
        <v>T8648</v>
      </c>
      <c r="C1229" t="s">
        <v>445</v>
      </c>
      <c r="D1229">
        <v>139146</v>
      </c>
      <c r="E1229" s="4">
        <v>1654.93</v>
      </c>
      <c r="F1229" s="5">
        <v>44606</v>
      </c>
      <c r="G1229" t="str">
        <f>"4010693362"</f>
        <v>4010693362</v>
      </c>
      <c r="H1229" t="str">
        <f>"INV 4010693362"</f>
        <v>INV 4010693362</v>
      </c>
      <c r="I1229" s="4">
        <v>874.93</v>
      </c>
      <c r="J1229" t="str">
        <f>"INV 4010693362"</f>
        <v>INV 4010693362</v>
      </c>
    </row>
    <row r="1230" spans="1:10" x14ac:dyDescent="0.25">
      <c r="A1230" t="str">
        <f>""</f>
        <v/>
      </c>
      <c r="B1230" t="str">
        <f>""</f>
        <v/>
      </c>
      <c r="G1230" t="str">
        <f>"4010712219"</f>
        <v>4010712219</v>
      </c>
      <c r="H1230" t="str">
        <f>"CUST#2162185"</f>
        <v>CUST#2162185</v>
      </c>
      <c r="I1230" s="4">
        <v>780</v>
      </c>
      <c r="J1230" t="str">
        <f>"CUST#2162185"</f>
        <v>CUST#2162185</v>
      </c>
    </row>
    <row r="1231" spans="1:10" x14ac:dyDescent="0.25">
      <c r="A1231" t="str">
        <f>"01"</f>
        <v>01</v>
      </c>
      <c r="B1231" t="str">
        <f>"002260"</f>
        <v>002260</v>
      </c>
      <c r="C1231" t="s">
        <v>446</v>
      </c>
      <c r="D1231">
        <v>5752</v>
      </c>
      <c r="E1231" s="4">
        <v>403</v>
      </c>
      <c r="F1231" s="5">
        <v>44607</v>
      </c>
      <c r="G1231" t="str">
        <f>"202202088787"</f>
        <v>202202088787</v>
      </c>
      <c r="H1231" t="str">
        <f>"TRASH REMOVAL/STEVE GRANADO"</f>
        <v>TRASH REMOVAL/STEVE GRANADO</v>
      </c>
      <c r="I1231" s="4">
        <v>162.5</v>
      </c>
      <c r="J1231" t="str">
        <f>"TRASH REMOVAL/STEVE GRANADO"</f>
        <v>TRASH REMOVAL/STEVE GRANADO</v>
      </c>
    </row>
    <row r="1232" spans="1:10" x14ac:dyDescent="0.25">
      <c r="A1232" t="str">
        <f>""</f>
        <v/>
      </c>
      <c r="B1232" t="str">
        <f>""</f>
        <v/>
      </c>
      <c r="G1232" t="str">
        <f>"202202088788"</f>
        <v>202202088788</v>
      </c>
      <c r="H1232" t="str">
        <f>"TRASH REMOVAL/STEVE GRANADO"</f>
        <v>TRASH REMOVAL/STEVE GRANADO</v>
      </c>
      <c r="I1232" s="4">
        <v>240.5</v>
      </c>
      <c r="J1232" t="str">
        <f>"TRASH REMOVAL/STEVE GRANADO"</f>
        <v>TRASH REMOVAL/STEVE GRANADO</v>
      </c>
    </row>
    <row r="1233" spans="1:10" x14ac:dyDescent="0.25">
      <c r="A1233" t="str">
        <f>"01"</f>
        <v>01</v>
      </c>
      <c r="B1233" t="str">
        <f>"005572"</f>
        <v>005572</v>
      </c>
      <c r="C1233" t="s">
        <v>447</v>
      </c>
      <c r="D1233">
        <v>5771</v>
      </c>
      <c r="E1233" s="4">
        <v>19152.3</v>
      </c>
      <c r="F1233" s="5">
        <v>44607</v>
      </c>
      <c r="G1233" t="str">
        <f>"96337934"</f>
        <v>96337934</v>
      </c>
      <c r="H1233" t="str">
        <f>"ACCT#10187718/PCT#4"</f>
        <v>ACCT#10187718/PCT#4</v>
      </c>
      <c r="I1233" s="4">
        <v>6534.94</v>
      </c>
      <c r="J1233" t="str">
        <f>"ACCT#10187718/PCT#4"</f>
        <v>ACCT#10187718/PCT#4</v>
      </c>
    </row>
    <row r="1234" spans="1:10" x14ac:dyDescent="0.25">
      <c r="A1234" t="str">
        <f>""</f>
        <v/>
      </c>
      <c r="B1234" t="str">
        <f>""</f>
        <v/>
      </c>
      <c r="G1234" t="str">
        <f>"963405663"</f>
        <v>963405663</v>
      </c>
      <c r="H1234" t="str">
        <f>"ACCT#10187718/PCT#2"</f>
        <v>ACCT#10187718/PCT#2</v>
      </c>
      <c r="I1234" s="4">
        <v>6043.92</v>
      </c>
      <c r="J1234" t="str">
        <f>"ACCT#10187718/PCT#2"</f>
        <v>ACCT#10187718/PCT#2</v>
      </c>
    </row>
    <row r="1235" spans="1:10" x14ac:dyDescent="0.25">
      <c r="A1235" t="str">
        <f>""</f>
        <v/>
      </c>
      <c r="B1235" t="str">
        <f>""</f>
        <v/>
      </c>
      <c r="G1235" t="str">
        <f>"96357764"</f>
        <v>96357764</v>
      </c>
      <c r="H1235" t="str">
        <f>"ACCT#10242773/PCT#2"</f>
        <v>ACCT#10242773/PCT#2</v>
      </c>
      <c r="I1235" s="4">
        <v>6573.44</v>
      </c>
      <c r="J1235" t="str">
        <f>"ACCT#10242773/PCT#2"</f>
        <v>ACCT#10242773/PCT#2</v>
      </c>
    </row>
    <row r="1236" spans="1:10" x14ac:dyDescent="0.25">
      <c r="A1236" t="str">
        <f>"01"</f>
        <v>01</v>
      </c>
      <c r="B1236" t="str">
        <f>"006854"</f>
        <v>006854</v>
      </c>
      <c r="C1236" t="s">
        <v>448</v>
      </c>
      <c r="D1236">
        <v>139147</v>
      </c>
      <c r="E1236" s="4">
        <v>25</v>
      </c>
      <c r="F1236" s="5">
        <v>44606</v>
      </c>
      <c r="G1236" t="str">
        <f>"202202028721"</f>
        <v>202202028721</v>
      </c>
      <c r="H1236" t="str">
        <f>"REIMBURSE/T&amp;T CONSTRUCTION"</f>
        <v>REIMBURSE/T&amp;T CONSTRUCTION</v>
      </c>
      <c r="I1236" s="4">
        <v>25</v>
      </c>
      <c r="J1236" t="str">
        <f>"REIMBURSE/T&amp;T CONSTRUCTION"</f>
        <v>REIMBURSE/T&amp;T CONSTRUCTION</v>
      </c>
    </row>
    <row r="1237" spans="1:10" x14ac:dyDescent="0.25">
      <c r="A1237" t="str">
        <f>"01"</f>
        <v>01</v>
      </c>
      <c r="B1237" t="str">
        <f>"004087"</f>
        <v>004087</v>
      </c>
      <c r="C1237" t="s">
        <v>449</v>
      </c>
      <c r="D1237">
        <v>5761</v>
      </c>
      <c r="E1237" s="4">
        <v>62.3</v>
      </c>
      <c r="F1237" s="5">
        <v>44607</v>
      </c>
      <c r="G1237" t="str">
        <f>"22020803"</f>
        <v>22020803</v>
      </c>
      <c r="H1237" t="str">
        <f>"SVC CONTRACT 01/03 - 02/08"</f>
        <v>SVC CONTRACT 01/03 - 02/08</v>
      </c>
      <c r="I1237" s="4">
        <v>62.3</v>
      </c>
      <c r="J1237" t="str">
        <f>"SVC CONTRACT 01/03 - 02/08"</f>
        <v>SVC CONTRACT 01/03 - 02/08</v>
      </c>
    </row>
    <row r="1238" spans="1:10" x14ac:dyDescent="0.25">
      <c r="A1238" t="str">
        <f>"01"</f>
        <v>01</v>
      </c>
      <c r="B1238" t="str">
        <f>"T6052"</f>
        <v>T6052</v>
      </c>
      <c r="C1238" t="s">
        <v>450</v>
      </c>
      <c r="D1238">
        <v>139148</v>
      </c>
      <c r="E1238" s="4">
        <v>1300</v>
      </c>
      <c r="F1238" s="5">
        <v>44606</v>
      </c>
      <c r="G1238" t="str">
        <f>"202202088820"</f>
        <v>202202088820</v>
      </c>
      <c r="H1238" t="str">
        <f>"TRAINING - LS-LET585-57"</f>
        <v>TRAINING - LS-LET585-57</v>
      </c>
      <c r="I1238" s="4">
        <v>750</v>
      </c>
      <c r="J1238" t="str">
        <f>"TRAINING - LS LET585 0057"</f>
        <v>TRAINING - LS LET585 0057</v>
      </c>
    </row>
    <row r="1239" spans="1:10" x14ac:dyDescent="0.25">
      <c r="A1239" t="str">
        <f>""</f>
        <v/>
      </c>
      <c r="B1239" t="str">
        <f>""</f>
        <v/>
      </c>
      <c r="G1239" t="str">
        <f>"JH7282080"</f>
        <v>JH7282080</v>
      </c>
      <c r="H1239" t="str">
        <f>"INV JH7282080"</f>
        <v>INV JH7282080</v>
      </c>
      <c r="I1239" s="4">
        <v>550</v>
      </c>
      <c r="J1239" t="str">
        <f>"INV JH7282080"</f>
        <v>INV JH7282080</v>
      </c>
    </row>
    <row r="1240" spans="1:10" x14ac:dyDescent="0.25">
      <c r="A1240" t="str">
        <f>"01"</f>
        <v>01</v>
      </c>
      <c r="B1240" t="str">
        <f>"T8745"</f>
        <v>T8745</v>
      </c>
      <c r="C1240" t="s">
        <v>451</v>
      </c>
      <c r="D1240">
        <v>5806</v>
      </c>
      <c r="E1240" s="4">
        <v>230</v>
      </c>
      <c r="F1240" s="5">
        <v>44607</v>
      </c>
      <c r="G1240" t="str">
        <f>"2202073"</f>
        <v>2202073</v>
      </c>
      <c r="H1240" t="str">
        <f>"MONTHLY BILLING/JAN 2022"</f>
        <v>MONTHLY BILLING/JAN 2022</v>
      </c>
      <c r="I1240" s="4">
        <v>230</v>
      </c>
      <c r="J1240" t="str">
        <f>"MONTHLY BILLING/JAN 2022"</f>
        <v>MONTHLY BILLING/JAN 2022</v>
      </c>
    </row>
    <row r="1241" spans="1:10" x14ac:dyDescent="0.25">
      <c r="A1241" t="str">
        <f>"01"</f>
        <v>01</v>
      </c>
      <c r="B1241" t="str">
        <f>"002996"</f>
        <v>002996</v>
      </c>
      <c r="C1241" t="s">
        <v>452</v>
      </c>
      <c r="D1241">
        <v>139356</v>
      </c>
      <c r="E1241" s="4">
        <v>4750</v>
      </c>
      <c r="F1241" s="5">
        <v>44620</v>
      </c>
      <c r="G1241" t="str">
        <f>"309"</f>
        <v>309</v>
      </c>
      <c r="H1241" t="str">
        <f>"MATTHEW COVE/PCT#1"</f>
        <v>MATTHEW COVE/PCT#1</v>
      </c>
      <c r="I1241" s="4">
        <v>4750</v>
      </c>
      <c r="J1241" t="str">
        <f>"MATTHEW COVE/PCT#1"</f>
        <v>MATTHEW COVE/PCT#1</v>
      </c>
    </row>
    <row r="1242" spans="1:10" x14ac:dyDescent="0.25">
      <c r="A1242" t="str">
        <f>"01"</f>
        <v>01</v>
      </c>
      <c r="B1242" t="str">
        <f>"002527"</f>
        <v>002527</v>
      </c>
      <c r="C1242" t="s">
        <v>453</v>
      </c>
      <c r="D1242">
        <v>139357</v>
      </c>
      <c r="E1242" s="4">
        <v>381.17</v>
      </c>
      <c r="F1242" s="5">
        <v>44620</v>
      </c>
      <c r="G1242" t="str">
        <f>"202202229298"</f>
        <v>202202229298</v>
      </c>
      <c r="H1242" t="str">
        <f>"Air Filters"</f>
        <v>Air Filters</v>
      </c>
      <c r="I1242" s="4">
        <v>25.2</v>
      </c>
      <c r="J1242" t="str">
        <f>"14x20x1"</f>
        <v>14x20x1</v>
      </c>
    </row>
    <row r="1243" spans="1:10" x14ac:dyDescent="0.25">
      <c r="A1243" t="str">
        <f>""</f>
        <v/>
      </c>
      <c r="B1243" t="str">
        <f>""</f>
        <v/>
      </c>
      <c r="G1243" t="str">
        <f>""</f>
        <v/>
      </c>
      <c r="H1243" t="str">
        <f>""</f>
        <v/>
      </c>
      <c r="I1243" s="4">
        <v>194.4</v>
      </c>
      <c r="J1243" t="str">
        <f>"16x20x1"</f>
        <v>16x20x1</v>
      </c>
    </row>
    <row r="1244" spans="1:10" x14ac:dyDescent="0.25">
      <c r="A1244" t="str">
        <f>""</f>
        <v/>
      </c>
      <c r="B1244" t="str">
        <f>""</f>
        <v/>
      </c>
      <c r="G1244" t="str">
        <f>""</f>
        <v/>
      </c>
      <c r="H1244" t="str">
        <f>""</f>
        <v/>
      </c>
      <c r="I1244" s="4">
        <v>79.680000000000007</v>
      </c>
      <c r="J1244" t="str">
        <f>"20x20x1"</f>
        <v>20x20x1</v>
      </c>
    </row>
    <row r="1245" spans="1:10" x14ac:dyDescent="0.25">
      <c r="A1245" t="str">
        <f>""</f>
        <v/>
      </c>
      <c r="B1245" t="str">
        <f>""</f>
        <v/>
      </c>
      <c r="G1245" t="str">
        <f>""</f>
        <v/>
      </c>
      <c r="H1245" t="str">
        <f>""</f>
        <v/>
      </c>
      <c r="I1245" s="4">
        <v>11.13</v>
      </c>
      <c r="J1245" t="str">
        <f>"20x25x1"</f>
        <v>20x25x1</v>
      </c>
    </row>
    <row r="1246" spans="1:10" x14ac:dyDescent="0.25">
      <c r="A1246" t="str">
        <f>""</f>
        <v/>
      </c>
      <c r="B1246" t="str">
        <f>""</f>
        <v/>
      </c>
      <c r="G1246" t="str">
        <f>""</f>
        <v/>
      </c>
      <c r="H1246" t="str">
        <f>""</f>
        <v/>
      </c>
      <c r="I1246" s="4">
        <v>22.74</v>
      </c>
      <c r="J1246" t="str">
        <f>"20x25x2"</f>
        <v>20x25x2</v>
      </c>
    </row>
    <row r="1247" spans="1:10" x14ac:dyDescent="0.25">
      <c r="A1247" t="str">
        <f>""</f>
        <v/>
      </c>
      <c r="B1247" t="str">
        <f>""</f>
        <v/>
      </c>
      <c r="G1247" t="str">
        <f>""</f>
        <v/>
      </c>
      <c r="H1247" t="str">
        <f>""</f>
        <v/>
      </c>
      <c r="I1247" s="4">
        <v>9.5399999999999991</v>
      </c>
      <c r="J1247" t="str">
        <f>"20x30x1"</f>
        <v>20x30x1</v>
      </c>
    </row>
    <row r="1248" spans="1:10" x14ac:dyDescent="0.25">
      <c r="A1248" t="str">
        <f>""</f>
        <v/>
      </c>
      <c r="B1248" t="str">
        <f>""</f>
        <v/>
      </c>
      <c r="G1248" t="str">
        <f>""</f>
        <v/>
      </c>
      <c r="H1248" t="str">
        <f>""</f>
        <v/>
      </c>
      <c r="I1248" s="4">
        <v>38.479999999999997</v>
      </c>
      <c r="J1248" t="str">
        <f>"25x25x2"</f>
        <v>25x25x2</v>
      </c>
    </row>
    <row r="1249" spans="1:10" x14ac:dyDescent="0.25">
      <c r="A1249" t="str">
        <f>"01"</f>
        <v>01</v>
      </c>
      <c r="B1249" t="str">
        <f>"T6855"</f>
        <v>T6855</v>
      </c>
      <c r="C1249" t="s">
        <v>454</v>
      </c>
      <c r="D1249">
        <v>139149</v>
      </c>
      <c r="E1249" s="4">
        <v>7614.14</v>
      </c>
      <c r="F1249" s="5">
        <v>44606</v>
      </c>
      <c r="G1249" t="str">
        <f>"116777"</f>
        <v>116777</v>
      </c>
      <c r="H1249" t="str">
        <f>"ACCT#01-0112917/PCT#3"</f>
        <v>ACCT#01-0112917/PCT#3</v>
      </c>
      <c r="I1249" s="4">
        <v>588.62</v>
      </c>
      <c r="J1249" t="str">
        <f>"ACCT#01-0112917/PCT#3"</f>
        <v>ACCT#01-0112917/PCT#3</v>
      </c>
    </row>
    <row r="1250" spans="1:10" x14ac:dyDescent="0.25">
      <c r="A1250" t="str">
        <f>""</f>
        <v/>
      </c>
      <c r="B1250" t="str">
        <f>""</f>
        <v/>
      </c>
      <c r="G1250" t="str">
        <f>"1171555"</f>
        <v>1171555</v>
      </c>
      <c r="H1250" t="str">
        <f>"ACCT#01-0112917/PCT#3"</f>
        <v>ACCT#01-0112917/PCT#3</v>
      </c>
      <c r="I1250" s="4">
        <v>529.38</v>
      </c>
      <c r="J1250" t="str">
        <f>"ACCT#01-0112917/PCT#3"</f>
        <v>ACCT#01-0112917/PCT#3</v>
      </c>
    </row>
    <row r="1251" spans="1:10" x14ac:dyDescent="0.25">
      <c r="A1251" t="str">
        <f>""</f>
        <v/>
      </c>
      <c r="B1251" t="str">
        <f>""</f>
        <v/>
      </c>
      <c r="G1251" t="str">
        <f>"1173814"</f>
        <v>1173814</v>
      </c>
      <c r="H1251" t="str">
        <f>"ACCT#01-0112917/PCT#3"</f>
        <v>ACCT#01-0112917/PCT#3</v>
      </c>
      <c r="I1251" s="4">
        <v>5396.01</v>
      </c>
      <c r="J1251" t="str">
        <f>"ACCT#01-0112917/PCT#3"</f>
        <v>ACCT#01-0112917/PCT#3</v>
      </c>
    </row>
    <row r="1252" spans="1:10" x14ac:dyDescent="0.25">
      <c r="A1252" t="str">
        <f>""</f>
        <v/>
      </c>
      <c r="B1252" t="str">
        <f>""</f>
        <v/>
      </c>
      <c r="G1252" t="str">
        <f>"1174381"</f>
        <v>1174381</v>
      </c>
      <c r="H1252" t="str">
        <f>"ACCT#01-0112917/PCT#2"</f>
        <v>ACCT#01-0112917/PCT#2</v>
      </c>
      <c r="I1252" s="4">
        <v>554.65</v>
      </c>
      <c r="J1252" t="str">
        <f>"ACCT#01-0112917/PCT#2"</f>
        <v>ACCT#01-0112917/PCT#2</v>
      </c>
    </row>
    <row r="1253" spans="1:10" x14ac:dyDescent="0.25">
      <c r="A1253" t="str">
        <f>""</f>
        <v/>
      </c>
      <c r="B1253" t="str">
        <f>""</f>
        <v/>
      </c>
      <c r="G1253" t="str">
        <f>"1176759"</f>
        <v>1176759</v>
      </c>
      <c r="H1253" t="str">
        <f>"ACCT#01-0112917/PCT#3"</f>
        <v>ACCT#01-0112917/PCT#3</v>
      </c>
      <c r="I1253" s="4">
        <v>545.48</v>
      </c>
      <c r="J1253" t="str">
        <f>"ACCT#01-0112917/PCT#3"</f>
        <v>ACCT#01-0112917/PCT#3</v>
      </c>
    </row>
    <row r="1254" spans="1:10" x14ac:dyDescent="0.25">
      <c r="A1254" t="str">
        <f>"01"</f>
        <v>01</v>
      </c>
      <c r="B1254" t="str">
        <f>"T6855"</f>
        <v>T6855</v>
      </c>
      <c r="C1254" t="s">
        <v>454</v>
      </c>
      <c r="D1254">
        <v>139358</v>
      </c>
      <c r="E1254" s="4">
        <v>9633.06</v>
      </c>
      <c r="F1254" s="5">
        <v>44620</v>
      </c>
      <c r="G1254" t="str">
        <f>"1176774"</f>
        <v>1176774</v>
      </c>
      <c r="H1254" t="str">
        <f>"ACCT#01-0112917/PCT#3"</f>
        <v>ACCT#01-0112917/PCT#3</v>
      </c>
      <c r="I1254" s="4">
        <v>4006.3</v>
      </c>
      <c r="J1254" t="str">
        <f>"ACCT#01-0112917/PCT#3"</f>
        <v>ACCT#01-0112917/PCT#3</v>
      </c>
    </row>
    <row r="1255" spans="1:10" x14ac:dyDescent="0.25">
      <c r="A1255" t="str">
        <f>""</f>
        <v/>
      </c>
      <c r="B1255" t="str">
        <f>""</f>
        <v/>
      </c>
      <c r="G1255" t="str">
        <f>"1178215"</f>
        <v>1178215</v>
      </c>
      <c r="H1255" t="str">
        <f>"ACCT#01-0112917/PCT#3"</f>
        <v>ACCT#01-0112917/PCT#3</v>
      </c>
      <c r="I1255" s="4">
        <v>5006.79</v>
      </c>
      <c r="J1255" t="str">
        <f>"ACCT#01-0112917/PCT#3"</f>
        <v>ACCT#01-0112917/PCT#3</v>
      </c>
    </row>
    <row r="1256" spans="1:10" x14ac:dyDescent="0.25">
      <c r="A1256" t="str">
        <f>""</f>
        <v/>
      </c>
      <c r="B1256" t="str">
        <f>""</f>
        <v/>
      </c>
      <c r="G1256" t="str">
        <f>"1178580"</f>
        <v>1178580</v>
      </c>
      <c r="H1256" t="str">
        <f>"INV 1178580-IN"</f>
        <v>INV 1178580-IN</v>
      </c>
      <c r="I1256" s="4">
        <v>619.97</v>
      </c>
      <c r="J1256" t="str">
        <f>"INV 1178580-IN"</f>
        <v>INV 1178580-IN</v>
      </c>
    </row>
    <row r="1257" spans="1:10" x14ac:dyDescent="0.25">
      <c r="A1257" t="str">
        <f>"01"</f>
        <v>01</v>
      </c>
      <c r="B1257" t="str">
        <f>"T14371"</f>
        <v>T14371</v>
      </c>
      <c r="C1257" t="s">
        <v>455</v>
      </c>
      <c r="D1257">
        <v>139359</v>
      </c>
      <c r="E1257" s="4">
        <v>121.09</v>
      </c>
      <c r="F1257" s="5">
        <v>44620</v>
      </c>
      <c r="G1257" t="str">
        <f>"202202229282"</f>
        <v>202202229282</v>
      </c>
      <c r="H1257" t="str">
        <f>"INDIGENT HEALTH"</f>
        <v>INDIGENT HEALTH</v>
      </c>
      <c r="I1257" s="4">
        <v>121.09</v>
      </c>
      <c r="J1257" t="str">
        <f>"INDIGENT HEALTH"</f>
        <v>INDIGENT HEALTH</v>
      </c>
    </row>
    <row r="1258" spans="1:10" x14ac:dyDescent="0.25">
      <c r="A1258" t="str">
        <f>"01"</f>
        <v>01</v>
      </c>
      <c r="B1258" t="str">
        <f>"TXAGG"</f>
        <v>TXAGG</v>
      </c>
      <c r="C1258" t="s">
        <v>456</v>
      </c>
      <c r="D1258">
        <v>5811</v>
      </c>
      <c r="E1258" s="4">
        <v>1671.3</v>
      </c>
      <c r="F1258" s="5">
        <v>44607</v>
      </c>
      <c r="G1258" t="str">
        <f>"14413"</f>
        <v>14413</v>
      </c>
      <c r="H1258" t="str">
        <f>"GRAVEL/PCT#1"</f>
        <v>GRAVEL/PCT#1</v>
      </c>
      <c r="I1258" s="4">
        <v>841.35</v>
      </c>
      <c r="J1258" t="str">
        <f>"GRAVEL/PCT#1"</f>
        <v>GRAVEL/PCT#1</v>
      </c>
    </row>
    <row r="1259" spans="1:10" x14ac:dyDescent="0.25">
      <c r="A1259" t="str">
        <f>""</f>
        <v/>
      </c>
      <c r="B1259" t="str">
        <f>""</f>
        <v/>
      </c>
      <c r="G1259" t="str">
        <f>"14521"</f>
        <v>14521</v>
      </c>
      <c r="H1259" t="str">
        <f>"GRAVEL/PCT#1"</f>
        <v>GRAVEL/PCT#1</v>
      </c>
      <c r="I1259" s="4">
        <v>543</v>
      </c>
      <c r="J1259" t="str">
        <f>"GRAVEL/PCT#1"</f>
        <v>GRAVEL/PCT#1</v>
      </c>
    </row>
    <row r="1260" spans="1:10" x14ac:dyDescent="0.25">
      <c r="A1260" t="str">
        <f>""</f>
        <v/>
      </c>
      <c r="B1260" t="str">
        <f>""</f>
        <v/>
      </c>
      <c r="G1260" t="str">
        <f>"14543"</f>
        <v>14543</v>
      </c>
      <c r="H1260" t="str">
        <f>"GRAVEL/PCT#1"</f>
        <v>GRAVEL/PCT#1</v>
      </c>
      <c r="I1260" s="4">
        <v>286.95</v>
      </c>
      <c r="J1260" t="str">
        <f>"GRAVEL/PCT#1"</f>
        <v>GRAVEL/PCT#1</v>
      </c>
    </row>
    <row r="1261" spans="1:10" x14ac:dyDescent="0.25">
      <c r="A1261" t="str">
        <f>"01"</f>
        <v>01</v>
      </c>
      <c r="B1261" t="str">
        <f>"001468"</f>
        <v>001468</v>
      </c>
      <c r="C1261" t="s">
        <v>457</v>
      </c>
      <c r="D1261">
        <v>139150</v>
      </c>
      <c r="E1261" s="4">
        <v>705</v>
      </c>
      <c r="F1261" s="5">
        <v>44606</v>
      </c>
      <c r="G1261" t="str">
        <f>"202202088825"</f>
        <v>202202088825</v>
      </c>
      <c r="H1261" t="str">
        <f>"BOND RENEWALS FEBRUARY"</f>
        <v>BOND RENEWALS FEBRUARY</v>
      </c>
      <c r="I1261" s="4">
        <v>250</v>
      </c>
      <c r="J1261" t="str">
        <f>"BOND RENEWALS FEBRUARY"</f>
        <v>BOND RENEWALS FEBRUARY</v>
      </c>
    </row>
    <row r="1262" spans="1:10" x14ac:dyDescent="0.25">
      <c r="A1262" t="str">
        <f>""</f>
        <v/>
      </c>
      <c r="B1262" t="str">
        <f>""</f>
        <v/>
      </c>
      <c r="G1262" t="str">
        <f>"6307-1"</f>
        <v>6307-1</v>
      </c>
      <c r="H1262" t="str">
        <f>"EMPLOYEE BOND/HR"</f>
        <v>EMPLOYEE BOND/HR</v>
      </c>
      <c r="I1262" s="4">
        <v>405</v>
      </c>
      <c r="J1262" t="str">
        <f>"EMPLOYEE BOND/HR"</f>
        <v>EMPLOYEE BOND/HR</v>
      </c>
    </row>
    <row r="1263" spans="1:10" x14ac:dyDescent="0.25">
      <c r="A1263" t="str">
        <f>""</f>
        <v/>
      </c>
      <c r="B1263" t="str">
        <f>""</f>
        <v/>
      </c>
      <c r="G1263" t="str">
        <f>"7982"</f>
        <v>7982</v>
      </c>
      <c r="H1263" t="str">
        <f>"INV 7982"</f>
        <v>INV 7982</v>
      </c>
      <c r="I1263" s="4">
        <v>50</v>
      </c>
      <c r="J1263" t="str">
        <f>"INV 7982"</f>
        <v>INV 7982</v>
      </c>
    </row>
    <row r="1264" spans="1:10" x14ac:dyDescent="0.25">
      <c r="A1264" t="str">
        <f>"01"</f>
        <v>01</v>
      </c>
      <c r="B1264" t="str">
        <f>"001468"</f>
        <v>001468</v>
      </c>
      <c r="C1264" t="s">
        <v>457</v>
      </c>
      <c r="D1264">
        <v>139360</v>
      </c>
      <c r="E1264" s="4">
        <v>342</v>
      </c>
      <c r="F1264" s="5">
        <v>44620</v>
      </c>
      <c r="G1264" t="str">
        <f>"202202229300"</f>
        <v>202202229300</v>
      </c>
      <c r="H1264" t="str">
        <f>"MARCH BOND RENEWALS"</f>
        <v>MARCH BOND RENEWALS</v>
      </c>
      <c r="I1264" s="4">
        <v>150</v>
      </c>
      <c r="J1264" t="str">
        <f>"MARCH BOND RENEWALS"</f>
        <v>MARCH BOND RENEWALS</v>
      </c>
    </row>
    <row r="1265" spans="1:10" x14ac:dyDescent="0.25">
      <c r="A1265" t="str">
        <f>""</f>
        <v/>
      </c>
      <c r="B1265" t="str">
        <f>""</f>
        <v/>
      </c>
      <c r="G1265" t="str">
        <f>"8040"</f>
        <v>8040</v>
      </c>
      <c r="H1265" t="str">
        <f>"INV 8040 / 8041"</f>
        <v>INV 8040 / 8041</v>
      </c>
      <c r="I1265" s="4">
        <v>71</v>
      </c>
      <c r="J1265" t="str">
        <f>"INV 8040"</f>
        <v>INV 8040</v>
      </c>
    </row>
    <row r="1266" spans="1:10" x14ac:dyDescent="0.25">
      <c r="A1266" t="str">
        <f>""</f>
        <v/>
      </c>
      <c r="B1266" t="str">
        <f>""</f>
        <v/>
      </c>
      <c r="G1266" t="str">
        <f>""</f>
        <v/>
      </c>
      <c r="H1266" t="str">
        <f>""</f>
        <v/>
      </c>
      <c r="I1266" s="4">
        <v>71</v>
      </c>
      <c r="J1266" t="str">
        <f>"INV 8041"</f>
        <v>INV 8041</v>
      </c>
    </row>
    <row r="1267" spans="1:10" x14ac:dyDescent="0.25">
      <c r="A1267" t="str">
        <f>""</f>
        <v/>
      </c>
      <c r="B1267" t="str">
        <f>""</f>
        <v/>
      </c>
      <c r="G1267" t="str">
        <f>"8065"</f>
        <v>8065</v>
      </c>
      <c r="H1267" t="str">
        <f>"INV 8065"</f>
        <v>INV 8065</v>
      </c>
      <c r="I1267" s="4">
        <v>50</v>
      </c>
      <c r="J1267" t="str">
        <f>"INV 8065"</f>
        <v>INV 8065</v>
      </c>
    </row>
    <row r="1268" spans="1:10" x14ac:dyDescent="0.25">
      <c r="A1268" t="str">
        <f>"01"</f>
        <v>01</v>
      </c>
      <c r="B1268" t="str">
        <f>"TACRMP"</f>
        <v>TACRMP</v>
      </c>
      <c r="C1268" t="s">
        <v>458</v>
      </c>
      <c r="D1268">
        <v>139151</v>
      </c>
      <c r="E1268" s="4">
        <v>2555</v>
      </c>
      <c r="F1268" s="5">
        <v>44606</v>
      </c>
      <c r="G1268" t="str">
        <f>"202201268576"</f>
        <v>202201268576</v>
      </c>
      <c r="H1268" t="str">
        <f>"COUNTY AUDITORS"</f>
        <v>COUNTY AUDITORS</v>
      </c>
      <c r="I1268" s="4">
        <v>475</v>
      </c>
      <c r="J1268" t="str">
        <f>"COUNTY AUDITORS"</f>
        <v>COUNTY AUDITORS</v>
      </c>
    </row>
    <row r="1269" spans="1:10" x14ac:dyDescent="0.25">
      <c r="A1269" t="str">
        <f>""</f>
        <v/>
      </c>
      <c r="B1269" t="str">
        <f>""</f>
        <v/>
      </c>
      <c r="G1269" t="str">
        <f>"236245"</f>
        <v>236245</v>
      </c>
      <c r="H1269" t="str">
        <f>"ANNYAL COUNTY MEMBERSHIP 2022"</f>
        <v>ANNYAL COUNTY MEMBERSHIP 2022</v>
      </c>
      <c r="I1269" s="4">
        <v>1560</v>
      </c>
      <c r="J1269" t="str">
        <f>"ANNYAL COUNTY MEMBERSHIP 2022"</f>
        <v>ANNYAL COUNTY MEMBERSHIP 2022</v>
      </c>
    </row>
    <row r="1270" spans="1:10" x14ac:dyDescent="0.25">
      <c r="A1270" t="str">
        <f>""</f>
        <v/>
      </c>
      <c r="B1270" t="str">
        <f>""</f>
        <v/>
      </c>
      <c r="G1270" t="str">
        <f>"237381"</f>
        <v>237381</v>
      </c>
      <c r="H1270" t="str">
        <f>"COUNTY INVESTMENTS/JENNIFER P"</f>
        <v>COUNTY INVESTMENTS/JENNIFER P</v>
      </c>
      <c r="I1270" s="4">
        <v>520</v>
      </c>
      <c r="J1270" t="str">
        <f>"COUNTY INVESTMENTS/JENNIFER P"</f>
        <v>COUNTY INVESTMENTS/JENNIFER P</v>
      </c>
    </row>
    <row r="1271" spans="1:10" x14ac:dyDescent="0.25">
      <c r="A1271" t="str">
        <f>"01"</f>
        <v>01</v>
      </c>
      <c r="B1271" t="str">
        <f>"TACRMP"</f>
        <v>TACRMP</v>
      </c>
      <c r="C1271" t="s">
        <v>458</v>
      </c>
      <c r="D1271">
        <v>139361</v>
      </c>
      <c r="E1271" s="4">
        <v>475</v>
      </c>
      <c r="F1271" s="5">
        <v>44620</v>
      </c>
      <c r="G1271" t="str">
        <f>"77158"</f>
        <v>77158</v>
      </c>
      <c r="H1271" t="str">
        <f>"MEMBERSHIP/LISA SMITH"</f>
        <v>MEMBERSHIP/LISA SMITH</v>
      </c>
      <c r="I1271" s="4">
        <v>475</v>
      </c>
      <c r="J1271" t="str">
        <f>"MEMBERSHIP/LISA SMITH"</f>
        <v>MEMBERSHIP/LISA SMITH</v>
      </c>
    </row>
    <row r="1272" spans="1:10" x14ac:dyDescent="0.25">
      <c r="A1272" t="str">
        <f>"01"</f>
        <v>01</v>
      </c>
      <c r="B1272" t="str">
        <f>"TCSC"</f>
        <v>TCSC</v>
      </c>
      <c r="C1272" t="s">
        <v>459</v>
      </c>
      <c r="D1272">
        <v>139152</v>
      </c>
      <c r="E1272" s="4">
        <v>1259.6099999999999</v>
      </c>
      <c r="F1272" s="5">
        <v>44606</v>
      </c>
      <c r="G1272" t="str">
        <f>"298025"</f>
        <v>298025</v>
      </c>
      <c r="H1272" t="str">
        <f>"CUST#1574/PCT#4"</f>
        <v>CUST#1574/PCT#4</v>
      </c>
      <c r="I1272" s="4">
        <v>1259.6099999999999</v>
      </c>
      <c r="J1272" t="str">
        <f>"CUST#1574/PCT#4"</f>
        <v>CUST#1574/PCT#4</v>
      </c>
    </row>
    <row r="1273" spans="1:10" x14ac:dyDescent="0.25">
      <c r="A1273" t="str">
        <f>"01"</f>
        <v>01</v>
      </c>
      <c r="B1273" t="str">
        <f>"001721"</f>
        <v>001721</v>
      </c>
      <c r="C1273" t="s">
        <v>460</v>
      </c>
      <c r="D1273">
        <v>139362</v>
      </c>
      <c r="E1273" s="4">
        <v>45</v>
      </c>
      <c r="F1273" s="5">
        <v>44620</v>
      </c>
      <c r="G1273" t="str">
        <f>"CRS-202107-220230"</f>
        <v>CRS-202107-220230</v>
      </c>
      <c r="H1273" t="str">
        <f>"NAME SEARCH/HR"</f>
        <v>NAME SEARCH/HR</v>
      </c>
      <c r="I1273" s="4">
        <v>14</v>
      </c>
      <c r="J1273" t="str">
        <f>"NAME SEARCH/HR"</f>
        <v>NAME SEARCH/HR</v>
      </c>
    </row>
    <row r="1274" spans="1:10" x14ac:dyDescent="0.25">
      <c r="A1274" t="str">
        <f>""</f>
        <v/>
      </c>
      <c r="B1274" t="str">
        <f>""</f>
        <v/>
      </c>
      <c r="G1274" t="str">
        <f>"CRS-202108-22322"</f>
        <v>CRS-202108-22322</v>
      </c>
      <c r="H1274" t="str">
        <f>"NAME SEARCH/HR"</f>
        <v>NAME SEARCH/HR</v>
      </c>
      <c r="I1274" s="4">
        <v>2</v>
      </c>
      <c r="J1274" t="str">
        <f>"NAME SEARCH/HR"</f>
        <v>NAME SEARCH/HR</v>
      </c>
    </row>
    <row r="1275" spans="1:10" x14ac:dyDescent="0.25">
      <c r="A1275" t="str">
        <f>""</f>
        <v/>
      </c>
      <c r="B1275" t="str">
        <f>""</f>
        <v/>
      </c>
      <c r="G1275" t="str">
        <f>"CRS-202109-224373"</f>
        <v>CRS-202109-224373</v>
      </c>
      <c r="H1275" t="str">
        <f>"NAME SEARCH/HR"</f>
        <v>NAME SEARCH/HR</v>
      </c>
      <c r="I1275" s="4">
        <v>29</v>
      </c>
      <c r="J1275" t="str">
        <f>"NAME SEARCH/HR"</f>
        <v>NAME SEARCH/HR</v>
      </c>
    </row>
    <row r="1276" spans="1:10" x14ac:dyDescent="0.25">
      <c r="A1276" t="str">
        <f>"01"</f>
        <v>01</v>
      </c>
      <c r="B1276" t="str">
        <f>"006095"</f>
        <v>006095</v>
      </c>
      <c r="C1276" t="s">
        <v>461</v>
      </c>
      <c r="D1276">
        <v>139153</v>
      </c>
      <c r="E1276" s="4">
        <v>167</v>
      </c>
      <c r="F1276" s="5">
        <v>44606</v>
      </c>
      <c r="G1276" t="str">
        <f>"6398217"</f>
        <v>6398217</v>
      </c>
      <c r="H1276" t="str">
        <f>"PARK TRASH/GENERAL SVCS"</f>
        <v>PARK TRASH/GENERAL SVCS</v>
      </c>
      <c r="I1276" s="4">
        <v>167</v>
      </c>
      <c r="J1276" t="str">
        <f>"PARK TRASH/GENERAL SVCS"</f>
        <v>PARK TRASH/GENERAL SVCS</v>
      </c>
    </row>
    <row r="1277" spans="1:10" x14ac:dyDescent="0.25">
      <c r="A1277" t="str">
        <f>"01"</f>
        <v>01</v>
      </c>
      <c r="B1277" t="str">
        <f>"T11867"</f>
        <v>T11867</v>
      </c>
      <c r="C1277" t="s">
        <v>462</v>
      </c>
      <c r="D1277">
        <v>139363</v>
      </c>
      <c r="E1277" s="4">
        <v>375</v>
      </c>
      <c r="F1277" s="5">
        <v>44620</v>
      </c>
      <c r="G1277" t="str">
        <f>"20543"</f>
        <v>20543</v>
      </c>
      <c r="H1277" t="str">
        <f>"AMELIA BROWN"</f>
        <v>AMELIA BROWN</v>
      </c>
      <c r="I1277" s="4">
        <v>75</v>
      </c>
      <c r="J1277" t="str">
        <f>"AMELIA BROWN"</f>
        <v>AMELIA BROWN</v>
      </c>
    </row>
    <row r="1278" spans="1:10" x14ac:dyDescent="0.25">
      <c r="A1278" t="str">
        <f>""</f>
        <v/>
      </c>
      <c r="B1278" t="str">
        <f>""</f>
        <v/>
      </c>
      <c r="G1278" t="str">
        <f>"20620"</f>
        <v>20620</v>
      </c>
      <c r="H1278" t="str">
        <f>"ACCT#637/RAYMAH DAVIS"</f>
        <v>ACCT#637/RAYMAH DAVIS</v>
      </c>
      <c r="I1278" s="4">
        <v>75</v>
      </c>
      <c r="J1278" t="str">
        <f>"ACCT#637/RAYMAH DAVIS"</f>
        <v>ACCT#637/RAYMAH DAVIS</v>
      </c>
    </row>
    <row r="1279" spans="1:10" x14ac:dyDescent="0.25">
      <c r="A1279" t="str">
        <f>""</f>
        <v/>
      </c>
      <c r="B1279" t="str">
        <f>""</f>
        <v/>
      </c>
      <c r="G1279" t="str">
        <f>"20746"</f>
        <v>20746</v>
      </c>
      <c r="H1279" t="str">
        <f>"ACCT#636/KRYSTAL STABENO"</f>
        <v>ACCT#636/KRYSTAL STABENO</v>
      </c>
      <c r="I1279" s="4">
        <v>75</v>
      </c>
      <c r="J1279" t="str">
        <f>"ACCT#636/KRYSTAL STABENO"</f>
        <v>ACCT#636/KRYSTAL STABENO</v>
      </c>
    </row>
    <row r="1280" spans="1:10" x14ac:dyDescent="0.25">
      <c r="A1280" t="str">
        <f>""</f>
        <v/>
      </c>
      <c r="B1280" t="str">
        <f>""</f>
        <v/>
      </c>
      <c r="G1280" t="str">
        <f>"20931"</f>
        <v>20931</v>
      </c>
      <c r="H1280" t="str">
        <f>"DIANE MONTOYA"</f>
        <v>DIANE MONTOYA</v>
      </c>
      <c r="I1280" s="4">
        <v>75</v>
      </c>
      <c r="J1280" t="str">
        <f>"DIANE MONTOYA"</f>
        <v>DIANE MONTOYA</v>
      </c>
    </row>
    <row r="1281" spans="1:10" x14ac:dyDescent="0.25">
      <c r="A1281" t="str">
        <f>""</f>
        <v/>
      </c>
      <c r="B1281" t="str">
        <f>""</f>
        <v/>
      </c>
      <c r="G1281" t="str">
        <f>"21148"</f>
        <v>21148</v>
      </c>
      <c r="H1281" t="str">
        <f>"ACCT#720/DENA TINER"</f>
        <v>ACCT#720/DENA TINER</v>
      </c>
      <c r="I1281" s="4">
        <v>75</v>
      </c>
      <c r="J1281" t="str">
        <f>"ACCT#720/DENA TINER"</f>
        <v>ACCT#720/DENA TINER</v>
      </c>
    </row>
    <row r="1282" spans="1:10" x14ac:dyDescent="0.25">
      <c r="A1282" t="str">
        <f>"01"</f>
        <v>01</v>
      </c>
      <c r="B1282" t="str">
        <f>"004879"</f>
        <v>004879</v>
      </c>
      <c r="C1282" t="s">
        <v>463</v>
      </c>
      <c r="D1282">
        <v>139156</v>
      </c>
      <c r="E1282" s="4">
        <v>5538</v>
      </c>
      <c r="F1282" s="5">
        <v>44606</v>
      </c>
      <c r="G1282" t="str">
        <f>"201027823"</f>
        <v>201027823</v>
      </c>
      <c r="H1282" t="str">
        <f>"CUST#255120/PCT#2"</f>
        <v>CUST#255120/PCT#2</v>
      </c>
      <c r="I1282" s="4">
        <v>5538</v>
      </c>
      <c r="J1282" t="str">
        <f>"CUST#255120/PCT#2"</f>
        <v>CUST#255120/PCT#2</v>
      </c>
    </row>
    <row r="1283" spans="1:10" x14ac:dyDescent="0.25">
      <c r="A1283" t="str">
        <f>"01"</f>
        <v>01</v>
      </c>
      <c r="B1283" t="str">
        <f>"T7170"</f>
        <v>T7170</v>
      </c>
      <c r="C1283" t="s">
        <v>464</v>
      </c>
      <c r="D1283">
        <v>139157</v>
      </c>
      <c r="E1283" s="4">
        <v>539.75</v>
      </c>
      <c r="F1283" s="5">
        <v>44606</v>
      </c>
      <c r="G1283" t="str">
        <f>"ICO-0317-22"</f>
        <v>ICO-0317-22</v>
      </c>
      <c r="H1283" t="str">
        <f>"A8382406/LUKE FRIEND"</f>
        <v>A8382406/LUKE FRIEND</v>
      </c>
      <c r="I1283" s="4">
        <v>425</v>
      </c>
      <c r="J1283" t="str">
        <f>"A8382406/LUKE FRIEND"</f>
        <v>A8382406/LUKE FRIEND</v>
      </c>
    </row>
    <row r="1284" spans="1:10" x14ac:dyDescent="0.25">
      <c r="A1284" t="str">
        <f>""</f>
        <v/>
      </c>
      <c r="B1284" t="str">
        <f>""</f>
        <v/>
      </c>
      <c r="G1284" t="str">
        <f>"J2-55453"</f>
        <v>J2-55453</v>
      </c>
      <c r="H1284" t="str">
        <f>"A13316/MATHEW TESTA"</f>
        <v>A13316/MATHEW TESTA</v>
      </c>
      <c r="I1284" s="4">
        <v>114.75</v>
      </c>
      <c r="J1284" t="str">
        <f>"A13316/MATHEW TESTA"</f>
        <v>A13316/MATHEW TESTA</v>
      </c>
    </row>
    <row r="1285" spans="1:10" x14ac:dyDescent="0.25">
      <c r="A1285" t="str">
        <f>"01"</f>
        <v>01</v>
      </c>
      <c r="B1285" t="str">
        <f>"T7170"</f>
        <v>T7170</v>
      </c>
      <c r="C1285" t="s">
        <v>464</v>
      </c>
      <c r="D1285">
        <v>139364</v>
      </c>
      <c r="E1285" s="4">
        <v>2588.75</v>
      </c>
      <c r="F1285" s="5">
        <v>44620</v>
      </c>
      <c r="G1285" t="str">
        <f>"IC0-0321-22"</f>
        <v>IC0-0321-22</v>
      </c>
      <c r="H1285" t="str">
        <f>"A8382386-BEAU WOOD"</f>
        <v>A8382386-BEAU WOOD</v>
      </c>
      <c r="I1285" s="4">
        <v>425</v>
      </c>
      <c r="J1285" t="str">
        <f>"A8382386-BEAU WOOD"</f>
        <v>A8382386-BEAU WOOD</v>
      </c>
    </row>
    <row r="1286" spans="1:10" x14ac:dyDescent="0.25">
      <c r="A1286" t="str">
        <f>""</f>
        <v/>
      </c>
      <c r="B1286" t="str">
        <f>""</f>
        <v/>
      </c>
      <c r="G1286" t="str">
        <f>"ICO-0315-22"</f>
        <v>ICO-0315-22</v>
      </c>
      <c r="H1286" t="str">
        <f>"A8382405-BRET TINER"</f>
        <v>A8382405-BRET TINER</v>
      </c>
      <c r="I1286" s="4">
        <v>425</v>
      </c>
      <c r="J1286" t="str">
        <f>"A8382405-BRET TINER"</f>
        <v>A8382405-BRET TINER</v>
      </c>
    </row>
    <row r="1287" spans="1:10" x14ac:dyDescent="0.25">
      <c r="A1287" t="str">
        <f>""</f>
        <v/>
      </c>
      <c r="B1287" t="str">
        <f>""</f>
        <v/>
      </c>
      <c r="G1287" t="str">
        <f>"ICO-0332-22"</f>
        <v>ICO-0332-22</v>
      </c>
      <c r="H1287" t="str">
        <f>"A8382385-NICHOLAS YOUNG"</f>
        <v>A8382385-NICHOLAS YOUNG</v>
      </c>
      <c r="I1287" s="4">
        <v>425</v>
      </c>
      <c r="J1287" t="str">
        <f>"A8382385-NICHOLAS YOUNG"</f>
        <v>A8382385-NICHOLAS YOUNG</v>
      </c>
    </row>
    <row r="1288" spans="1:10" x14ac:dyDescent="0.25">
      <c r="A1288" t="str">
        <f>""</f>
        <v/>
      </c>
      <c r="B1288" t="str">
        <f>""</f>
        <v/>
      </c>
      <c r="G1288" t="str">
        <f>"ICO-3016-22"</f>
        <v>ICO-3016-22</v>
      </c>
      <c r="H1288" t="str">
        <f>"A8382409-WESTON WILHELM"</f>
        <v>A8382409-WESTON WILHELM</v>
      </c>
      <c r="I1288" s="4">
        <v>425</v>
      </c>
      <c r="J1288" t="str">
        <f>"A8382409-WESTON WILHELM"</f>
        <v>A8382409-WESTON WILHELM</v>
      </c>
    </row>
    <row r="1289" spans="1:10" x14ac:dyDescent="0.25">
      <c r="A1289" t="str">
        <f>""</f>
        <v/>
      </c>
      <c r="B1289" t="str">
        <f>""</f>
        <v/>
      </c>
      <c r="G1289" t="str">
        <f>"J2-69605"</f>
        <v>J2-69605</v>
      </c>
      <c r="H1289" t="str">
        <f>"A8361129/M.ANCELMO"</f>
        <v>A8361129/M.ANCELMO</v>
      </c>
      <c r="I1289" s="4">
        <v>170</v>
      </c>
      <c r="J1289" t="str">
        <f>"A8361129/M.ANCELMO"</f>
        <v>A8361129/M.ANCELMO</v>
      </c>
    </row>
    <row r="1290" spans="1:10" x14ac:dyDescent="0.25">
      <c r="A1290" t="str">
        <f>""</f>
        <v/>
      </c>
      <c r="B1290" t="str">
        <f>""</f>
        <v/>
      </c>
      <c r="G1290" t="str">
        <f>"J2-69796"</f>
        <v>J2-69796</v>
      </c>
      <c r="H1290" t="str">
        <f>"A-13211/ERIC BENNETT"</f>
        <v>A-13211/ERIC BENNETT</v>
      </c>
      <c r="I1290" s="4">
        <v>81</v>
      </c>
      <c r="J1290" t="str">
        <f>"A-13211/ERIC BENNETT"</f>
        <v>A-13211/ERIC BENNETT</v>
      </c>
    </row>
    <row r="1291" spans="1:10" x14ac:dyDescent="0.25">
      <c r="A1291" t="str">
        <f>""</f>
        <v/>
      </c>
      <c r="B1291" t="str">
        <f>""</f>
        <v/>
      </c>
      <c r="G1291" t="str">
        <f>"J2-71018"</f>
        <v>J2-71018</v>
      </c>
      <c r="H1291" t="str">
        <f>"A8382173-M.ANGEL"</f>
        <v>A8382173-M.ANGEL</v>
      </c>
      <c r="I1291" s="4">
        <v>114.75</v>
      </c>
      <c r="J1291" t="str">
        <f>"A8382173-M.ANGEL"</f>
        <v>A8382173-M.ANGEL</v>
      </c>
    </row>
    <row r="1292" spans="1:10" x14ac:dyDescent="0.25">
      <c r="A1292" t="str">
        <f>""</f>
        <v/>
      </c>
      <c r="B1292" t="str">
        <f>""</f>
        <v/>
      </c>
      <c r="G1292" t="str">
        <f>"J2-71575"</f>
        <v>J2-71575</v>
      </c>
      <c r="H1292" t="str">
        <f>"A-13223/CODY CHANDLER"</f>
        <v>A-13223/CODY CHANDLER</v>
      </c>
      <c r="I1292" s="4">
        <v>170</v>
      </c>
      <c r="J1292" t="str">
        <f>"A-13223/CODY CHANDLER"</f>
        <v>A-13223/CODY CHANDLER</v>
      </c>
    </row>
    <row r="1293" spans="1:10" x14ac:dyDescent="0.25">
      <c r="A1293" t="str">
        <f>""</f>
        <v/>
      </c>
      <c r="B1293" t="str">
        <f>""</f>
        <v/>
      </c>
      <c r="G1293" t="str">
        <f>"J2-71581"</f>
        <v>J2-71581</v>
      </c>
      <c r="H1293" t="str">
        <f>"A8353764/MICHAEL S"</f>
        <v>A8353764/MICHAEL S</v>
      </c>
      <c r="I1293" s="4">
        <v>114.75</v>
      </c>
      <c r="J1293" t="str">
        <f>"A8353764/MICHAEL S"</f>
        <v>A8353764/MICHAEL S</v>
      </c>
    </row>
    <row r="1294" spans="1:10" x14ac:dyDescent="0.25">
      <c r="A1294" t="str">
        <f>""</f>
        <v/>
      </c>
      <c r="B1294" t="str">
        <f>""</f>
        <v/>
      </c>
      <c r="G1294" t="str">
        <f>"J2-71994"</f>
        <v>J2-71994</v>
      </c>
      <c r="H1294" t="str">
        <f>"A-12804/MICHAEL HALTER"</f>
        <v>A-12804/MICHAEL HALTER</v>
      </c>
      <c r="I1294" s="4">
        <v>81</v>
      </c>
      <c r="J1294" t="str">
        <f>"A-12804/MICHAEL HALTER"</f>
        <v>A-12804/MICHAEL HALTER</v>
      </c>
    </row>
    <row r="1295" spans="1:10" x14ac:dyDescent="0.25">
      <c r="A1295" t="str">
        <f>""</f>
        <v/>
      </c>
      <c r="B1295" t="str">
        <f>""</f>
        <v/>
      </c>
      <c r="G1295" t="str">
        <f>"J2-72082"</f>
        <v>J2-72082</v>
      </c>
      <c r="H1295" t="str">
        <f>"A8382388/ANDREW SOTO"</f>
        <v>A8382388/ANDREW SOTO</v>
      </c>
      <c r="I1295" s="4">
        <v>157.25</v>
      </c>
      <c r="J1295" t="str">
        <f>"A8382388/ANDREW SOTO"</f>
        <v>A8382388/ANDREW SOTO</v>
      </c>
    </row>
    <row r="1296" spans="1:10" x14ac:dyDescent="0.25">
      <c r="A1296" t="str">
        <f>"01"</f>
        <v>01</v>
      </c>
      <c r="B1296" t="str">
        <f>"000565"</f>
        <v>000565</v>
      </c>
      <c r="C1296" t="s">
        <v>465</v>
      </c>
      <c r="D1296">
        <v>139158</v>
      </c>
      <c r="E1296" s="4">
        <v>1900</v>
      </c>
      <c r="F1296" s="5">
        <v>44606</v>
      </c>
      <c r="G1296" t="str">
        <f>"202202088823"</f>
        <v>202202088823</v>
      </c>
      <c r="H1296" t="str">
        <f>"TRAINING"</f>
        <v>TRAINING</v>
      </c>
      <c r="I1296" s="4">
        <v>1462</v>
      </c>
      <c r="J1296" t="str">
        <f>"LODGING/ MEALS"</f>
        <v>LODGING/ MEALS</v>
      </c>
    </row>
    <row r="1297" spans="1:10" x14ac:dyDescent="0.25">
      <c r="A1297" t="str">
        <f>""</f>
        <v/>
      </c>
      <c r="B1297" t="str">
        <f>""</f>
        <v/>
      </c>
      <c r="G1297" t="str">
        <f>""</f>
        <v/>
      </c>
      <c r="H1297" t="str">
        <f>""</f>
        <v/>
      </c>
      <c r="I1297" s="4">
        <v>438</v>
      </c>
      <c r="J1297" t="str">
        <f>"TRAINING"</f>
        <v>TRAINING</v>
      </c>
    </row>
    <row r="1298" spans="1:10" x14ac:dyDescent="0.25">
      <c r="A1298" t="str">
        <f>"01"</f>
        <v>01</v>
      </c>
      <c r="B1298" t="str">
        <f>"005329"</f>
        <v>005329</v>
      </c>
      <c r="C1298" t="s">
        <v>466</v>
      </c>
      <c r="D1298">
        <v>139159</v>
      </c>
      <c r="E1298" s="4">
        <v>100</v>
      </c>
      <c r="F1298" s="5">
        <v>44606</v>
      </c>
      <c r="G1298" t="str">
        <f>"202202028744"</f>
        <v>202202028744</v>
      </c>
      <c r="H1298" t="str">
        <f>"Annual Memebership"</f>
        <v>Annual Memebership</v>
      </c>
      <c r="I1298" s="4">
        <v>100</v>
      </c>
      <c r="J1298" t="str">
        <f>"Annual Memebership"</f>
        <v>Annual Memebership</v>
      </c>
    </row>
    <row r="1299" spans="1:10" x14ac:dyDescent="0.25">
      <c r="A1299" t="str">
        <f>"01"</f>
        <v>01</v>
      </c>
      <c r="B1299" t="str">
        <f>"T10512"</f>
        <v>T10512</v>
      </c>
      <c r="C1299" t="s">
        <v>467</v>
      </c>
      <c r="D1299">
        <v>139154</v>
      </c>
      <c r="E1299" s="4">
        <v>260</v>
      </c>
      <c r="F1299" s="5">
        <v>44606</v>
      </c>
      <c r="G1299" t="str">
        <f>"59633"</f>
        <v>59633</v>
      </c>
      <c r="H1299" t="str">
        <f>"TRAINING/DIANE GUTHRIE"</f>
        <v>TRAINING/DIANE GUTHRIE</v>
      </c>
      <c r="I1299" s="4">
        <v>260</v>
      </c>
      <c r="J1299" t="str">
        <f>"TRAINING/DIANE GUTHRIE"</f>
        <v>TRAINING/DIANE GUTHRIE</v>
      </c>
    </row>
    <row r="1300" spans="1:10" x14ac:dyDescent="0.25">
      <c r="A1300" t="str">
        <f>"01"</f>
        <v>01</v>
      </c>
      <c r="B1300" t="str">
        <f>"T10512"</f>
        <v>T10512</v>
      </c>
      <c r="C1300" t="s">
        <v>467</v>
      </c>
      <c r="D1300">
        <v>139155</v>
      </c>
      <c r="E1300" s="4">
        <v>260</v>
      </c>
      <c r="F1300" s="5">
        <v>44606</v>
      </c>
      <c r="G1300" t="str">
        <f>"61414"</f>
        <v>61414</v>
      </c>
      <c r="H1300" t="str">
        <f>"TRAINING/BRIGITTE BUSCHA"</f>
        <v>TRAINING/BRIGITTE BUSCHA</v>
      </c>
      <c r="I1300" s="4">
        <v>260</v>
      </c>
      <c r="J1300" t="str">
        <f>"TRAINING/BRIGITTE BUSCHA"</f>
        <v>TRAINING/BRIGITTE BUSCHA</v>
      </c>
    </row>
    <row r="1301" spans="1:10" x14ac:dyDescent="0.25">
      <c r="A1301" t="str">
        <f>"01"</f>
        <v>01</v>
      </c>
      <c r="B1301" t="str">
        <f>"T10512"</f>
        <v>T10512</v>
      </c>
      <c r="C1301" t="s">
        <v>467</v>
      </c>
      <c r="D1301">
        <v>139365</v>
      </c>
      <c r="E1301" s="4">
        <v>75</v>
      </c>
      <c r="F1301" s="5">
        <v>44620</v>
      </c>
      <c r="G1301" t="str">
        <f>"62333"</f>
        <v>62333</v>
      </c>
      <c r="H1301" t="str">
        <f>"TRAINING/K.STABENO"</f>
        <v>TRAINING/K.STABENO</v>
      </c>
      <c r="I1301" s="4">
        <v>75</v>
      </c>
      <c r="J1301" t="str">
        <f>"TRAINING/K.STABENO"</f>
        <v>TRAINING/K.STABENO</v>
      </c>
    </row>
    <row r="1302" spans="1:10" x14ac:dyDescent="0.25">
      <c r="A1302" t="str">
        <f>"01"</f>
        <v>01</v>
      </c>
      <c r="B1302" t="str">
        <f>"003484"</f>
        <v>003484</v>
      </c>
      <c r="C1302" t="s">
        <v>468</v>
      </c>
      <c r="D1302">
        <v>139366</v>
      </c>
      <c r="E1302" s="4">
        <v>3329</v>
      </c>
      <c r="F1302" s="5">
        <v>44620</v>
      </c>
      <c r="G1302" t="str">
        <f>"202202239337"</f>
        <v>202202239337</v>
      </c>
      <c r="H1302" t="str">
        <f>"Task Order #1"</f>
        <v>Task Order #1</v>
      </c>
      <c r="I1302" s="4">
        <v>6762.14</v>
      </c>
      <c r="J1302" t="str">
        <f>"INV #9-5577"</f>
        <v>INV #9-5577</v>
      </c>
    </row>
    <row r="1303" spans="1:10" x14ac:dyDescent="0.25">
      <c r="A1303" t="str">
        <f>""</f>
        <v/>
      </c>
      <c r="B1303" t="str">
        <f>""</f>
        <v/>
      </c>
      <c r="G1303" t="str">
        <f>""</f>
        <v/>
      </c>
      <c r="H1303" t="str">
        <f>""</f>
        <v/>
      </c>
      <c r="I1303" s="4">
        <v>-3433.14</v>
      </c>
      <c r="J1303" t="str">
        <f>"DUPLICATE 9-5498"</f>
        <v>DUPLICATE 9-5498</v>
      </c>
    </row>
    <row r="1304" spans="1:10" x14ac:dyDescent="0.25">
      <c r="A1304" t="str">
        <f>"01"</f>
        <v>01</v>
      </c>
      <c r="B1304" t="str">
        <f>"005153"</f>
        <v>005153</v>
      </c>
      <c r="C1304" t="s">
        <v>469</v>
      </c>
      <c r="D1304">
        <v>139160</v>
      </c>
      <c r="E1304" s="4">
        <v>139</v>
      </c>
      <c r="F1304" s="5">
        <v>44606</v>
      </c>
      <c r="G1304" t="str">
        <f>"134468"</f>
        <v>134468</v>
      </c>
      <c r="H1304" t="str">
        <f>"SILVERADO/PCT#1"</f>
        <v>SILVERADO/PCT#1</v>
      </c>
      <c r="I1304" s="4">
        <v>139</v>
      </c>
      <c r="J1304" t="str">
        <f>"SILVERADO/PCT#1"</f>
        <v>SILVERADO/PCT#1</v>
      </c>
    </row>
    <row r="1305" spans="1:10" x14ac:dyDescent="0.25">
      <c r="A1305" t="str">
        <f>"01"</f>
        <v>01</v>
      </c>
      <c r="B1305" t="str">
        <f>"005153"</f>
        <v>005153</v>
      </c>
      <c r="C1305" t="s">
        <v>469</v>
      </c>
      <c r="D1305">
        <v>139367</v>
      </c>
      <c r="E1305" s="4">
        <v>1609</v>
      </c>
      <c r="F1305" s="5">
        <v>44620</v>
      </c>
      <c r="G1305" t="str">
        <f>"134503"</f>
        <v>134503</v>
      </c>
      <c r="H1305" t="str">
        <f>"VULCAN ROPE/PCT#1"</f>
        <v>VULCAN ROPE/PCT#1</v>
      </c>
      <c r="I1305" s="4">
        <v>825</v>
      </c>
      <c r="J1305" t="str">
        <f>"VULCAN ROPE/PCT#1"</f>
        <v>VULCAN ROPE/PCT#1</v>
      </c>
    </row>
    <row r="1306" spans="1:10" x14ac:dyDescent="0.25">
      <c r="A1306" t="str">
        <f>""</f>
        <v/>
      </c>
      <c r="B1306" t="str">
        <f>""</f>
        <v/>
      </c>
      <c r="G1306" t="str">
        <f>"134508"</f>
        <v>134508</v>
      </c>
      <c r="H1306" t="str">
        <f>"2019 DODGE/PCT1"</f>
        <v>2019 DODGE/PCT1</v>
      </c>
      <c r="I1306" s="4">
        <v>784</v>
      </c>
      <c r="J1306" t="str">
        <f>"2019 DODGE/PCT1"</f>
        <v>2019 DODGE/PCT1</v>
      </c>
    </row>
    <row r="1307" spans="1:10" x14ac:dyDescent="0.25">
      <c r="A1307" t="str">
        <f>"01"</f>
        <v>01</v>
      </c>
      <c r="B1307" t="str">
        <f>"004635"</f>
        <v>004635</v>
      </c>
      <c r="C1307" t="s">
        <v>470</v>
      </c>
      <c r="D1307">
        <v>5765</v>
      </c>
      <c r="E1307" s="4">
        <v>1859</v>
      </c>
      <c r="F1307" s="5">
        <v>44607</v>
      </c>
      <c r="G1307" t="str">
        <f>"299175"</f>
        <v>299175</v>
      </c>
      <c r="H1307" t="str">
        <f>"ACCT#188757/PCT#4"</f>
        <v>ACCT#188757/PCT#4</v>
      </c>
      <c r="I1307" s="4">
        <v>95.5</v>
      </c>
      <c r="J1307" t="str">
        <f>"ACCT#188757/PCT#4"</f>
        <v>ACCT#188757/PCT#4</v>
      </c>
    </row>
    <row r="1308" spans="1:10" x14ac:dyDescent="0.25">
      <c r="A1308" t="str">
        <f>""</f>
        <v/>
      </c>
      <c r="B1308" t="str">
        <f>""</f>
        <v/>
      </c>
      <c r="G1308" t="str">
        <f>"299224"</f>
        <v>299224</v>
      </c>
      <c r="H1308" t="str">
        <f>"ACCT#188757/LBJ BUILDING"</f>
        <v>ACCT#188757/LBJ BUILDING</v>
      </c>
      <c r="I1308" s="4">
        <v>69</v>
      </c>
      <c r="J1308" t="str">
        <f>"ACCT#188757/LBJ BUILDING"</f>
        <v>ACCT#188757/LBJ BUILDING</v>
      </c>
    </row>
    <row r="1309" spans="1:10" x14ac:dyDescent="0.25">
      <c r="A1309" t="str">
        <f>""</f>
        <v/>
      </c>
      <c r="B1309" t="str">
        <f>""</f>
        <v/>
      </c>
      <c r="G1309" t="str">
        <f>"300034"</f>
        <v>300034</v>
      </c>
      <c r="H1309" t="str">
        <f>"ACCT#188757/STONY POINT"</f>
        <v>ACCT#188757/STONY POINT</v>
      </c>
      <c r="I1309" s="4">
        <v>95</v>
      </c>
      <c r="J1309" t="str">
        <f>"ACCT#188757/STONY POINT"</f>
        <v>ACCT#188757/STONY POINT</v>
      </c>
    </row>
    <row r="1310" spans="1:10" x14ac:dyDescent="0.25">
      <c r="A1310" t="str">
        <f>""</f>
        <v/>
      </c>
      <c r="B1310" t="str">
        <f>""</f>
        <v/>
      </c>
      <c r="G1310" t="str">
        <f>"300376"</f>
        <v>300376</v>
      </c>
      <c r="H1310" t="str">
        <f>"ACCT#188757/SIGN SHOP"</f>
        <v>ACCT#188757/SIGN SHOP</v>
      </c>
      <c r="I1310" s="4">
        <v>95</v>
      </c>
      <c r="J1310" t="str">
        <f>"ACCT#188757/SIGN SHOP"</f>
        <v>ACCT#188757/SIGN SHOP</v>
      </c>
    </row>
    <row r="1311" spans="1:10" x14ac:dyDescent="0.25">
      <c r="A1311" t="str">
        <f>""</f>
        <v/>
      </c>
      <c r="B1311" t="str">
        <f>""</f>
        <v/>
      </c>
      <c r="G1311" t="str">
        <f>"300401"</f>
        <v>300401</v>
      </c>
      <c r="H1311" t="str">
        <f>"ACCT#188757/BOOT CAMP"</f>
        <v>ACCT#188757/BOOT CAMP</v>
      </c>
      <c r="I1311" s="4">
        <v>118.5</v>
      </c>
      <c r="J1311" t="str">
        <f>"ACCT#188757/BOOT CAMP"</f>
        <v>ACCT#188757/BOOT CAMP</v>
      </c>
    </row>
    <row r="1312" spans="1:10" x14ac:dyDescent="0.25">
      <c r="A1312" t="str">
        <f>""</f>
        <v/>
      </c>
      <c r="B1312" t="str">
        <f>""</f>
        <v/>
      </c>
      <c r="G1312" t="str">
        <f>"300662"</f>
        <v>300662</v>
      </c>
      <c r="H1312" t="str">
        <f>"ACCT#188757/ANIMAL SHELTER"</f>
        <v>ACCT#188757/ANIMAL SHELTER</v>
      </c>
      <c r="I1312" s="4">
        <v>290</v>
      </c>
      <c r="J1312" t="str">
        <f>"ACCT#188757/ANIMAL SHELTER"</f>
        <v>ACCT#188757/ANIMAL SHELTER</v>
      </c>
    </row>
    <row r="1313" spans="1:10" x14ac:dyDescent="0.25">
      <c r="A1313" t="str">
        <f>""</f>
        <v/>
      </c>
      <c r="B1313" t="str">
        <f>""</f>
        <v/>
      </c>
      <c r="G1313" t="str">
        <f>"302126"</f>
        <v>302126</v>
      </c>
      <c r="H1313" t="str">
        <f>"ACCT#188757/COURTHOUSE"</f>
        <v>ACCT#188757/COURTHOUSE</v>
      </c>
      <c r="I1313" s="4">
        <v>486</v>
      </c>
      <c r="J1313" t="str">
        <f>"ACCT#188757/COURTHOUSE"</f>
        <v>ACCT#188757/COURTHOUSE</v>
      </c>
    </row>
    <row r="1314" spans="1:10" x14ac:dyDescent="0.25">
      <c r="A1314" t="str">
        <f>""</f>
        <v/>
      </c>
      <c r="B1314" t="str">
        <f>""</f>
        <v/>
      </c>
      <c r="G1314" t="str">
        <f>"303551"</f>
        <v>303551</v>
      </c>
      <c r="H1314" t="str">
        <f>"ACCT#188757/DPS/TDL"</f>
        <v>ACCT#188757/DPS/TDL</v>
      </c>
      <c r="I1314" s="4">
        <v>76</v>
      </c>
      <c r="J1314" t="str">
        <f>"ACCT#188757/DPS/TDL"</f>
        <v>ACCT#188757/DPS/TDL</v>
      </c>
    </row>
    <row r="1315" spans="1:10" x14ac:dyDescent="0.25">
      <c r="A1315" t="str">
        <f>""</f>
        <v/>
      </c>
      <c r="B1315" t="str">
        <f>""</f>
        <v/>
      </c>
      <c r="G1315" t="str">
        <f>"303552"</f>
        <v>303552</v>
      </c>
      <c r="H1315" t="str">
        <f>"ACCT#188757/JUVENILE PROB"</f>
        <v>ACCT#188757/JUVENILE PROB</v>
      </c>
      <c r="I1315" s="4">
        <v>132</v>
      </c>
      <c r="J1315" t="str">
        <f>"ACCT#188757/JUVENILE PROB"</f>
        <v>ACCT#188757/JUVENILE PROB</v>
      </c>
    </row>
    <row r="1316" spans="1:10" x14ac:dyDescent="0.25">
      <c r="A1316" t="str">
        <f>""</f>
        <v/>
      </c>
      <c r="B1316" t="str">
        <f>""</f>
        <v/>
      </c>
      <c r="G1316" t="str">
        <f>"303585"</f>
        <v>303585</v>
      </c>
      <c r="H1316" t="str">
        <f>"ACCT#188757/HISTORIC JAIL"</f>
        <v>ACCT#188757/HISTORIC JAIL</v>
      </c>
      <c r="I1316" s="4">
        <v>76</v>
      </c>
      <c r="J1316" t="str">
        <f>"ACCT#188757/HISTORIC JAIL"</f>
        <v>ACCT#188757/HISTORIC JAIL</v>
      </c>
    </row>
    <row r="1317" spans="1:10" x14ac:dyDescent="0.25">
      <c r="A1317" t="str">
        <f>""</f>
        <v/>
      </c>
      <c r="B1317" t="str">
        <f>""</f>
        <v/>
      </c>
      <c r="G1317" t="str">
        <f>"303588"</f>
        <v>303588</v>
      </c>
      <c r="H1317" t="str">
        <f>"ACCT#188757/EXT HABITAT"</f>
        <v>ACCT#188757/EXT HABITAT</v>
      </c>
      <c r="I1317" s="4">
        <v>89</v>
      </c>
      <c r="J1317" t="str">
        <f>"ACCT#188757/EXT HABITAT"</f>
        <v>ACCT#188757/EXT HABITAT</v>
      </c>
    </row>
    <row r="1318" spans="1:10" x14ac:dyDescent="0.25">
      <c r="A1318" t="str">
        <f>""</f>
        <v/>
      </c>
      <c r="B1318" t="str">
        <f>""</f>
        <v/>
      </c>
      <c r="G1318" t="str">
        <f>"303589"</f>
        <v>303589</v>
      </c>
      <c r="H1318" t="str">
        <f>"ACCT#188757/MIKE FISHER BLDG"</f>
        <v>ACCT#188757/MIKE FISHER BLDG</v>
      </c>
      <c r="I1318" s="4">
        <v>112</v>
      </c>
      <c r="J1318" t="str">
        <f>"ACCT#188757/MIKE FISHER BLDG"</f>
        <v>ACCT#188757/MIKE FISHER BLDG</v>
      </c>
    </row>
    <row r="1319" spans="1:10" x14ac:dyDescent="0.25">
      <c r="A1319" t="str">
        <f>""</f>
        <v/>
      </c>
      <c r="B1319" t="str">
        <f>""</f>
        <v/>
      </c>
      <c r="G1319" t="str">
        <f>"303642"</f>
        <v>303642</v>
      </c>
      <c r="H1319" t="str">
        <f>"ACCT#188757/CEDAR CREEK PARK"</f>
        <v>ACCT#188757/CEDAR CREEK PARK</v>
      </c>
      <c r="I1319" s="4">
        <v>125</v>
      </c>
      <c r="J1319" t="str">
        <f>"ACCT#188757/CEDAR CREEK PARK"</f>
        <v>ACCT#188757/CEDAR CREEK PARK</v>
      </c>
    </row>
    <row r="1320" spans="1:10" x14ac:dyDescent="0.25">
      <c r="A1320" t="str">
        <f>"01"</f>
        <v>01</v>
      </c>
      <c r="B1320" t="str">
        <f>"002317"</f>
        <v>002317</v>
      </c>
      <c r="C1320" t="s">
        <v>471</v>
      </c>
      <c r="D1320">
        <v>5754</v>
      </c>
      <c r="E1320" s="4">
        <v>400</v>
      </c>
      <c r="F1320" s="5">
        <v>44607</v>
      </c>
      <c r="G1320" t="str">
        <f>"202201318656"</f>
        <v>202201318656</v>
      </c>
      <c r="H1320" t="str">
        <f>"17-470"</f>
        <v>17-470</v>
      </c>
      <c r="I1320" s="4">
        <v>400</v>
      </c>
      <c r="J1320" t="str">
        <f>"17-470"</f>
        <v>17-470</v>
      </c>
    </row>
    <row r="1321" spans="1:10" x14ac:dyDescent="0.25">
      <c r="A1321" t="str">
        <f>"01"</f>
        <v>01</v>
      </c>
      <c r="B1321" t="str">
        <f>"T5753"</f>
        <v>T5753</v>
      </c>
      <c r="C1321" t="s">
        <v>472</v>
      </c>
      <c r="D1321">
        <v>139368</v>
      </c>
      <c r="E1321" s="4">
        <v>373.14</v>
      </c>
      <c r="F1321" s="5">
        <v>44620</v>
      </c>
      <c r="G1321" t="str">
        <f>"94352652"</f>
        <v>94352652</v>
      </c>
      <c r="H1321" t="str">
        <f>"INV 94352652"</f>
        <v>INV 94352652</v>
      </c>
      <c r="I1321" s="4">
        <v>373.14</v>
      </c>
      <c r="J1321" t="str">
        <f>"INV 94352652"</f>
        <v>INV 94352652</v>
      </c>
    </row>
    <row r="1322" spans="1:10" x14ac:dyDescent="0.25">
      <c r="A1322" t="str">
        <f>"01"</f>
        <v>01</v>
      </c>
      <c r="B1322" t="str">
        <f>"WPC"</f>
        <v>WPC</v>
      </c>
      <c r="C1322" t="s">
        <v>473</v>
      </c>
      <c r="D1322">
        <v>139161</v>
      </c>
      <c r="E1322" s="4">
        <v>10280.290000000001</v>
      </c>
      <c r="F1322" s="5">
        <v>44606</v>
      </c>
      <c r="G1322" t="str">
        <f>"6141673228"</f>
        <v>6141673228</v>
      </c>
      <c r="H1322" t="str">
        <f t="shared" ref="H1322:H1330" si="38">"ACCT#1000648597/LAW LIBRARY"</f>
        <v>ACCT#1000648597/LAW LIBRARY</v>
      </c>
      <c r="I1322" s="4">
        <v>1458.6</v>
      </c>
      <c r="J1322" t="str">
        <f t="shared" ref="J1322:J1330" si="39">"ACCT#1000648597/LAW LIBRARY"</f>
        <v>ACCT#1000648597/LAW LIBRARY</v>
      </c>
    </row>
    <row r="1323" spans="1:10" x14ac:dyDescent="0.25">
      <c r="A1323" t="str">
        <f>""</f>
        <v/>
      </c>
      <c r="B1323" t="str">
        <f>""</f>
        <v/>
      </c>
      <c r="G1323" t="str">
        <f>"6144387531"</f>
        <v>6144387531</v>
      </c>
      <c r="H1323" t="str">
        <f t="shared" si="38"/>
        <v>ACCT#1000648597/LAW LIBRARY</v>
      </c>
      <c r="I1323" s="4">
        <v>381.6</v>
      </c>
      <c r="J1323" t="str">
        <f t="shared" si="39"/>
        <v>ACCT#1000648597/LAW LIBRARY</v>
      </c>
    </row>
    <row r="1324" spans="1:10" x14ac:dyDescent="0.25">
      <c r="A1324" t="str">
        <f>""</f>
        <v/>
      </c>
      <c r="B1324" t="str">
        <f>""</f>
        <v/>
      </c>
      <c r="G1324" t="str">
        <f>"6144483682"</f>
        <v>6144483682</v>
      </c>
      <c r="H1324" t="str">
        <f t="shared" si="38"/>
        <v>ACCT#1000648597/LAW LIBRARY</v>
      </c>
      <c r="I1324" s="4">
        <v>356.4</v>
      </c>
      <c r="J1324" t="str">
        <f t="shared" si="39"/>
        <v>ACCT#1000648597/LAW LIBRARY</v>
      </c>
    </row>
    <row r="1325" spans="1:10" x14ac:dyDescent="0.25">
      <c r="A1325" t="str">
        <f>""</f>
        <v/>
      </c>
      <c r="B1325" t="str">
        <f>""</f>
        <v/>
      </c>
      <c r="G1325" t="str">
        <f>"6144939823"</f>
        <v>6144939823</v>
      </c>
      <c r="H1325" t="str">
        <f t="shared" si="38"/>
        <v>ACCT#1000648597/LAW LIBRARY</v>
      </c>
      <c r="I1325" s="4">
        <v>623.70000000000005</v>
      </c>
      <c r="J1325" t="str">
        <f t="shared" si="39"/>
        <v>ACCT#1000648597/LAW LIBRARY</v>
      </c>
    </row>
    <row r="1326" spans="1:10" x14ac:dyDescent="0.25">
      <c r="A1326" t="str">
        <f>""</f>
        <v/>
      </c>
      <c r="B1326" t="str">
        <f>""</f>
        <v/>
      </c>
      <c r="G1326" t="str">
        <f>"6144978870"</f>
        <v>6144978870</v>
      </c>
      <c r="H1326" t="str">
        <f t="shared" si="38"/>
        <v>ACCT#1000648597/LAW LIBRARY</v>
      </c>
      <c r="I1326" s="4">
        <v>421.2</v>
      </c>
      <c r="J1326" t="str">
        <f t="shared" si="39"/>
        <v>ACCT#1000648597/LAW LIBRARY</v>
      </c>
    </row>
    <row r="1327" spans="1:10" x14ac:dyDescent="0.25">
      <c r="A1327" t="str">
        <f>""</f>
        <v/>
      </c>
      <c r="B1327" t="str">
        <f>""</f>
        <v/>
      </c>
      <c r="G1327" t="str">
        <f>"6145008576"</f>
        <v>6145008576</v>
      </c>
      <c r="H1327" t="str">
        <f t="shared" si="38"/>
        <v>ACCT#1000648597/LAW LIBRARY</v>
      </c>
      <c r="I1327" s="4">
        <v>1620.9</v>
      </c>
      <c r="J1327" t="str">
        <f t="shared" si="39"/>
        <v>ACCT#1000648597/LAW LIBRARY</v>
      </c>
    </row>
    <row r="1328" spans="1:10" x14ac:dyDescent="0.25">
      <c r="A1328" t="str">
        <f>""</f>
        <v/>
      </c>
      <c r="B1328" t="str">
        <f>""</f>
        <v/>
      </c>
      <c r="G1328" t="str">
        <f>"6145033249"</f>
        <v>6145033249</v>
      </c>
      <c r="H1328" t="str">
        <f t="shared" si="38"/>
        <v>ACCT#1000648597/LAW LIBRARY</v>
      </c>
      <c r="I1328" s="4">
        <v>1242</v>
      </c>
      <c r="J1328" t="str">
        <f t="shared" si="39"/>
        <v>ACCT#1000648597/LAW LIBRARY</v>
      </c>
    </row>
    <row r="1329" spans="1:10" x14ac:dyDescent="0.25">
      <c r="A1329" t="str">
        <f>""</f>
        <v/>
      </c>
      <c r="B1329" t="str">
        <f>""</f>
        <v/>
      </c>
      <c r="G1329" t="str">
        <f>"6145451365"</f>
        <v>6145451365</v>
      </c>
      <c r="H1329" t="str">
        <f t="shared" si="38"/>
        <v>ACCT#1000648597/LAW LIBRARY</v>
      </c>
      <c r="I1329" s="4">
        <v>1506.6</v>
      </c>
      <c r="J1329" t="str">
        <f t="shared" si="39"/>
        <v>ACCT#1000648597/LAW LIBRARY</v>
      </c>
    </row>
    <row r="1330" spans="1:10" x14ac:dyDescent="0.25">
      <c r="A1330" t="str">
        <f>""</f>
        <v/>
      </c>
      <c r="B1330" t="str">
        <f>""</f>
        <v/>
      </c>
      <c r="G1330" t="str">
        <f>"845415573"</f>
        <v>845415573</v>
      </c>
      <c r="H1330" t="str">
        <f t="shared" si="38"/>
        <v>ACCT#1000648597/LAW LIBRARY</v>
      </c>
      <c r="I1330" s="4">
        <v>600</v>
      </c>
      <c r="J1330" t="str">
        <f t="shared" si="39"/>
        <v>ACCT#1000648597/LAW LIBRARY</v>
      </c>
    </row>
    <row r="1331" spans="1:10" x14ac:dyDescent="0.25">
      <c r="A1331" t="str">
        <f>""</f>
        <v/>
      </c>
      <c r="B1331" t="str">
        <f>""</f>
        <v/>
      </c>
      <c r="G1331" t="str">
        <f>"845761800"</f>
        <v>845761800</v>
      </c>
      <c r="H1331" t="str">
        <f>"ACCT#1000648597"</f>
        <v>ACCT#1000648597</v>
      </c>
      <c r="I1331" s="4">
        <v>1153.29</v>
      </c>
      <c r="J1331" t="str">
        <f>"ACCT#1000648597"</f>
        <v>ACCT#1000648597</v>
      </c>
    </row>
    <row r="1332" spans="1:10" x14ac:dyDescent="0.25">
      <c r="A1332" t="str">
        <f>""</f>
        <v/>
      </c>
      <c r="B1332" t="str">
        <f>""</f>
        <v/>
      </c>
      <c r="G1332" t="str">
        <f>"845775197"</f>
        <v>845775197</v>
      </c>
      <c r="H1332" t="str">
        <f>"ACCT#1000310962"</f>
        <v>ACCT#1000310962</v>
      </c>
      <c r="I1332" s="4">
        <v>916</v>
      </c>
      <c r="J1332" t="str">
        <f>"ACCT#1000310962"</f>
        <v>ACCT#1000310962</v>
      </c>
    </row>
    <row r="1333" spans="1:10" x14ac:dyDescent="0.25">
      <c r="A1333" t="str">
        <f>"01"</f>
        <v>01</v>
      </c>
      <c r="B1333" t="str">
        <f>"WPC"</f>
        <v>WPC</v>
      </c>
      <c r="C1333" t="s">
        <v>473</v>
      </c>
      <c r="D1333">
        <v>139369</v>
      </c>
      <c r="E1333" s="4">
        <v>100</v>
      </c>
      <c r="F1333" s="5">
        <v>44620</v>
      </c>
      <c r="G1333" t="str">
        <f>"6146321148"</f>
        <v>6146321148</v>
      </c>
      <c r="H1333" t="str">
        <f>"ACCT#1000310962/DA"</f>
        <v>ACCT#1000310962/DA</v>
      </c>
      <c r="I1333" s="4">
        <v>100</v>
      </c>
      <c r="J1333" t="str">
        <f>"ACCT#1000310962/DA"</f>
        <v>ACCT#1000310962/DA</v>
      </c>
    </row>
    <row r="1334" spans="1:10" x14ac:dyDescent="0.25">
      <c r="A1334" t="str">
        <f>"01"</f>
        <v>01</v>
      </c>
      <c r="B1334" t="str">
        <f>"TIME"</f>
        <v>TIME</v>
      </c>
      <c r="C1334" t="s">
        <v>474</v>
      </c>
      <c r="D1334">
        <v>139162</v>
      </c>
      <c r="E1334" s="4">
        <v>635.07000000000005</v>
      </c>
      <c r="F1334" s="5">
        <v>44606</v>
      </c>
      <c r="G1334" t="str">
        <f>"01671000011622"</f>
        <v>01671000011622</v>
      </c>
      <c r="H1334" t="str">
        <f>"ACCT#8260160170167100"</f>
        <v>ACCT#8260160170167100</v>
      </c>
      <c r="I1334" s="4">
        <v>635.07000000000005</v>
      </c>
      <c r="J1334" t="str">
        <f>"ACCT#8260160170167100"</f>
        <v>ACCT#8260160170167100</v>
      </c>
    </row>
    <row r="1335" spans="1:10" x14ac:dyDescent="0.25">
      <c r="A1335" t="str">
        <f>"01"</f>
        <v>01</v>
      </c>
      <c r="B1335" t="str">
        <f>"TIME"</f>
        <v>TIME</v>
      </c>
      <c r="C1335" t="s">
        <v>474</v>
      </c>
      <c r="D1335">
        <v>139370</v>
      </c>
      <c r="E1335" s="4">
        <v>4145.97</v>
      </c>
      <c r="F1335" s="5">
        <v>44620</v>
      </c>
      <c r="G1335" t="str">
        <f>"0164314020922"</f>
        <v>0164314020922</v>
      </c>
      <c r="H1335" t="str">
        <f>"ACCT#8260161110164314"</f>
        <v>ACCT#8260161110164314</v>
      </c>
      <c r="I1335" s="4">
        <v>668.43</v>
      </c>
      <c r="J1335" t="str">
        <f>"ACCT#8260161110164314"</f>
        <v>ACCT#8260161110164314</v>
      </c>
    </row>
    <row r="1336" spans="1:10" x14ac:dyDescent="0.25">
      <c r="A1336" t="str">
        <f>""</f>
        <v/>
      </c>
      <c r="B1336" t="str">
        <f>""</f>
        <v/>
      </c>
      <c r="G1336" t="str">
        <f>"0194162020622"</f>
        <v>0194162020622</v>
      </c>
      <c r="H1336" t="str">
        <f>"ACCT#8260161110194162"</f>
        <v>ACCT#8260161110194162</v>
      </c>
      <c r="I1336" s="4">
        <v>74.959999999999994</v>
      </c>
      <c r="J1336" t="str">
        <f>"ACCT#8260161110194162"</f>
        <v>ACCT#8260161110194162</v>
      </c>
    </row>
    <row r="1337" spans="1:10" x14ac:dyDescent="0.25">
      <c r="A1337" t="str">
        <f>""</f>
        <v/>
      </c>
      <c r="B1337" t="str">
        <f>""</f>
        <v/>
      </c>
      <c r="G1337" t="str">
        <f>"8260163000003669"</f>
        <v>8260163000003669</v>
      </c>
      <c r="H1337" t="str">
        <f>"ACCT#8260163000003669"</f>
        <v>ACCT#8260163000003669</v>
      </c>
      <c r="I1337" s="4">
        <v>3248.86</v>
      </c>
      <c r="J1337" t="str">
        <f>"ACCT#8260163000003669"</f>
        <v>ACCT#8260163000003669</v>
      </c>
    </row>
    <row r="1338" spans="1:10" x14ac:dyDescent="0.25">
      <c r="A1338" t="str">
        <f>""</f>
        <v/>
      </c>
      <c r="B1338" t="str">
        <f>""</f>
        <v/>
      </c>
      <c r="G1338" t="str">
        <f>""</f>
        <v/>
      </c>
      <c r="H1338" t="str">
        <f>""</f>
        <v/>
      </c>
      <c r="I1338" s="4">
        <v>153.72</v>
      </c>
      <c r="J1338" t="str">
        <f>"ACCT#8260163000003669"</f>
        <v>ACCT#8260163000003669</v>
      </c>
    </row>
    <row r="1339" spans="1:10" x14ac:dyDescent="0.25">
      <c r="A1339" t="str">
        <f>"01"</f>
        <v>01</v>
      </c>
      <c r="B1339" t="str">
        <f>"004955"</f>
        <v>004955</v>
      </c>
      <c r="C1339" t="s">
        <v>475</v>
      </c>
      <c r="D1339">
        <v>139371</v>
      </c>
      <c r="E1339" s="4">
        <v>568.9</v>
      </c>
      <c r="F1339" s="5">
        <v>44620</v>
      </c>
      <c r="G1339" t="str">
        <f>"035108"</f>
        <v>035108</v>
      </c>
      <c r="H1339" t="str">
        <f>"CUST#0001725/OEM"</f>
        <v>CUST#0001725/OEM</v>
      </c>
      <c r="I1339" s="4">
        <v>568.9</v>
      </c>
      <c r="J1339" t="str">
        <f>"CUST#0001725/OEM"</f>
        <v>CUST#0001725/OEM</v>
      </c>
    </row>
    <row r="1340" spans="1:10" x14ac:dyDescent="0.25">
      <c r="A1340" t="str">
        <f>"01"</f>
        <v>01</v>
      </c>
      <c r="B1340" t="str">
        <f>"002444"</f>
        <v>002444</v>
      </c>
      <c r="C1340" t="s">
        <v>476</v>
      </c>
      <c r="D1340">
        <v>139372</v>
      </c>
      <c r="E1340" s="4">
        <v>85</v>
      </c>
      <c r="F1340" s="5">
        <v>44620</v>
      </c>
      <c r="G1340" t="str">
        <f>"13339"</f>
        <v>13339</v>
      </c>
      <c r="H1340" t="str">
        <f>"SERVICE"</f>
        <v>SERVICE</v>
      </c>
      <c r="I1340" s="4">
        <v>85</v>
      </c>
      <c r="J1340" t="str">
        <f>"SERVICE"</f>
        <v>SERVICE</v>
      </c>
    </row>
    <row r="1341" spans="1:10" x14ac:dyDescent="0.25">
      <c r="A1341" t="str">
        <f>"01"</f>
        <v>01</v>
      </c>
      <c r="B1341" t="str">
        <f>"TRACTO"</f>
        <v>TRACTO</v>
      </c>
      <c r="C1341" t="s">
        <v>477</v>
      </c>
      <c r="D1341">
        <v>139163</v>
      </c>
      <c r="E1341" s="4">
        <v>502.88</v>
      </c>
      <c r="F1341" s="5">
        <v>44606</v>
      </c>
      <c r="G1341" t="str">
        <f>"202202088811"</f>
        <v>202202088811</v>
      </c>
      <c r="H1341" t="str">
        <f>"02.15"</f>
        <v>02.15</v>
      </c>
      <c r="I1341" s="4">
        <v>70.930000000000007</v>
      </c>
      <c r="J1341" t="str">
        <f>"300743209"</f>
        <v>300743209</v>
      </c>
    </row>
    <row r="1342" spans="1:10" x14ac:dyDescent="0.25">
      <c r="A1342" t="str">
        <f>""</f>
        <v/>
      </c>
      <c r="B1342" t="str">
        <f>""</f>
        <v/>
      </c>
      <c r="G1342" t="str">
        <f>""</f>
        <v/>
      </c>
      <c r="H1342" t="str">
        <f>""</f>
        <v/>
      </c>
      <c r="I1342" s="4">
        <v>54.99</v>
      </c>
      <c r="J1342" t="str">
        <f>"300743400"</f>
        <v>300743400</v>
      </c>
    </row>
    <row r="1343" spans="1:10" x14ac:dyDescent="0.25">
      <c r="A1343" t="str">
        <f>""</f>
        <v/>
      </c>
      <c r="B1343" t="str">
        <f>""</f>
        <v/>
      </c>
      <c r="G1343" t="str">
        <f>""</f>
        <v/>
      </c>
      <c r="H1343" t="str">
        <f>""</f>
        <v/>
      </c>
      <c r="I1343" s="4">
        <v>111.97</v>
      </c>
      <c r="J1343" t="str">
        <f>"100750433"</f>
        <v>100750433</v>
      </c>
    </row>
    <row r="1344" spans="1:10" x14ac:dyDescent="0.25">
      <c r="A1344" t="str">
        <f>""</f>
        <v/>
      </c>
      <c r="B1344" t="str">
        <f>""</f>
        <v/>
      </c>
      <c r="G1344" t="str">
        <f>""</f>
        <v/>
      </c>
      <c r="H1344" t="str">
        <f>""</f>
        <v/>
      </c>
      <c r="I1344" s="4">
        <v>264.99</v>
      </c>
      <c r="J1344" t="str">
        <f>"100343184"</f>
        <v>100343184</v>
      </c>
    </row>
    <row r="1345" spans="1:10" x14ac:dyDescent="0.25">
      <c r="A1345" t="str">
        <f>"01"</f>
        <v>01</v>
      </c>
      <c r="B1345" t="str">
        <f>"002337"</f>
        <v>002337</v>
      </c>
      <c r="C1345" t="s">
        <v>478</v>
      </c>
      <c r="D1345">
        <v>138891</v>
      </c>
      <c r="E1345" s="4">
        <v>80</v>
      </c>
      <c r="F1345" s="5">
        <v>44594</v>
      </c>
      <c r="G1345" t="str">
        <f>"202202028742"</f>
        <v>202202028742</v>
      </c>
      <c r="H1345" t="str">
        <f>"PERSONAL SVC CITATION - G-365"</f>
        <v>PERSONAL SVC CITATION - G-365</v>
      </c>
      <c r="I1345" s="4">
        <v>80</v>
      </c>
      <c r="J1345" t="str">
        <f>"PERSONAL SVC CITATION - G-365"</f>
        <v>PERSONAL SVC CITATION - G-365</v>
      </c>
    </row>
    <row r="1346" spans="1:10" x14ac:dyDescent="0.25">
      <c r="A1346" t="str">
        <f>"01"</f>
        <v>01</v>
      </c>
      <c r="B1346" t="str">
        <f>"002337"</f>
        <v>002337</v>
      </c>
      <c r="C1346" t="s">
        <v>478</v>
      </c>
      <c r="D1346">
        <v>139164</v>
      </c>
      <c r="E1346" s="4">
        <v>550</v>
      </c>
      <c r="F1346" s="5">
        <v>44606</v>
      </c>
      <c r="G1346" t="str">
        <f>"12264"</f>
        <v>12264</v>
      </c>
      <c r="H1346" t="str">
        <f>"SERVICE"</f>
        <v>SERVICE</v>
      </c>
      <c r="I1346" s="4">
        <v>75</v>
      </c>
      <c r="J1346" t="str">
        <f>"SERVICE"</f>
        <v>SERVICE</v>
      </c>
    </row>
    <row r="1347" spans="1:10" x14ac:dyDescent="0.25">
      <c r="A1347" t="str">
        <f>""</f>
        <v/>
      </c>
      <c r="B1347" t="str">
        <f>""</f>
        <v/>
      </c>
      <c r="G1347" t="str">
        <f>"12454"</f>
        <v>12454</v>
      </c>
      <c r="H1347" t="str">
        <f>"SERVICE"</f>
        <v>SERVICE</v>
      </c>
      <c r="I1347" s="4">
        <v>75</v>
      </c>
      <c r="J1347" t="str">
        <f>"SERVICE"</f>
        <v>SERVICE</v>
      </c>
    </row>
    <row r="1348" spans="1:10" x14ac:dyDescent="0.25">
      <c r="A1348" t="str">
        <f>""</f>
        <v/>
      </c>
      <c r="B1348" t="str">
        <f>""</f>
        <v/>
      </c>
      <c r="G1348" t="str">
        <f>"13495"</f>
        <v>13495</v>
      </c>
      <c r="H1348" t="str">
        <f>"SERVICE"</f>
        <v>SERVICE</v>
      </c>
      <c r="I1348" s="4">
        <v>240</v>
      </c>
      <c r="J1348" t="str">
        <f>"SERVICE"</f>
        <v>SERVICE</v>
      </c>
    </row>
    <row r="1349" spans="1:10" x14ac:dyDescent="0.25">
      <c r="A1349" t="str">
        <f>""</f>
        <v/>
      </c>
      <c r="B1349" t="str">
        <f>""</f>
        <v/>
      </c>
      <c r="G1349" t="str">
        <f>"13620"</f>
        <v>13620</v>
      </c>
      <c r="H1349" t="str">
        <f>"SERVICE"</f>
        <v>SERVICE</v>
      </c>
      <c r="I1349" s="4">
        <v>160</v>
      </c>
      <c r="J1349" t="str">
        <f>"SERVICE"</f>
        <v>SERVICE</v>
      </c>
    </row>
    <row r="1350" spans="1:10" x14ac:dyDescent="0.25">
      <c r="A1350" t="str">
        <f>"01"</f>
        <v>01</v>
      </c>
      <c r="B1350" t="str">
        <f>"002337"</f>
        <v>002337</v>
      </c>
      <c r="C1350" t="s">
        <v>478</v>
      </c>
      <c r="D1350">
        <v>139239</v>
      </c>
      <c r="E1350" s="4">
        <v>80</v>
      </c>
      <c r="F1350" s="5">
        <v>44615</v>
      </c>
      <c r="G1350" t="str">
        <f>"202202239341"</f>
        <v>202202239341</v>
      </c>
      <c r="H1350" t="str">
        <f>"PERSONAL SERVICE CITATION G367"</f>
        <v>PERSONAL SERVICE CITATION G367</v>
      </c>
      <c r="I1350" s="4">
        <v>80</v>
      </c>
      <c r="J1350" t="str">
        <f>"PERSONAL SERVICE CITATION G367"</f>
        <v>PERSONAL SERVICE CITATION G367</v>
      </c>
    </row>
    <row r="1351" spans="1:10" x14ac:dyDescent="0.25">
      <c r="A1351" t="str">
        <f>"01"</f>
        <v>01</v>
      </c>
      <c r="B1351" t="str">
        <f>"002337"</f>
        <v>002337</v>
      </c>
      <c r="C1351" t="s">
        <v>478</v>
      </c>
      <c r="D1351">
        <v>139373</v>
      </c>
      <c r="E1351" s="4">
        <v>2139</v>
      </c>
      <c r="F1351" s="5">
        <v>44620</v>
      </c>
      <c r="G1351" t="str">
        <f>"12205 1-6-22"</f>
        <v>12205 1-6-22</v>
      </c>
      <c r="H1351" t="str">
        <f t="shared" ref="H1351:H1364" si="40">"SERVICE"</f>
        <v>SERVICE</v>
      </c>
      <c r="I1351" s="4">
        <v>100</v>
      </c>
      <c r="J1351" t="str">
        <f t="shared" ref="J1351:J1364" si="41">"SERVICE"</f>
        <v>SERVICE</v>
      </c>
    </row>
    <row r="1352" spans="1:10" x14ac:dyDescent="0.25">
      <c r="A1352" t="str">
        <f>""</f>
        <v/>
      </c>
      <c r="B1352" t="str">
        <f>""</f>
        <v/>
      </c>
      <c r="G1352" t="str">
        <f>"13028"</f>
        <v>13028</v>
      </c>
      <c r="H1352" t="str">
        <f t="shared" si="40"/>
        <v>SERVICE</v>
      </c>
      <c r="I1352" s="4">
        <v>75</v>
      </c>
      <c r="J1352" t="str">
        <f t="shared" si="41"/>
        <v>SERVICE</v>
      </c>
    </row>
    <row r="1353" spans="1:10" x14ac:dyDescent="0.25">
      <c r="A1353" t="str">
        <f>""</f>
        <v/>
      </c>
      <c r="B1353" t="str">
        <f>""</f>
        <v/>
      </c>
      <c r="G1353" t="str">
        <f>"13147"</f>
        <v>13147</v>
      </c>
      <c r="H1353" t="str">
        <f t="shared" si="40"/>
        <v>SERVICE</v>
      </c>
      <c r="I1353" s="4">
        <v>300</v>
      </c>
      <c r="J1353" t="str">
        <f t="shared" si="41"/>
        <v>SERVICE</v>
      </c>
    </row>
    <row r="1354" spans="1:10" x14ac:dyDescent="0.25">
      <c r="A1354" t="str">
        <f>""</f>
        <v/>
      </c>
      <c r="B1354" t="str">
        <f>""</f>
        <v/>
      </c>
      <c r="G1354" t="str">
        <f>"13181"</f>
        <v>13181</v>
      </c>
      <c r="H1354" t="str">
        <f t="shared" si="40"/>
        <v>SERVICE</v>
      </c>
      <c r="I1354" s="4">
        <v>385</v>
      </c>
      <c r="J1354" t="str">
        <f t="shared" si="41"/>
        <v>SERVICE</v>
      </c>
    </row>
    <row r="1355" spans="1:10" x14ac:dyDescent="0.25">
      <c r="A1355" t="str">
        <f>""</f>
        <v/>
      </c>
      <c r="B1355" t="str">
        <f>""</f>
        <v/>
      </c>
      <c r="G1355" t="str">
        <f>"13234"</f>
        <v>13234</v>
      </c>
      <c r="H1355" t="str">
        <f t="shared" si="40"/>
        <v>SERVICE</v>
      </c>
      <c r="I1355" s="4">
        <v>75</v>
      </c>
      <c r="J1355" t="str">
        <f t="shared" si="41"/>
        <v>SERVICE</v>
      </c>
    </row>
    <row r="1356" spans="1:10" x14ac:dyDescent="0.25">
      <c r="A1356" t="str">
        <f>""</f>
        <v/>
      </c>
      <c r="B1356" t="str">
        <f>""</f>
        <v/>
      </c>
      <c r="G1356" t="str">
        <f>"13251"</f>
        <v>13251</v>
      </c>
      <c r="H1356" t="str">
        <f t="shared" si="40"/>
        <v>SERVICE</v>
      </c>
      <c r="I1356" s="4">
        <v>225</v>
      </c>
      <c r="J1356" t="str">
        <f t="shared" si="41"/>
        <v>SERVICE</v>
      </c>
    </row>
    <row r="1357" spans="1:10" x14ac:dyDescent="0.25">
      <c r="A1357" t="str">
        <f>""</f>
        <v/>
      </c>
      <c r="B1357" t="str">
        <f>""</f>
        <v/>
      </c>
      <c r="G1357" t="str">
        <f>"13281"</f>
        <v>13281</v>
      </c>
      <c r="H1357" t="str">
        <f t="shared" si="40"/>
        <v>SERVICE</v>
      </c>
      <c r="I1357" s="4">
        <v>80</v>
      </c>
      <c r="J1357" t="str">
        <f t="shared" si="41"/>
        <v>SERVICE</v>
      </c>
    </row>
    <row r="1358" spans="1:10" x14ac:dyDescent="0.25">
      <c r="A1358" t="str">
        <f>""</f>
        <v/>
      </c>
      <c r="B1358" t="str">
        <f>""</f>
        <v/>
      </c>
      <c r="G1358" t="str">
        <f>"13304"</f>
        <v>13304</v>
      </c>
      <c r="H1358" t="str">
        <f t="shared" si="40"/>
        <v>SERVICE</v>
      </c>
      <c r="I1358" s="4">
        <v>75</v>
      </c>
      <c r="J1358" t="str">
        <f t="shared" si="41"/>
        <v>SERVICE</v>
      </c>
    </row>
    <row r="1359" spans="1:10" x14ac:dyDescent="0.25">
      <c r="A1359" t="str">
        <f>""</f>
        <v/>
      </c>
      <c r="B1359" t="str">
        <f>""</f>
        <v/>
      </c>
      <c r="G1359" t="str">
        <f>"13452"</f>
        <v>13452</v>
      </c>
      <c r="H1359" t="str">
        <f t="shared" si="40"/>
        <v>SERVICE</v>
      </c>
      <c r="I1359" s="4">
        <v>80</v>
      </c>
      <c r="J1359" t="str">
        <f t="shared" si="41"/>
        <v>SERVICE</v>
      </c>
    </row>
    <row r="1360" spans="1:10" x14ac:dyDescent="0.25">
      <c r="A1360" t="str">
        <f>""</f>
        <v/>
      </c>
      <c r="B1360" t="str">
        <f>""</f>
        <v/>
      </c>
      <c r="G1360" t="str">
        <f>"13569"</f>
        <v>13569</v>
      </c>
      <c r="H1360" t="str">
        <f t="shared" si="40"/>
        <v>SERVICE</v>
      </c>
      <c r="I1360" s="4">
        <v>240</v>
      </c>
      <c r="J1360" t="str">
        <f t="shared" si="41"/>
        <v>SERVICE</v>
      </c>
    </row>
    <row r="1361" spans="1:10" x14ac:dyDescent="0.25">
      <c r="A1361" t="str">
        <f>""</f>
        <v/>
      </c>
      <c r="B1361" t="str">
        <f>""</f>
        <v/>
      </c>
      <c r="G1361" t="str">
        <f>"13741"</f>
        <v>13741</v>
      </c>
      <c r="H1361" t="str">
        <f t="shared" si="40"/>
        <v>SERVICE</v>
      </c>
      <c r="I1361" s="4">
        <v>24</v>
      </c>
      <c r="J1361" t="str">
        <f t="shared" si="41"/>
        <v>SERVICE</v>
      </c>
    </row>
    <row r="1362" spans="1:10" x14ac:dyDescent="0.25">
      <c r="A1362" t="str">
        <f>""</f>
        <v/>
      </c>
      <c r="B1362" t="str">
        <f>""</f>
        <v/>
      </c>
      <c r="G1362" t="str">
        <f>"13784"</f>
        <v>13784</v>
      </c>
      <c r="H1362" t="str">
        <f t="shared" si="40"/>
        <v>SERVICE</v>
      </c>
      <c r="I1362" s="4">
        <v>80</v>
      </c>
      <c r="J1362" t="str">
        <f t="shared" si="41"/>
        <v>SERVICE</v>
      </c>
    </row>
    <row r="1363" spans="1:10" x14ac:dyDescent="0.25">
      <c r="A1363" t="str">
        <f>""</f>
        <v/>
      </c>
      <c r="B1363" t="str">
        <f>""</f>
        <v/>
      </c>
      <c r="G1363" t="str">
        <f>"13799"</f>
        <v>13799</v>
      </c>
      <c r="H1363" t="str">
        <f t="shared" si="40"/>
        <v>SERVICE</v>
      </c>
      <c r="I1363" s="4">
        <v>80</v>
      </c>
      <c r="J1363" t="str">
        <f t="shared" si="41"/>
        <v>SERVICE</v>
      </c>
    </row>
    <row r="1364" spans="1:10" x14ac:dyDescent="0.25">
      <c r="A1364" t="str">
        <f>""</f>
        <v/>
      </c>
      <c r="B1364" t="str">
        <f>""</f>
        <v/>
      </c>
      <c r="G1364" t="str">
        <f>"13860 12/27/21"</f>
        <v>13860 12/27/21</v>
      </c>
      <c r="H1364" t="str">
        <f t="shared" si="40"/>
        <v>SERVICE</v>
      </c>
      <c r="I1364" s="4">
        <v>320</v>
      </c>
      <c r="J1364" t="str">
        <f t="shared" si="41"/>
        <v>SERVICE</v>
      </c>
    </row>
    <row r="1365" spans="1:10" x14ac:dyDescent="0.25">
      <c r="A1365" t="str">
        <f>"01"</f>
        <v>01</v>
      </c>
      <c r="B1365" t="str">
        <f>"005010"</f>
        <v>005010</v>
      </c>
      <c r="C1365" t="s">
        <v>479</v>
      </c>
      <c r="D1365">
        <v>139165</v>
      </c>
      <c r="E1365" s="4">
        <v>5125.16</v>
      </c>
      <c r="F1365" s="5">
        <v>44606</v>
      </c>
      <c r="G1365" t="str">
        <f>"T88857"</f>
        <v>T88857</v>
      </c>
      <c r="H1365" t="str">
        <f t="shared" ref="H1365:H1370" si="42">"PEA GRAVEL/PCT#1"</f>
        <v>PEA GRAVEL/PCT#1</v>
      </c>
      <c r="I1365" s="4">
        <v>1348.54</v>
      </c>
      <c r="J1365" t="str">
        <f t="shared" ref="J1365:J1370" si="43">"PEA GRAVEL/PCT#1"</f>
        <v>PEA GRAVEL/PCT#1</v>
      </c>
    </row>
    <row r="1366" spans="1:10" x14ac:dyDescent="0.25">
      <c r="A1366" t="str">
        <f>""</f>
        <v/>
      </c>
      <c r="B1366" t="str">
        <f>""</f>
        <v/>
      </c>
      <c r="G1366" t="str">
        <f>"T88932"</f>
        <v>T88932</v>
      </c>
      <c r="H1366" t="str">
        <f t="shared" si="42"/>
        <v>PEA GRAVEL/PCT#1</v>
      </c>
      <c r="I1366" s="4">
        <v>1403.65</v>
      </c>
      <c r="J1366" t="str">
        <f t="shared" si="43"/>
        <v>PEA GRAVEL/PCT#1</v>
      </c>
    </row>
    <row r="1367" spans="1:10" x14ac:dyDescent="0.25">
      <c r="A1367" t="str">
        <f>""</f>
        <v/>
      </c>
      <c r="B1367" t="str">
        <f>""</f>
        <v/>
      </c>
      <c r="G1367" t="str">
        <f>"T89019"</f>
        <v>T89019</v>
      </c>
      <c r="H1367" t="str">
        <f t="shared" si="42"/>
        <v>PEA GRAVEL/PCT#1</v>
      </c>
      <c r="I1367" s="4">
        <v>676.53</v>
      </c>
      <c r="J1367" t="str">
        <f t="shared" si="43"/>
        <v>PEA GRAVEL/PCT#1</v>
      </c>
    </row>
    <row r="1368" spans="1:10" x14ac:dyDescent="0.25">
      <c r="A1368" t="str">
        <f>""</f>
        <v/>
      </c>
      <c r="B1368" t="str">
        <f>""</f>
        <v/>
      </c>
      <c r="G1368" t="str">
        <f>"T89281"</f>
        <v>T89281</v>
      </c>
      <c r="H1368" t="str">
        <f t="shared" si="42"/>
        <v>PEA GRAVEL/PCT#1</v>
      </c>
      <c r="I1368" s="4">
        <v>1020.91</v>
      </c>
      <c r="J1368" t="str">
        <f t="shared" si="43"/>
        <v>PEA GRAVEL/PCT#1</v>
      </c>
    </row>
    <row r="1369" spans="1:10" x14ac:dyDescent="0.25">
      <c r="A1369" t="str">
        <f>""</f>
        <v/>
      </c>
      <c r="B1369" t="str">
        <f>""</f>
        <v/>
      </c>
      <c r="G1369" t="str">
        <f>"T89356"</f>
        <v>T89356</v>
      </c>
      <c r="H1369" t="str">
        <f t="shared" si="42"/>
        <v>PEA GRAVEL/PCT#1</v>
      </c>
      <c r="I1369" s="4">
        <v>675.53</v>
      </c>
      <c r="J1369" t="str">
        <f t="shared" si="43"/>
        <v>PEA GRAVEL/PCT#1</v>
      </c>
    </row>
    <row r="1370" spans="1:10" x14ac:dyDescent="0.25">
      <c r="A1370" t="str">
        <f>"01"</f>
        <v>01</v>
      </c>
      <c r="B1370" t="str">
        <f>"005010"</f>
        <v>005010</v>
      </c>
      <c r="C1370" t="s">
        <v>479</v>
      </c>
      <c r="D1370">
        <v>139374</v>
      </c>
      <c r="E1370" s="4">
        <v>1720.23</v>
      </c>
      <c r="F1370" s="5">
        <v>44620</v>
      </c>
      <c r="G1370" t="str">
        <f>"T87849"</f>
        <v>T87849</v>
      </c>
      <c r="H1370" t="str">
        <f t="shared" si="42"/>
        <v>PEA GRAVEL/PCT#1</v>
      </c>
      <c r="I1370" s="4">
        <v>1720.23</v>
      </c>
      <c r="J1370" t="str">
        <f t="shared" si="43"/>
        <v>PEA GRAVEL/PCT#1</v>
      </c>
    </row>
    <row r="1371" spans="1:10" x14ac:dyDescent="0.25">
      <c r="A1371" t="str">
        <f>"01"</f>
        <v>01</v>
      </c>
      <c r="B1371" t="str">
        <f>"006859"</f>
        <v>006859</v>
      </c>
      <c r="C1371" t="s">
        <v>480</v>
      </c>
      <c r="D1371">
        <v>139166</v>
      </c>
      <c r="E1371" s="4">
        <v>302.06</v>
      </c>
      <c r="F1371" s="5">
        <v>44606</v>
      </c>
      <c r="G1371" t="str">
        <f>"202202098839"</f>
        <v>202202098839</v>
      </c>
      <c r="H1371" t="str">
        <f>"JAIL MEDICAL"</f>
        <v>JAIL MEDICAL</v>
      </c>
      <c r="I1371" s="4">
        <v>302.06</v>
      </c>
      <c r="J1371" t="str">
        <f>"JAIL MEDICAL"</f>
        <v>JAIL MEDICAL</v>
      </c>
    </row>
    <row r="1372" spans="1:10" x14ac:dyDescent="0.25">
      <c r="A1372" t="str">
        <f>"01"</f>
        <v>01</v>
      </c>
      <c r="B1372" t="str">
        <f>"003838"</f>
        <v>003838</v>
      </c>
      <c r="C1372" t="s">
        <v>481</v>
      </c>
      <c r="D1372">
        <v>139375</v>
      </c>
      <c r="E1372" s="4">
        <v>120.14</v>
      </c>
      <c r="F1372" s="5">
        <v>44620</v>
      </c>
      <c r="G1372" t="str">
        <f>"202202229277"</f>
        <v>202202229277</v>
      </c>
      <c r="H1372" t="str">
        <f>"INDIGENT HEALTH"</f>
        <v>INDIGENT HEALTH</v>
      </c>
      <c r="I1372" s="4">
        <v>120.14</v>
      </c>
      <c r="J1372" t="str">
        <f>"INDIGENT HEALTH"</f>
        <v>INDIGENT HEALTH</v>
      </c>
    </row>
    <row r="1373" spans="1:10" x14ac:dyDescent="0.25">
      <c r="A1373" t="str">
        <f>"01"</f>
        <v>01</v>
      </c>
      <c r="B1373" t="str">
        <f>"TULL"</f>
        <v>TULL</v>
      </c>
      <c r="C1373" t="s">
        <v>482</v>
      </c>
      <c r="D1373">
        <v>5810</v>
      </c>
      <c r="E1373" s="4">
        <v>14325</v>
      </c>
      <c r="F1373" s="5">
        <v>44607</v>
      </c>
      <c r="G1373" t="str">
        <f>"202201268564"</f>
        <v>202201268564</v>
      </c>
      <c r="H1373" t="str">
        <f>"19-5-00107"</f>
        <v>19-5-00107</v>
      </c>
      <c r="I1373" s="4">
        <v>400</v>
      </c>
      <c r="J1373" t="str">
        <f>"19-5-00107"</f>
        <v>19-5-00107</v>
      </c>
    </row>
    <row r="1374" spans="1:10" x14ac:dyDescent="0.25">
      <c r="A1374" t="str">
        <f>""</f>
        <v/>
      </c>
      <c r="B1374" t="str">
        <f>""</f>
        <v/>
      </c>
      <c r="G1374" t="str">
        <f>"202201268565"</f>
        <v>202201268565</v>
      </c>
      <c r="H1374" t="str">
        <f>"16-502"</f>
        <v>16-502</v>
      </c>
      <c r="I1374" s="4">
        <v>400</v>
      </c>
      <c r="J1374" t="str">
        <f>"16-502"</f>
        <v>16-502</v>
      </c>
    </row>
    <row r="1375" spans="1:10" x14ac:dyDescent="0.25">
      <c r="A1375" t="str">
        <f>""</f>
        <v/>
      </c>
      <c r="B1375" t="str">
        <f>""</f>
        <v/>
      </c>
      <c r="G1375" t="str">
        <f>"202201268566"</f>
        <v>202201268566</v>
      </c>
      <c r="H1375" t="str">
        <f>"1800641"</f>
        <v>1800641</v>
      </c>
      <c r="I1375" s="4">
        <v>400</v>
      </c>
      <c r="J1375" t="str">
        <f>"1800641"</f>
        <v>1800641</v>
      </c>
    </row>
    <row r="1376" spans="1:10" x14ac:dyDescent="0.25">
      <c r="A1376" t="str">
        <f>""</f>
        <v/>
      </c>
      <c r="B1376" t="str">
        <f>""</f>
        <v/>
      </c>
      <c r="G1376" t="str">
        <f>"202201268567"</f>
        <v>202201268567</v>
      </c>
      <c r="H1376" t="str">
        <f>"C180006"</f>
        <v>C180006</v>
      </c>
      <c r="I1376" s="4">
        <v>400</v>
      </c>
      <c r="J1376" t="str">
        <f>"C180006"</f>
        <v>C180006</v>
      </c>
    </row>
    <row r="1377" spans="1:10" x14ac:dyDescent="0.25">
      <c r="A1377" t="str">
        <f>""</f>
        <v/>
      </c>
      <c r="B1377" t="str">
        <f>""</f>
        <v/>
      </c>
      <c r="G1377" t="str">
        <f>"202201268568"</f>
        <v>202201268568</v>
      </c>
      <c r="H1377" t="str">
        <f>"AC2018-0130"</f>
        <v>AC2018-0130</v>
      </c>
      <c r="I1377" s="4">
        <v>400</v>
      </c>
      <c r="J1377" t="str">
        <f>"AC2018-0130"</f>
        <v>AC2018-0130</v>
      </c>
    </row>
    <row r="1378" spans="1:10" x14ac:dyDescent="0.25">
      <c r="A1378" t="str">
        <f>""</f>
        <v/>
      </c>
      <c r="B1378" t="str">
        <f>""</f>
        <v/>
      </c>
      <c r="G1378" t="str">
        <f>"202201268569"</f>
        <v>202201268569</v>
      </c>
      <c r="H1378" t="str">
        <f>"18-5-01012"</f>
        <v>18-5-01012</v>
      </c>
      <c r="I1378" s="4">
        <v>400</v>
      </c>
      <c r="J1378" t="str">
        <f>"18-5-01012"</f>
        <v>18-5-01012</v>
      </c>
    </row>
    <row r="1379" spans="1:10" x14ac:dyDescent="0.25">
      <c r="A1379" t="str">
        <f>""</f>
        <v/>
      </c>
      <c r="B1379" t="str">
        <f>""</f>
        <v/>
      </c>
      <c r="G1379" t="str">
        <f>"202201268570"</f>
        <v>202201268570</v>
      </c>
      <c r="H1379" t="str">
        <f>"309232018B"</f>
        <v>309232018B</v>
      </c>
      <c r="I1379" s="4">
        <v>400</v>
      </c>
      <c r="J1379" t="str">
        <f>"309232018B"</f>
        <v>309232018B</v>
      </c>
    </row>
    <row r="1380" spans="1:10" x14ac:dyDescent="0.25">
      <c r="A1380" t="str">
        <f>""</f>
        <v/>
      </c>
      <c r="B1380" t="str">
        <f>""</f>
        <v/>
      </c>
      <c r="G1380" t="str">
        <f>"202201268571"</f>
        <v>202201268571</v>
      </c>
      <c r="H1380" t="str">
        <f>"0207234"</f>
        <v>0207234</v>
      </c>
      <c r="I1380" s="4">
        <v>400</v>
      </c>
      <c r="J1380" t="str">
        <f>"0207234"</f>
        <v>0207234</v>
      </c>
    </row>
    <row r="1381" spans="1:10" x14ac:dyDescent="0.25">
      <c r="A1381" t="str">
        <f>""</f>
        <v/>
      </c>
      <c r="B1381" t="str">
        <f>""</f>
        <v/>
      </c>
      <c r="G1381" t="str">
        <f>"202201268572"</f>
        <v>202201268572</v>
      </c>
      <c r="H1381" t="str">
        <f>"55-867"</f>
        <v>55-867</v>
      </c>
      <c r="I1381" s="4">
        <v>250</v>
      </c>
      <c r="J1381" t="str">
        <f>"55-867"</f>
        <v>55-867</v>
      </c>
    </row>
    <row r="1382" spans="1:10" x14ac:dyDescent="0.25">
      <c r="A1382" t="str">
        <f>""</f>
        <v/>
      </c>
      <c r="B1382" t="str">
        <f>""</f>
        <v/>
      </c>
      <c r="G1382" t="str">
        <f>"202201268573"</f>
        <v>202201268573</v>
      </c>
      <c r="H1382" t="str">
        <f>"C17-0076"</f>
        <v>C17-0076</v>
      </c>
      <c r="I1382" s="4">
        <v>250</v>
      </c>
      <c r="J1382" t="str">
        <f>"C17-0076"</f>
        <v>C17-0076</v>
      </c>
    </row>
    <row r="1383" spans="1:10" x14ac:dyDescent="0.25">
      <c r="A1383" t="str">
        <f>""</f>
        <v/>
      </c>
      <c r="B1383" t="str">
        <f>""</f>
        <v/>
      </c>
      <c r="G1383" t="str">
        <f>"202201268574"</f>
        <v>202201268574</v>
      </c>
      <c r="H1383" t="str">
        <f>"AC-2017-1117-A"</f>
        <v>AC-2017-1117-A</v>
      </c>
      <c r="I1383" s="4">
        <v>250</v>
      </c>
      <c r="J1383" t="str">
        <f>"AC-2017-1117-A"</f>
        <v>AC-2017-1117-A</v>
      </c>
    </row>
    <row r="1384" spans="1:10" x14ac:dyDescent="0.25">
      <c r="A1384" t="str">
        <f>""</f>
        <v/>
      </c>
      <c r="B1384" t="str">
        <f>""</f>
        <v/>
      </c>
      <c r="G1384" t="str">
        <f>"202201268575"</f>
        <v>202201268575</v>
      </c>
      <c r="H1384" t="str">
        <f>"CH-20171003-A"</f>
        <v>CH-20171003-A</v>
      </c>
      <c r="I1384" s="4">
        <v>250</v>
      </c>
      <c r="J1384" t="str">
        <f>"CH-20171003-A"</f>
        <v>CH-20171003-A</v>
      </c>
    </row>
    <row r="1385" spans="1:10" x14ac:dyDescent="0.25">
      <c r="A1385" t="str">
        <f>""</f>
        <v/>
      </c>
      <c r="B1385" t="str">
        <f>""</f>
        <v/>
      </c>
      <c r="G1385" t="str">
        <f>"202201318633"</f>
        <v>202201318633</v>
      </c>
      <c r="H1385" t="str">
        <f>"16-340"</f>
        <v>16-340</v>
      </c>
      <c r="I1385" s="4">
        <v>400</v>
      </c>
      <c r="J1385" t="str">
        <f>"16-340"</f>
        <v>16-340</v>
      </c>
    </row>
    <row r="1386" spans="1:10" x14ac:dyDescent="0.25">
      <c r="A1386" t="str">
        <f>""</f>
        <v/>
      </c>
      <c r="B1386" t="str">
        <f>""</f>
        <v/>
      </c>
      <c r="G1386" t="str">
        <f>"202201318634"</f>
        <v>202201318634</v>
      </c>
      <c r="H1386" t="str">
        <f>"JP41618A"</f>
        <v>JP41618A</v>
      </c>
      <c r="I1386" s="4">
        <v>400</v>
      </c>
      <c r="J1386" t="str">
        <f>"JP41618A"</f>
        <v>JP41618A</v>
      </c>
    </row>
    <row r="1387" spans="1:10" x14ac:dyDescent="0.25">
      <c r="A1387" t="str">
        <f>""</f>
        <v/>
      </c>
      <c r="B1387" t="str">
        <f>""</f>
        <v/>
      </c>
      <c r="G1387" t="str">
        <f>"202201318635"</f>
        <v>202201318635</v>
      </c>
      <c r="H1387" t="str">
        <f>"16-070"</f>
        <v>16-070</v>
      </c>
      <c r="I1387" s="4">
        <v>400</v>
      </c>
      <c r="J1387" t="str">
        <f>"16-070"</f>
        <v>16-070</v>
      </c>
    </row>
    <row r="1388" spans="1:10" x14ac:dyDescent="0.25">
      <c r="A1388" t="str">
        <f>""</f>
        <v/>
      </c>
      <c r="B1388" t="str">
        <f>""</f>
        <v/>
      </c>
      <c r="G1388" t="str">
        <f>"202201318636"</f>
        <v>202201318636</v>
      </c>
      <c r="H1388" t="str">
        <f>"56-214"</f>
        <v>56-214</v>
      </c>
      <c r="I1388" s="4">
        <v>150</v>
      </c>
      <c r="J1388" t="str">
        <f>"56-214"</f>
        <v>56-214</v>
      </c>
    </row>
    <row r="1389" spans="1:10" x14ac:dyDescent="0.25">
      <c r="A1389" t="str">
        <f>""</f>
        <v/>
      </c>
      <c r="B1389" t="str">
        <f>""</f>
        <v/>
      </c>
      <c r="G1389" t="str">
        <f>"202201318637"</f>
        <v>202201318637</v>
      </c>
      <c r="H1389" t="str">
        <f>"16-5-06908"</f>
        <v>16-5-06908</v>
      </c>
      <c r="I1389" s="4">
        <v>400</v>
      </c>
      <c r="J1389" t="str">
        <f>"16-5-06908"</f>
        <v>16-5-06908</v>
      </c>
    </row>
    <row r="1390" spans="1:10" x14ac:dyDescent="0.25">
      <c r="A1390" t="str">
        <f>""</f>
        <v/>
      </c>
      <c r="B1390" t="str">
        <f>""</f>
        <v/>
      </c>
      <c r="G1390" t="str">
        <f>"202201318638"</f>
        <v>202201318638</v>
      </c>
      <c r="H1390" t="str">
        <f>"IJP-622-15D"</f>
        <v>IJP-622-15D</v>
      </c>
      <c r="I1390" s="4">
        <v>400</v>
      </c>
      <c r="J1390" t="str">
        <f>"IJP-622-15D"</f>
        <v>IJP-622-15D</v>
      </c>
    </row>
    <row r="1391" spans="1:10" x14ac:dyDescent="0.25">
      <c r="A1391" t="str">
        <f>""</f>
        <v/>
      </c>
      <c r="B1391" t="str">
        <f>""</f>
        <v/>
      </c>
      <c r="G1391" t="str">
        <f>"202201318639"</f>
        <v>202201318639</v>
      </c>
      <c r="H1391" t="str">
        <f>"AV-2018-0109W"</f>
        <v>AV-2018-0109W</v>
      </c>
      <c r="I1391" s="4">
        <v>400</v>
      </c>
      <c r="J1391" t="str">
        <f>"AV-2018-0109W"</f>
        <v>AV-2018-0109W</v>
      </c>
    </row>
    <row r="1392" spans="1:10" x14ac:dyDescent="0.25">
      <c r="A1392" t="str">
        <f>""</f>
        <v/>
      </c>
      <c r="B1392" t="str">
        <f>""</f>
        <v/>
      </c>
      <c r="G1392" t="str">
        <f>"202201318640"</f>
        <v>202201318640</v>
      </c>
      <c r="H1392" t="str">
        <f>"CH-20161028"</f>
        <v>CH-20161028</v>
      </c>
      <c r="I1392" s="4">
        <v>400</v>
      </c>
      <c r="J1392" t="str">
        <f>"CH-20161028"</f>
        <v>CH-20161028</v>
      </c>
    </row>
    <row r="1393" spans="1:10" x14ac:dyDescent="0.25">
      <c r="A1393" t="str">
        <f>""</f>
        <v/>
      </c>
      <c r="B1393" t="str">
        <f>""</f>
        <v/>
      </c>
      <c r="G1393" t="str">
        <f>"202201318641"</f>
        <v>202201318641</v>
      </c>
      <c r="H1393" t="str">
        <f>"1803391"</f>
        <v>1803391</v>
      </c>
      <c r="I1393" s="4">
        <v>400</v>
      </c>
      <c r="J1393" t="str">
        <f>"1803391"</f>
        <v>1803391</v>
      </c>
    </row>
    <row r="1394" spans="1:10" x14ac:dyDescent="0.25">
      <c r="A1394" t="str">
        <f>""</f>
        <v/>
      </c>
      <c r="B1394" t="str">
        <f>""</f>
        <v/>
      </c>
      <c r="G1394" t="str">
        <f>"202201318642"</f>
        <v>202201318642</v>
      </c>
      <c r="H1394" t="str">
        <f>"3121820174"</f>
        <v>3121820174</v>
      </c>
      <c r="I1394" s="4">
        <v>400</v>
      </c>
      <c r="J1394" t="str">
        <f>"3121820174"</f>
        <v>3121820174</v>
      </c>
    </row>
    <row r="1395" spans="1:10" x14ac:dyDescent="0.25">
      <c r="A1395" t="str">
        <f>""</f>
        <v/>
      </c>
      <c r="B1395" t="str">
        <f>""</f>
        <v/>
      </c>
      <c r="G1395" t="str">
        <f>"202201318643"</f>
        <v>202201318643</v>
      </c>
      <c r="H1395" t="str">
        <f>"423-8316"</f>
        <v>423-8316</v>
      </c>
      <c r="I1395" s="4">
        <v>100</v>
      </c>
      <c r="J1395" t="str">
        <f>"423-8316"</f>
        <v>423-8316</v>
      </c>
    </row>
    <row r="1396" spans="1:10" x14ac:dyDescent="0.25">
      <c r="A1396" t="str">
        <f>""</f>
        <v/>
      </c>
      <c r="B1396" t="str">
        <f>""</f>
        <v/>
      </c>
      <c r="G1396" t="str">
        <f>"202201318644"</f>
        <v>202201318644</v>
      </c>
      <c r="H1396" t="str">
        <f>"20180370C"</f>
        <v>20180370C</v>
      </c>
      <c r="I1396" s="4">
        <v>400</v>
      </c>
      <c r="J1396" t="str">
        <f>"20180370C"</f>
        <v>20180370C</v>
      </c>
    </row>
    <row r="1397" spans="1:10" x14ac:dyDescent="0.25">
      <c r="A1397" t="str">
        <f>""</f>
        <v/>
      </c>
      <c r="B1397" t="str">
        <f>""</f>
        <v/>
      </c>
      <c r="G1397" t="str">
        <f>"202201318645"</f>
        <v>202201318645</v>
      </c>
      <c r="H1397" t="str">
        <f>"02-1203-2"</f>
        <v>02-1203-2</v>
      </c>
      <c r="I1397" s="4">
        <v>400</v>
      </c>
      <c r="J1397" t="str">
        <f>"02-1203-2"</f>
        <v>02-1203-2</v>
      </c>
    </row>
    <row r="1398" spans="1:10" x14ac:dyDescent="0.25">
      <c r="A1398" t="str">
        <f>""</f>
        <v/>
      </c>
      <c r="B1398" t="str">
        <f>""</f>
        <v/>
      </c>
      <c r="G1398" t="str">
        <f>"202201318646"</f>
        <v>202201318646</v>
      </c>
      <c r="H1398" t="str">
        <f>"4011983"</f>
        <v>4011983</v>
      </c>
      <c r="I1398" s="4">
        <v>400</v>
      </c>
      <c r="J1398" t="str">
        <f>"4011983"</f>
        <v>4011983</v>
      </c>
    </row>
    <row r="1399" spans="1:10" x14ac:dyDescent="0.25">
      <c r="A1399" t="str">
        <f>""</f>
        <v/>
      </c>
      <c r="B1399" t="str">
        <f>""</f>
        <v/>
      </c>
      <c r="G1399" t="str">
        <f>"202201318647"</f>
        <v>202201318647</v>
      </c>
      <c r="H1399" t="str">
        <f>"15-5-03418"</f>
        <v>15-5-03418</v>
      </c>
      <c r="I1399" s="4">
        <v>400</v>
      </c>
      <c r="J1399" t="str">
        <f>"15-5-03418"</f>
        <v>15-5-03418</v>
      </c>
    </row>
    <row r="1400" spans="1:10" x14ac:dyDescent="0.25">
      <c r="A1400" t="str">
        <f>""</f>
        <v/>
      </c>
      <c r="B1400" t="str">
        <f>""</f>
        <v/>
      </c>
      <c r="G1400" t="str">
        <f>"202201318648"</f>
        <v>202201318648</v>
      </c>
      <c r="H1400" t="str">
        <f>"02-0118-6"</f>
        <v>02-0118-6</v>
      </c>
      <c r="I1400" s="4">
        <v>400</v>
      </c>
      <c r="J1400" t="str">
        <f>"02-0118-6"</f>
        <v>02-0118-6</v>
      </c>
    </row>
    <row r="1401" spans="1:10" x14ac:dyDescent="0.25">
      <c r="A1401" t="str">
        <f>""</f>
        <v/>
      </c>
      <c r="B1401" t="str">
        <f>""</f>
        <v/>
      </c>
      <c r="G1401" t="str">
        <f>"202201318649"</f>
        <v>202201318649</v>
      </c>
      <c r="H1401" t="str">
        <f>"C170053"</f>
        <v>C170053</v>
      </c>
      <c r="I1401" s="4">
        <v>400</v>
      </c>
      <c r="J1401" t="str">
        <f>"C170053"</f>
        <v>C170053</v>
      </c>
    </row>
    <row r="1402" spans="1:10" x14ac:dyDescent="0.25">
      <c r="A1402" t="str">
        <f>""</f>
        <v/>
      </c>
      <c r="B1402" t="str">
        <f>""</f>
        <v/>
      </c>
      <c r="G1402" t="str">
        <f>"202201318650"</f>
        <v>202201318650</v>
      </c>
      <c r="H1402" t="str">
        <f>"AC-2017-0P03"</f>
        <v>AC-2017-0P03</v>
      </c>
      <c r="I1402" s="4">
        <v>400</v>
      </c>
      <c r="J1402" t="str">
        <f>"AC-2017-0P03"</f>
        <v>AC-2017-0P03</v>
      </c>
    </row>
    <row r="1403" spans="1:10" x14ac:dyDescent="0.25">
      <c r="A1403" t="str">
        <f>""</f>
        <v/>
      </c>
      <c r="B1403" t="str">
        <f>""</f>
        <v/>
      </c>
      <c r="G1403" t="str">
        <f>"202201318651"</f>
        <v>202201318651</v>
      </c>
      <c r="H1403" t="str">
        <f>"406157-2"</f>
        <v>406157-2</v>
      </c>
      <c r="I1403" s="4">
        <v>400</v>
      </c>
      <c r="J1403" t="str">
        <f>"406157-2"</f>
        <v>406157-2</v>
      </c>
    </row>
    <row r="1404" spans="1:10" x14ac:dyDescent="0.25">
      <c r="A1404" t="str">
        <f>""</f>
        <v/>
      </c>
      <c r="B1404" t="str">
        <f>""</f>
        <v/>
      </c>
      <c r="G1404" t="str">
        <f>"202201318652"</f>
        <v>202201318652</v>
      </c>
      <c r="H1404" t="str">
        <f>"303092018"</f>
        <v>303092018</v>
      </c>
      <c r="I1404" s="4">
        <v>400</v>
      </c>
      <c r="J1404" t="str">
        <f>"303092018"</f>
        <v>303092018</v>
      </c>
    </row>
    <row r="1405" spans="1:10" x14ac:dyDescent="0.25">
      <c r="A1405" t="str">
        <f>""</f>
        <v/>
      </c>
      <c r="B1405" t="str">
        <f>""</f>
        <v/>
      </c>
      <c r="G1405" t="str">
        <f>"202201318653"</f>
        <v>202201318653</v>
      </c>
      <c r="H1405" t="str">
        <f>"20180424"</f>
        <v>20180424</v>
      </c>
      <c r="I1405" s="4">
        <v>400</v>
      </c>
      <c r="J1405" t="str">
        <f>"20180424"</f>
        <v>20180424</v>
      </c>
    </row>
    <row r="1406" spans="1:10" x14ac:dyDescent="0.25">
      <c r="A1406" t="str">
        <f>""</f>
        <v/>
      </c>
      <c r="B1406" t="str">
        <f>""</f>
        <v/>
      </c>
      <c r="G1406" t="str">
        <f>"202202018688"</f>
        <v>202202018688</v>
      </c>
      <c r="H1406" t="str">
        <f>"16-627/16-658"</f>
        <v>16-627/16-658</v>
      </c>
      <c r="I1406" s="4">
        <v>600</v>
      </c>
      <c r="J1406" t="str">
        <f>"16-627/16-658"</f>
        <v>16-627/16-658</v>
      </c>
    </row>
    <row r="1407" spans="1:10" x14ac:dyDescent="0.25">
      <c r="A1407" t="str">
        <f>""</f>
        <v/>
      </c>
      <c r="B1407" t="str">
        <f>""</f>
        <v/>
      </c>
      <c r="G1407" t="str">
        <f>"202202018689"</f>
        <v>202202018689</v>
      </c>
      <c r="H1407" t="str">
        <f>"311272021C"</f>
        <v>311272021C</v>
      </c>
      <c r="I1407" s="4">
        <v>250</v>
      </c>
      <c r="J1407" t="str">
        <f>"311272021C"</f>
        <v>311272021C</v>
      </c>
    </row>
    <row r="1408" spans="1:10" x14ac:dyDescent="0.25">
      <c r="A1408" t="str">
        <f>""</f>
        <v/>
      </c>
      <c r="B1408" t="str">
        <f>""</f>
        <v/>
      </c>
      <c r="G1408" t="str">
        <f>"202202018690"</f>
        <v>202202018690</v>
      </c>
      <c r="H1408" t="str">
        <f>"304142017D"</f>
        <v>304142017D</v>
      </c>
      <c r="I1408" s="4">
        <v>375</v>
      </c>
      <c r="J1408" t="str">
        <f>"304142017D"</f>
        <v>304142017D</v>
      </c>
    </row>
    <row r="1409" spans="1:10" x14ac:dyDescent="0.25">
      <c r="A1409" t="str">
        <f>""</f>
        <v/>
      </c>
      <c r="B1409" t="str">
        <f>""</f>
        <v/>
      </c>
      <c r="G1409" t="str">
        <f>"202202018691"</f>
        <v>202202018691</v>
      </c>
      <c r="H1409" t="str">
        <f>"56-698"</f>
        <v>56-698</v>
      </c>
      <c r="I1409" s="4">
        <v>250</v>
      </c>
      <c r="J1409" t="str">
        <f>"56-698"</f>
        <v>56-698</v>
      </c>
    </row>
    <row r="1410" spans="1:10" x14ac:dyDescent="0.25">
      <c r="A1410" t="str">
        <f>""</f>
        <v/>
      </c>
      <c r="B1410" t="str">
        <f>""</f>
        <v/>
      </c>
      <c r="G1410" t="str">
        <f>"202202088774"</f>
        <v>202202088774</v>
      </c>
      <c r="H1410" t="str">
        <f>"02-0812-1"</f>
        <v>02-0812-1</v>
      </c>
      <c r="I1410" s="4">
        <v>400</v>
      </c>
      <c r="J1410" t="str">
        <f>"02-0812-1"</f>
        <v>02-0812-1</v>
      </c>
    </row>
    <row r="1411" spans="1:10" x14ac:dyDescent="0.25">
      <c r="A1411" t="str">
        <f>""</f>
        <v/>
      </c>
      <c r="B1411" t="str">
        <f>""</f>
        <v/>
      </c>
      <c r="G1411" t="str">
        <f>"202202088775"</f>
        <v>202202088775</v>
      </c>
      <c r="H1411" t="str">
        <f>"17004"</f>
        <v>17004</v>
      </c>
      <c r="I1411" s="4">
        <v>400</v>
      </c>
      <c r="J1411" t="str">
        <f>"17004"</f>
        <v>17004</v>
      </c>
    </row>
    <row r="1412" spans="1:10" x14ac:dyDescent="0.25">
      <c r="A1412" t="str">
        <f>"01"</f>
        <v>01</v>
      </c>
      <c r="B1412" t="str">
        <f>"006561"</f>
        <v>006561</v>
      </c>
      <c r="C1412" t="s">
        <v>483</v>
      </c>
      <c r="D1412">
        <v>139167</v>
      </c>
      <c r="E1412" s="4">
        <v>4046.23</v>
      </c>
      <c r="F1412" s="5">
        <v>44606</v>
      </c>
      <c r="G1412" t="str">
        <f>"2752"</f>
        <v>2752</v>
      </c>
      <c r="H1412" t="str">
        <f>"WORK TICKET #1867/PCT#3"</f>
        <v>WORK TICKET #1867/PCT#3</v>
      </c>
      <c r="I1412" s="4">
        <v>4046.23</v>
      </c>
      <c r="J1412" t="str">
        <f>"WORK TICKET #1867/PCT#3"</f>
        <v>WORK TICKET #1867/PCT#3</v>
      </c>
    </row>
    <row r="1413" spans="1:10" x14ac:dyDescent="0.25">
      <c r="A1413" t="str">
        <f>"01"</f>
        <v>01</v>
      </c>
      <c r="B1413" t="str">
        <f>"006865"</f>
        <v>006865</v>
      </c>
      <c r="C1413" t="s">
        <v>484</v>
      </c>
      <c r="D1413">
        <v>139168</v>
      </c>
      <c r="E1413" s="4">
        <v>250</v>
      </c>
      <c r="F1413" s="5">
        <v>44606</v>
      </c>
      <c r="G1413" t="str">
        <f>"1093"</f>
        <v>1093</v>
      </c>
      <c r="H1413" t="str">
        <f>"SPONSORSHIP STAR LEVEL"</f>
        <v>SPONSORSHIP STAR LEVEL</v>
      </c>
      <c r="I1413" s="4">
        <v>250</v>
      </c>
      <c r="J1413" t="str">
        <f>"SPONSORSHIP STAR LEVEL"</f>
        <v>SPONSORSHIP STAR LEVEL</v>
      </c>
    </row>
    <row r="1414" spans="1:10" x14ac:dyDescent="0.25">
      <c r="A1414" t="str">
        <f>"01"</f>
        <v>01</v>
      </c>
      <c r="B1414" t="str">
        <f>"003086"</f>
        <v>003086</v>
      </c>
      <c r="C1414" t="s">
        <v>485</v>
      </c>
      <c r="D1414">
        <v>139376</v>
      </c>
      <c r="E1414" s="4">
        <v>5298.48</v>
      </c>
      <c r="F1414" s="5">
        <v>44620</v>
      </c>
      <c r="G1414" t="str">
        <f>"202202229273"</f>
        <v>202202229273</v>
      </c>
      <c r="H1414" t="str">
        <f>"INDIGENT HEALTH"</f>
        <v>INDIGENT HEALTH</v>
      </c>
      <c r="I1414" s="4">
        <v>5298.48</v>
      </c>
      <c r="J1414" t="str">
        <f>"INDIGENT HEALTH"</f>
        <v>INDIGENT HEALTH</v>
      </c>
    </row>
    <row r="1415" spans="1:10" x14ac:dyDescent="0.25">
      <c r="A1415" t="str">
        <f>"01"</f>
        <v>01</v>
      </c>
      <c r="B1415" t="str">
        <f>"T10851"</f>
        <v>T10851</v>
      </c>
      <c r="C1415" t="s">
        <v>486</v>
      </c>
      <c r="D1415">
        <v>139377</v>
      </c>
      <c r="E1415" s="4">
        <v>1346.41</v>
      </c>
      <c r="F1415" s="5">
        <v>44620</v>
      </c>
      <c r="G1415" t="str">
        <f>"P40371"</f>
        <v>P40371</v>
      </c>
      <c r="H1415" t="str">
        <f>"ACCT#BASTRO14/OEM"</f>
        <v>ACCT#BASTRO14/OEM</v>
      </c>
      <c r="I1415" s="4">
        <v>1259.3699999999999</v>
      </c>
      <c r="J1415" t="str">
        <f>"ACCT#BASTRO14/OEM"</f>
        <v>ACCT#BASTRO14/OEM</v>
      </c>
    </row>
    <row r="1416" spans="1:10" x14ac:dyDescent="0.25">
      <c r="A1416" t="str">
        <f>""</f>
        <v/>
      </c>
      <c r="B1416" t="str">
        <f>""</f>
        <v/>
      </c>
      <c r="G1416" t="str">
        <f>"P40372"</f>
        <v>P40372</v>
      </c>
      <c r="H1416" t="str">
        <f>"ACCT#BASTRO014/OEM"</f>
        <v>ACCT#BASTRO014/OEM</v>
      </c>
      <c r="I1416" s="4">
        <v>87.04</v>
      </c>
      <c r="J1416" t="str">
        <f>"ACCT#BASTRO014/OEM"</f>
        <v>ACCT#BASTRO014/OEM</v>
      </c>
    </row>
    <row r="1417" spans="1:10" x14ac:dyDescent="0.25">
      <c r="A1417" t="str">
        <f>"01"</f>
        <v>01</v>
      </c>
      <c r="B1417" t="str">
        <f>"006691"</f>
        <v>006691</v>
      </c>
      <c r="C1417" t="s">
        <v>487</v>
      </c>
      <c r="D1417">
        <v>139378</v>
      </c>
      <c r="E1417" s="4">
        <v>603</v>
      </c>
      <c r="F1417" s="5">
        <v>44620</v>
      </c>
      <c r="G1417" t="str">
        <f>"0216605"</f>
        <v>0216605</v>
      </c>
      <c r="H1417" t="str">
        <f>"CUST#04-BTX5160/ANIMAL SHELTER"</f>
        <v>CUST#04-BTX5160/ANIMAL SHELTER</v>
      </c>
      <c r="I1417" s="4">
        <v>603</v>
      </c>
      <c r="J1417" t="str">
        <f>"CUST#04-BTX5160/ANIMAL SHELTER"</f>
        <v>CUST#04-BTX5160/ANIMAL SHELTER</v>
      </c>
    </row>
    <row r="1418" spans="1:10" x14ac:dyDescent="0.25">
      <c r="A1418" t="str">
        <f>"01"</f>
        <v>01</v>
      </c>
      <c r="B1418" t="str">
        <f>"006158"</f>
        <v>006158</v>
      </c>
      <c r="C1418" t="s">
        <v>488</v>
      </c>
      <c r="D1418">
        <v>139169</v>
      </c>
      <c r="E1418" s="4">
        <v>4587</v>
      </c>
      <c r="F1418" s="5">
        <v>44606</v>
      </c>
      <c r="G1418" t="str">
        <f>"0060304"</f>
        <v>0060304</v>
      </c>
      <c r="H1418" t="str">
        <f>"INV 0060304"</f>
        <v>INV 0060304</v>
      </c>
      <c r="I1418" s="4">
        <v>4587</v>
      </c>
      <c r="J1418" t="str">
        <f>"INV 0060304"</f>
        <v>INV 0060304</v>
      </c>
    </row>
    <row r="1419" spans="1:10" x14ac:dyDescent="0.25">
      <c r="A1419" t="str">
        <f>"01"</f>
        <v>01</v>
      </c>
      <c r="B1419" t="str">
        <f>"003178"</f>
        <v>003178</v>
      </c>
      <c r="C1419" t="s">
        <v>489</v>
      </c>
      <c r="D1419">
        <v>139170</v>
      </c>
      <c r="E1419" s="4">
        <v>815</v>
      </c>
      <c r="F1419" s="5">
        <v>44606</v>
      </c>
      <c r="G1419" t="str">
        <f>"202202028719"</f>
        <v>202202028719</v>
      </c>
      <c r="H1419" t="str">
        <f>"REIMBURSE/VINCE KAISER HOMES"</f>
        <v>REIMBURSE/VINCE KAISER HOMES</v>
      </c>
      <c r="I1419" s="4">
        <v>225</v>
      </c>
      <c r="J1419" t="str">
        <f>"REIMBURSE/VINCE KAISER HOMES"</f>
        <v>REIMBURSE/VINCE KAISER HOMES</v>
      </c>
    </row>
    <row r="1420" spans="1:10" x14ac:dyDescent="0.25">
      <c r="A1420" t="str">
        <f>""</f>
        <v/>
      </c>
      <c r="B1420" t="str">
        <f>""</f>
        <v/>
      </c>
      <c r="G1420" t="str">
        <f>""</f>
        <v/>
      </c>
      <c r="H1420" t="str">
        <f>""</f>
        <v/>
      </c>
      <c r="I1420" s="4">
        <v>25</v>
      </c>
      <c r="J1420" t="str">
        <f>"REIMBURSE/VINCE KAISER HOMES"</f>
        <v>REIMBURSE/VINCE KAISER HOMES</v>
      </c>
    </row>
    <row r="1421" spans="1:10" x14ac:dyDescent="0.25">
      <c r="A1421" t="str">
        <f>""</f>
        <v/>
      </c>
      <c r="B1421" t="str">
        <f>""</f>
        <v/>
      </c>
      <c r="G1421" t="str">
        <f>""</f>
        <v/>
      </c>
      <c r="H1421" t="str">
        <f>""</f>
        <v/>
      </c>
      <c r="I1421" s="4">
        <v>565</v>
      </c>
      <c r="J1421" t="str">
        <f>"REIMBURSE/VINCE KAISER HOMES"</f>
        <v>REIMBURSE/VINCE KAISER HOMES</v>
      </c>
    </row>
    <row r="1422" spans="1:10" x14ac:dyDescent="0.25">
      <c r="A1422" t="str">
        <f>"01"</f>
        <v>01</v>
      </c>
      <c r="B1422" t="str">
        <f>"005593"</f>
        <v>005593</v>
      </c>
      <c r="C1422" t="s">
        <v>490</v>
      </c>
      <c r="D1422">
        <v>5772</v>
      </c>
      <c r="E1422" s="4">
        <v>44272.56</v>
      </c>
      <c r="F1422" s="5">
        <v>44607</v>
      </c>
      <c r="G1422" t="str">
        <f>"202202088812"</f>
        <v>202202088812</v>
      </c>
      <c r="H1422" t="str">
        <f>"01.24"</f>
        <v>01.24</v>
      </c>
      <c r="I1422" s="4">
        <v>245.11</v>
      </c>
      <c r="J1422" t="str">
        <f>"fuel"</f>
        <v>fuel</v>
      </c>
    </row>
    <row r="1423" spans="1:10" x14ac:dyDescent="0.25">
      <c r="A1423" t="str">
        <f>""</f>
        <v/>
      </c>
      <c r="B1423" t="str">
        <f>""</f>
        <v/>
      </c>
      <c r="G1423" t="str">
        <f>""</f>
        <v/>
      </c>
      <c r="H1423" t="str">
        <f>""</f>
        <v/>
      </c>
      <c r="I1423" s="4">
        <v>-17.32</v>
      </c>
      <c r="J1423" t="str">
        <f>"tax"</f>
        <v>tax</v>
      </c>
    </row>
    <row r="1424" spans="1:10" x14ac:dyDescent="0.25">
      <c r="A1424" t="str">
        <f>""</f>
        <v/>
      </c>
      <c r="B1424" t="str">
        <f>""</f>
        <v/>
      </c>
      <c r="G1424" t="str">
        <f>""</f>
        <v/>
      </c>
      <c r="H1424" t="str">
        <f>""</f>
        <v/>
      </c>
      <c r="I1424" s="4">
        <v>154.29</v>
      </c>
      <c r="J1424" t="str">
        <f>"maintenance"</f>
        <v>maintenance</v>
      </c>
    </row>
    <row r="1425" spans="1:10" x14ac:dyDescent="0.25">
      <c r="A1425" t="str">
        <f>""</f>
        <v/>
      </c>
      <c r="B1425" t="str">
        <f>""</f>
        <v/>
      </c>
      <c r="G1425" t="str">
        <f>""</f>
        <v/>
      </c>
      <c r="H1425" t="str">
        <f>""</f>
        <v/>
      </c>
      <c r="I1425" s="4">
        <v>1902.65</v>
      </c>
      <c r="J1425" t="str">
        <f>"fuel"</f>
        <v>fuel</v>
      </c>
    </row>
    <row r="1426" spans="1:10" x14ac:dyDescent="0.25">
      <c r="A1426" t="str">
        <f>""</f>
        <v/>
      </c>
      <c r="B1426" t="str">
        <f>""</f>
        <v/>
      </c>
      <c r="G1426" t="str">
        <f>""</f>
        <v/>
      </c>
      <c r="H1426" t="str">
        <f>""</f>
        <v/>
      </c>
      <c r="I1426" s="4">
        <v>-125.22</v>
      </c>
      <c r="J1426" t="str">
        <f>"tax"</f>
        <v>tax</v>
      </c>
    </row>
    <row r="1427" spans="1:10" x14ac:dyDescent="0.25">
      <c r="A1427" t="str">
        <f>""</f>
        <v/>
      </c>
      <c r="B1427" t="str">
        <f>""</f>
        <v/>
      </c>
      <c r="G1427" t="str">
        <f>""</f>
        <v/>
      </c>
      <c r="H1427" t="str">
        <f>""</f>
        <v/>
      </c>
      <c r="I1427" s="4">
        <v>2163.94</v>
      </c>
      <c r="J1427" t="str">
        <f>"fuel"</f>
        <v>fuel</v>
      </c>
    </row>
    <row r="1428" spans="1:10" x14ac:dyDescent="0.25">
      <c r="A1428" t="str">
        <f>""</f>
        <v/>
      </c>
      <c r="B1428" t="str">
        <f>""</f>
        <v/>
      </c>
      <c r="G1428" t="str">
        <f>""</f>
        <v/>
      </c>
      <c r="H1428" t="str">
        <f>""</f>
        <v/>
      </c>
      <c r="I1428" s="4">
        <v>-141.4</v>
      </c>
      <c r="J1428" t="str">
        <f>"tax"</f>
        <v>tax</v>
      </c>
    </row>
    <row r="1429" spans="1:10" x14ac:dyDescent="0.25">
      <c r="A1429" t="str">
        <f>""</f>
        <v/>
      </c>
      <c r="B1429" t="str">
        <f>""</f>
        <v/>
      </c>
      <c r="G1429" t="str">
        <f>""</f>
        <v/>
      </c>
      <c r="H1429" t="str">
        <f>""</f>
        <v/>
      </c>
      <c r="I1429" s="4">
        <v>63.95</v>
      </c>
      <c r="J1429" t="str">
        <f>"maintenance"</f>
        <v>maintenance</v>
      </c>
    </row>
    <row r="1430" spans="1:10" x14ac:dyDescent="0.25">
      <c r="A1430" t="str">
        <f>""</f>
        <v/>
      </c>
      <c r="B1430" t="str">
        <f>""</f>
        <v/>
      </c>
      <c r="G1430" t="str">
        <f>""</f>
        <v/>
      </c>
      <c r="H1430" t="str">
        <f>""</f>
        <v/>
      </c>
      <c r="I1430" s="4">
        <v>30828.45</v>
      </c>
      <c r="J1430" t="str">
        <f>"fuel"</f>
        <v>fuel</v>
      </c>
    </row>
    <row r="1431" spans="1:10" x14ac:dyDescent="0.25">
      <c r="A1431" t="str">
        <f>""</f>
        <v/>
      </c>
      <c r="B1431" t="str">
        <f>""</f>
        <v/>
      </c>
      <c r="G1431" t="str">
        <f>""</f>
        <v/>
      </c>
      <c r="H1431" t="str">
        <f>""</f>
        <v/>
      </c>
      <c r="I1431" s="4">
        <v>-2061.2600000000002</v>
      </c>
      <c r="J1431" t="str">
        <f>"tax"</f>
        <v>tax</v>
      </c>
    </row>
    <row r="1432" spans="1:10" x14ac:dyDescent="0.25">
      <c r="A1432" t="str">
        <f>""</f>
        <v/>
      </c>
      <c r="B1432" t="str">
        <f>""</f>
        <v/>
      </c>
      <c r="G1432" t="str">
        <f>""</f>
        <v/>
      </c>
      <c r="H1432" t="str">
        <f>""</f>
        <v/>
      </c>
      <c r="I1432" s="4">
        <v>4983.12</v>
      </c>
      <c r="J1432" t="str">
        <f>"maintenance"</f>
        <v>maintenance</v>
      </c>
    </row>
    <row r="1433" spans="1:10" x14ac:dyDescent="0.25">
      <c r="A1433" t="str">
        <f>""</f>
        <v/>
      </c>
      <c r="B1433" t="str">
        <f>""</f>
        <v/>
      </c>
      <c r="G1433" t="str">
        <f>""</f>
        <v/>
      </c>
      <c r="H1433" t="str">
        <f>""</f>
        <v/>
      </c>
      <c r="I1433" s="4">
        <v>1247.8</v>
      </c>
      <c r="J1433" t="str">
        <f>"fuel"</f>
        <v>fuel</v>
      </c>
    </row>
    <row r="1434" spans="1:10" x14ac:dyDescent="0.25">
      <c r="A1434" t="str">
        <f>""</f>
        <v/>
      </c>
      <c r="B1434" t="str">
        <f>""</f>
        <v/>
      </c>
      <c r="G1434" t="str">
        <f>""</f>
        <v/>
      </c>
      <c r="H1434" t="str">
        <f>""</f>
        <v/>
      </c>
      <c r="I1434" s="4">
        <v>1439.79</v>
      </c>
      <c r="J1434" t="str">
        <f>"maintenance"</f>
        <v>maintenance</v>
      </c>
    </row>
    <row r="1435" spans="1:10" x14ac:dyDescent="0.25">
      <c r="A1435" t="str">
        <f>""</f>
        <v/>
      </c>
      <c r="B1435" t="str">
        <f>""</f>
        <v/>
      </c>
      <c r="G1435" t="str">
        <f>""</f>
        <v/>
      </c>
      <c r="H1435" t="str">
        <f>""</f>
        <v/>
      </c>
      <c r="I1435" s="4">
        <v>1512.59</v>
      </c>
      <c r="J1435" t="str">
        <f>"fuel"</f>
        <v>fuel</v>
      </c>
    </row>
    <row r="1436" spans="1:10" x14ac:dyDescent="0.25">
      <c r="A1436" t="str">
        <f>""</f>
        <v/>
      </c>
      <c r="B1436" t="str">
        <f>""</f>
        <v/>
      </c>
      <c r="G1436" t="str">
        <f>""</f>
        <v/>
      </c>
      <c r="H1436" t="str">
        <f>""</f>
        <v/>
      </c>
      <c r="I1436" s="4">
        <v>-96.76</v>
      </c>
      <c r="J1436" t="str">
        <f>"tax"</f>
        <v>tax</v>
      </c>
    </row>
    <row r="1437" spans="1:10" x14ac:dyDescent="0.25">
      <c r="A1437" t="str">
        <f>""</f>
        <v/>
      </c>
      <c r="B1437" t="str">
        <f>""</f>
        <v/>
      </c>
      <c r="G1437" t="str">
        <f>""</f>
        <v/>
      </c>
      <c r="H1437" t="str">
        <f>""</f>
        <v/>
      </c>
      <c r="I1437" s="4">
        <v>143.87</v>
      </c>
      <c r="J1437" t="str">
        <f>"maintenance"</f>
        <v>maintenance</v>
      </c>
    </row>
    <row r="1438" spans="1:10" x14ac:dyDescent="0.25">
      <c r="A1438" t="str">
        <f>""</f>
        <v/>
      </c>
      <c r="B1438" t="str">
        <f>""</f>
        <v/>
      </c>
      <c r="G1438" t="str">
        <f>""</f>
        <v/>
      </c>
      <c r="H1438" t="str">
        <f>""</f>
        <v/>
      </c>
      <c r="I1438" s="4">
        <v>1982.6</v>
      </c>
      <c r="J1438" t="str">
        <f>"fuel"</f>
        <v>fuel</v>
      </c>
    </row>
    <row r="1439" spans="1:10" x14ac:dyDescent="0.25">
      <c r="A1439" t="str">
        <f>""</f>
        <v/>
      </c>
      <c r="B1439" t="str">
        <f>""</f>
        <v/>
      </c>
      <c r="G1439" t="str">
        <f>""</f>
        <v/>
      </c>
      <c r="H1439" t="str">
        <f>""</f>
        <v/>
      </c>
      <c r="I1439" s="4">
        <v>-144.86000000000001</v>
      </c>
      <c r="J1439" t="str">
        <f>"tax"</f>
        <v>tax</v>
      </c>
    </row>
    <row r="1440" spans="1:10" x14ac:dyDescent="0.25">
      <c r="A1440" t="str">
        <f>""</f>
        <v/>
      </c>
      <c r="B1440" t="str">
        <f>""</f>
        <v/>
      </c>
      <c r="G1440" t="str">
        <f>""</f>
        <v/>
      </c>
      <c r="H1440" t="str">
        <f>""</f>
        <v/>
      </c>
      <c r="I1440" s="4">
        <v>38.5</v>
      </c>
      <c r="J1440" t="str">
        <f>"maintenance"</f>
        <v>maintenance</v>
      </c>
    </row>
    <row r="1441" spans="1:10" x14ac:dyDescent="0.25">
      <c r="A1441" t="str">
        <f>""</f>
        <v/>
      </c>
      <c r="B1441" t="str">
        <f>""</f>
        <v/>
      </c>
      <c r="G1441" t="str">
        <f>""</f>
        <v/>
      </c>
      <c r="H1441" t="str">
        <f>""</f>
        <v/>
      </c>
      <c r="I1441" s="4">
        <v>87.49</v>
      </c>
      <c r="J1441" t="str">
        <f>"fuel"</f>
        <v>fuel</v>
      </c>
    </row>
    <row r="1442" spans="1:10" x14ac:dyDescent="0.25">
      <c r="A1442" t="str">
        <f>""</f>
        <v/>
      </c>
      <c r="B1442" t="str">
        <f>""</f>
        <v/>
      </c>
      <c r="G1442" t="str">
        <f>""</f>
        <v/>
      </c>
      <c r="H1442" t="str">
        <f>""</f>
        <v/>
      </c>
      <c r="I1442" s="4">
        <v>-5.22</v>
      </c>
      <c r="J1442" t="str">
        <f>"tax"</f>
        <v>tax</v>
      </c>
    </row>
    <row r="1443" spans="1:10" x14ac:dyDescent="0.25">
      <c r="A1443" t="str">
        <f>""</f>
        <v/>
      </c>
      <c r="B1443" t="str">
        <f>""</f>
        <v/>
      </c>
      <c r="G1443" t="str">
        <f>""</f>
        <v/>
      </c>
      <c r="H1443" t="str">
        <f>""</f>
        <v/>
      </c>
      <c r="I1443" s="4">
        <v>15.42</v>
      </c>
      <c r="J1443" t="str">
        <f>"fuel"</f>
        <v>fuel</v>
      </c>
    </row>
    <row r="1444" spans="1:10" x14ac:dyDescent="0.25">
      <c r="A1444" t="str">
        <f>""</f>
        <v/>
      </c>
      <c r="B1444" t="str">
        <f>""</f>
        <v/>
      </c>
      <c r="G1444" t="str">
        <f>""</f>
        <v/>
      </c>
      <c r="H1444" t="str">
        <f>""</f>
        <v/>
      </c>
      <c r="I1444" s="4">
        <v>-0.97</v>
      </c>
      <c r="J1444" t="str">
        <f>"tax"</f>
        <v>tax</v>
      </c>
    </row>
    <row r="1445" spans="1:10" x14ac:dyDescent="0.25">
      <c r="A1445" t="str">
        <f>""</f>
        <v/>
      </c>
      <c r="B1445" t="str">
        <f>""</f>
        <v/>
      </c>
      <c r="G1445" t="str">
        <f>""</f>
        <v/>
      </c>
      <c r="H1445" t="str">
        <f>""</f>
        <v/>
      </c>
      <c r="I1445" s="4">
        <v>56</v>
      </c>
      <c r="J1445" t="str">
        <f>"maintenance"</f>
        <v>maintenance</v>
      </c>
    </row>
    <row r="1446" spans="1:10" x14ac:dyDescent="0.25">
      <c r="A1446" t="str">
        <f>"01"</f>
        <v>01</v>
      </c>
      <c r="B1446" t="str">
        <f>"006203"</f>
        <v>006203</v>
      </c>
      <c r="C1446" t="s">
        <v>491</v>
      </c>
      <c r="D1446">
        <v>139171</v>
      </c>
      <c r="E1446" s="4">
        <v>92.47</v>
      </c>
      <c r="F1446" s="5">
        <v>44606</v>
      </c>
      <c r="G1446" t="str">
        <f>"10499427"</f>
        <v>10499427</v>
      </c>
      <c r="H1446" t="str">
        <f>"ACCT#00010699-4/PCT#3"</f>
        <v>ACCT#00010699-4/PCT#3</v>
      </c>
      <c r="I1446" s="4">
        <v>92.47</v>
      </c>
      <c r="J1446" t="str">
        <f>"ACCT#00010699-4/PCT#3"</f>
        <v>ACCT#00010699-4/PCT#3</v>
      </c>
    </row>
    <row r="1447" spans="1:10" x14ac:dyDescent="0.25">
      <c r="A1447" t="str">
        <f>"01"</f>
        <v>01</v>
      </c>
      <c r="B1447" t="str">
        <f>"004877"</f>
        <v>004877</v>
      </c>
      <c r="C1447" t="s">
        <v>492</v>
      </c>
      <c r="D1447">
        <v>139003</v>
      </c>
      <c r="E1447" s="4">
        <v>13268.88</v>
      </c>
      <c r="F1447" s="5">
        <v>44603</v>
      </c>
      <c r="G1447" t="str">
        <f>"11649121V150"</f>
        <v>11649121V150</v>
      </c>
      <c r="H1447" t="str">
        <f>"ACCT#5150-005117630/02012022"</f>
        <v>ACCT#5150-005117630/02012022</v>
      </c>
      <c r="I1447" s="4">
        <v>275.95</v>
      </c>
      <c r="J1447" t="str">
        <f>"ACCT#5150-005117630/02012022"</f>
        <v>ACCT#5150-005117630/02012022</v>
      </c>
    </row>
    <row r="1448" spans="1:10" x14ac:dyDescent="0.25">
      <c r="A1448" t="str">
        <f>""</f>
        <v/>
      </c>
      <c r="B1448" t="str">
        <f>""</f>
        <v/>
      </c>
      <c r="G1448" t="str">
        <f>"11649128V150"</f>
        <v>11649128V150</v>
      </c>
      <c r="H1448" t="str">
        <f>"ACCT#5150-005117766/02012022"</f>
        <v>ACCT#5150-005117766/02012022</v>
      </c>
      <c r="I1448" s="4">
        <v>121.13</v>
      </c>
      <c r="J1448" t="str">
        <f>"ACCT#5150-005117766/02012022"</f>
        <v>ACCT#5150-005117766/02012022</v>
      </c>
    </row>
    <row r="1449" spans="1:10" x14ac:dyDescent="0.25">
      <c r="A1449" t="str">
        <f>""</f>
        <v/>
      </c>
      <c r="B1449" t="str">
        <f>""</f>
        <v/>
      </c>
      <c r="G1449" t="str">
        <f>"11649132V150"</f>
        <v>11649132V150</v>
      </c>
      <c r="H1449" t="str">
        <f>"ACCT#5150-005117838/02012022"</f>
        <v>ACCT#5150-005117838/02012022</v>
      </c>
      <c r="I1449" s="4">
        <v>112.1</v>
      </c>
      <c r="J1449" t="str">
        <f>"ACCT#5150-005117838/02012022"</f>
        <v>ACCT#5150-005117838/02012022</v>
      </c>
    </row>
    <row r="1450" spans="1:10" x14ac:dyDescent="0.25">
      <c r="A1450" t="str">
        <f>""</f>
        <v/>
      </c>
      <c r="B1450" t="str">
        <f>""</f>
        <v/>
      </c>
      <c r="G1450" t="str">
        <f>"11649134V150"</f>
        <v>11649134V150</v>
      </c>
      <c r="H1450" t="str">
        <f>"ACCT#5150-005117882/02012022"</f>
        <v>ACCT#5150-005117882/02012022</v>
      </c>
      <c r="I1450" s="4">
        <v>151.4</v>
      </c>
      <c r="J1450" t="str">
        <f>"ACCT#5150-005117882/02012022"</f>
        <v>ACCT#5150-005117882/02012022</v>
      </c>
    </row>
    <row r="1451" spans="1:10" x14ac:dyDescent="0.25">
      <c r="A1451" t="str">
        <f>""</f>
        <v/>
      </c>
      <c r="B1451" t="str">
        <f>""</f>
        <v/>
      </c>
      <c r="G1451" t="str">
        <f>"11649142V150"</f>
        <v>11649142V150</v>
      </c>
      <c r="H1451" t="str">
        <f>"ACCT#5150-005118183/02012022"</f>
        <v>ACCT#5150-005118183/02012022</v>
      </c>
      <c r="I1451" s="4">
        <v>649.91</v>
      </c>
      <c r="J1451" t="str">
        <f>"ACCT#5150-005118183/02012022"</f>
        <v>ACCT#5150-005118183/02012022</v>
      </c>
    </row>
    <row r="1452" spans="1:10" x14ac:dyDescent="0.25">
      <c r="A1452" t="str">
        <f>""</f>
        <v/>
      </c>
      <c r="B1452" t="str">
        <f>""</f>
        <v/>
      </c>
      <c r="G1452" t="str">
        <f>"11649170V150"</f>
        <v>11649170V150</v>
      </c>
      <c r="H1452" t="str">
        <f>"ACCT#5150-005129483/02012022"</f>
        <v>ACCT#5150-005129483/02012022</v>
      </c>
      <c r="I1452" s="4">
        <v>11840.4</v>
      </c>
      <c r="J1452" t="str">
        <f>"ACCT#5150-005129483/02012022"</f>
        <v>ACCT#5150-005129483/02012022</v>
      </c>
    </row>
    <row r="1453" spans="1:10" x14ac:dyDescent="0.25">
      <c r="A1453" t="str">
        <f>""</f>
        <v/>
      </c>
      <c r="B1453" t="str">
        <f>""</f>
        <v/>
      </c>
      <c r="G1453" t="str">
        <f>"11653025V150"</f>
        <v>11653025V150</v>
      </c>
      <c r="H1453" t="str">
        <f>"ACCT#5150-16203415/02012022"</f>
        <v>ACCT#5150-16203415/02012022</v>
      </c>
      <c r="I1453" s="4">
        <v>87.66</v>
      </c>
      <c r="J1453" t="str">
        <f>"ACCT#5150-16203415/02012022"</f>
        <v>ACCT#5150-16203415/02012022</v>
      </c>
    </row>
    <row r="1454" spans="1:10" x14ac:dyDescent="0.25">
      <c r="A1454" t="str">
        <f>""</f>
        <v/>
      </c>
      <c r="B1454" t="str">
        <f>""</f>
        <v/>
      </c>
      <c r="G1454" t="str">
        <f>"11653026V150"</f>
        <v>11653026V150</v>
      </c>
      <c r="H1454" t="str">
        <f>"ACCT#5150-16203417/02012022"</f>
        <v>ACCT#5150-16203417/02012022</v>
      </c>
      <c r="I1454" s="4">
        <v>30.33</v>
      </c>
      <c r="J1454" t="str">
        <f>"ACCT#5150-16203417/02012022"</f>
        <v>ACCT#5150-16203417/02012022</v>
      </c>
    </row>
    <row r="1455" spans="1:10" x14ac:dyDescent="0.25">
      <c r="A1455" t="str">
        <f>"01"</f>
        <v>01</v>
      </c>
      <c r="B1455" t="str">
        <f>"004310"</f>
        <v>004310</v>
      </c>
      <c r="C1455" t="s">
        <v>493</v>
      </c>
      <c r="D1455">
        <v>139172</v>
      </c>
      <c r="E1455" s="4">
        <v>6804.94</v>
      </c>
      <c r="F1455" s="5">
        <v>44606</v>
      </c>
      <c r="G1455" t="str">
        <f>"0034697-2161-1"</f>
        <v>0034697-2161-1</v>
      </c>
      <c r="H1455" t="str">
        <f>"CUST#2-57060-55062/PCT#4"</f>
        <v>CUST#2-57060-55062/PCT#4</v>
      </c>
      <c r="I1455" s="4">
        <v>4826.5600000000004</v>
      </c>
      <c r="J1455" t="str">
        <f>"CUST#2-57060-55062/PCT#4"</f>
        <v>CUST#2-57060-55062/PCT#4</v>
      </c>
    </row>
    <row r="1456" spans="1:10" x14ac:dyDescent="0.25">
      <c r="A1456" t="str">
        <f>""</f>
        <v/>
      </c>
      <c r="B1456" t="str">
        <f>""</f>
        <v/>
      </c>
      <c r="G1456" t="str">
        <f>"0139055-2161-6"</f>
        <v>0139055-2161-6</v>
      </c>
      <c r="H1456" t="str">
        <f>"CUST#2-56581-95066/ANIMAL SHEL"</f>
        <v>CUST#2-56581-95066/ANIMAL SHEL</v>
      </c>
      <c r="I1456" s="4">
        <v>1120.9000000000001</v>
      </c>
      <c r="J1456" t="str">
        <f>"CUST#2-56581-95066/ANIMAL SHEL"</f>
        <v>CUST#2-56581-95066/ANIMAL SHEL</v>
      </c>
    </row>
    <row r="1457" spans="1:10" x14ac:dyDescent="0.25">
      <c r="A1457" t="str">
        <f>""</f>
        <v/>
      </c>
      <c r="B1457" t="str">
        <f>""</f>
        <v/>
      </c>
      <c r="G1457" t="str">
        <f>"6725758-2161"</f>
        <v>6725758-2161</v>
      </c>
      <c r="H1457" t="str">
        <f>"CUST#23-90244-23005/PCT#4"</f>
        <v>CUST#23-90244-23005/PCT#4</v>
      </c>
      <c r="I1457" s="4">
        <v>857.48</v>
      </c>
      <c r="J1457" t="str">
        <f>"CUST#23-90244-23005/PCT#4"</f>
        <v>CUST#23-90244-23005/PCT#4</v>
      </c>
    </row>
    <row r="1458" spans="1:10" x14ac:dyDescent="0.25">
      <c r="A1458" t="str">
        <f t="shared" ref="A1458:A1463" si="44">"01"</f>
        <v>01</v>
      </c>
      <c r="B1458" t="str">
        <f>"004074"</f>
        <v>004074</v>
      </c>
      <c r="C1458" t="s">
        <v>494</v>
      </c>
      <c r="D1458">
        <v>5760</v>
      </c>
      <c r="E1458" s="4">
        <v>14765.36</v>
      </c>
      <c r="F1458" s="5">
        <v>44607</v>
      </c>
      <c r="G1458" t="str">
        <f>"30475"</f>
        <v>30475</v>
      </c>
      <c r="H1458" t="str">
        <f>"INV 30475"</f>
        <v>INV 30475</v>
      </c>
      <c r="I1458" s="4">
        <v>14765.36</v>
      </c>
      <c r="J1458" t="str">
        <f>"INV 30475"</f>
        <v>INV 30475</v>
      </c>
    </row>
    <row r="1459" spans="1:10" x14ac:dyDescent="0.25">
      <c r="A1459" t="str">
        <f t="shared" si="44"/>
        <v>01</v>
      </c>
      <c r="B1459" t="str">
        <f>"002395"</f>
        <v>002395</v>
      </c>
      <c r="C1459" t="s">
        <v>495</v>
      </c>
      <c r="D1459">
        <v>139379</v>
      </c>
      <c r="E1459" s="4">
        <v>150</v>
      </c>
      <c r="F1459" s="5">
        <v>44620</v>
      </c>
      <c r="G1459" t="str">
        <f>"13498"</f>
        <v>13498</v>
      </c>
      <c r="H1459" t="str">
        <f t="shared" ref="H1459:H1467" si="45">"SERVICE"</f>
        <v>SERVICE</v>
      </c>
      <c r="I1459" s="4">
        <v>150</v>
      </c>
      <c r="J1459" t="str">
        <f t="shared" ref="J1459:J1467" si="46">"SERVICE"</f>
        <v>SERVICE</v>
      </c>
    </row>
    <row r="1460" spans="1:10" x14ac:dyDescent="0.25">
      <c r="A1460" t="str">
        <f t="shared" si="44"/>
        <v>01</v>
      </c>
      <c r="B1460" t="str">
        <f>"002445"</f>
        <v>002445</v>
      </c>
      <c r="C1460" t="s">
        <v>496</v>
      </c>
      <c r="D1460">
        <v>139173</v>
      </c>
      <c r="E1460" s="4">
        <v>70</v>
      </c>
      <c r="F1460" s="5">
        <v>44606</v>
      </c>
      <c r="G1460" t="str">
        <f>"12264"</f>
        <v>12264</v>
      </c>
      <c r="H1460" t="str">
        <f t="shared" si="45"/>
        <v>SERVICE</v>
      </c>
      <c r="I1460" s="4">
        <v>70</v>
      </c>
      <c r="J1460" t="str">
        <f t="shared" si="46"/>
        <v>SERVICE</v>
      </c>
    </row>
    <row r="1461" spans="1:10" x14ac:dyDescent="0.25">
      <c r="A1461" t="str">
        <f t="shared" si="44"/>
        <v>01</v>
      </c>
      <c r="B1461" t="str">
        <f>"002351"</f>
        <v>002351</v>
      </c>
      <c r="C1461" t="s">
        <v>497</v>
      </c>
      <c r="D1461">
        <v>139174</v>
      </c>
      <c r="E1461" s="4">
        <v>70</v>
      </c>
      <c r="F1461" s="5">
        <v>44606</v>
      </c>
      <c r="G1461" t="str">
        <f>"12534"</f>
        <v>12534</v>
      </c>
      <c r="H1461" t="str">
        <f t="shared" si="45"/>
        <v>SERVICE</v>
      </c>
      <c r="I1461" s="4">
        <v>70</v>
      </c>
      <c r="J1461" t="str">
        <f t="shared" si="46"/>
        <v>SERVICE</v>
      </c>
    </row>
    <row r="1462" spans="1:10" x14ac:dyDescent="0.25">
      <c r="A1462" t="str">
        <f t="shared" si="44"/>
        <v>01</v>
      </c>
      <c r="B1462" t="str">
        <f>"002552"</f>
        <v>002552</v>
      </c>
      <c r="C1462" t="s">
        <v>498</v>
      </c>
      <c r="D1462">
        <v>139175</v>
      </c>
      <c r="E1462" s="4">
        <v>210</v>
      </c>
      <c r="F1462" s="5">
        <v>44606</v>
      </c>
      <c r="G1462" t="str">
        <f>"12242"</f>
        <v>12242</v>
      </c>
      <c r="H1462" t="str">
        <f t="shared" si="45"/>
        <v>SERVICE</v>
      </c>
      <c r="I1462" s="4">
        <v>210</v>
      </c>
      <c r="J1462" t="str">
        <f t="shared" si="46"/>
        <v>SERVICE</v>
      </c>
    </row>
    <row r="1463" spans="1:10" x14ac:dyDescent="0.25">
      <c r="A1463" t="str">
        <f t="shared" si="44"/>
        <v>01</v>
      </c>
      <c r="B1463" t="str">
        <f>"002445"</f>
        <v>002445</v>
      </c>
      <c r="C1463" t="s">
        <v>496</v>
      </c>
      <c r="D1463">
        <v>139380</v>
      </c>
      <c r="E1463" s="4">
        <v>140</v>
      </c>
      <c r="F1463" s="5">
        <v>44620</v>
      </c>
      <c r="G1463" t="str">
        <f>"13497"</f>
        <v>13497</v>
      </c>
      <c r="H1463" t="str">
        <f t="shared" si="45"/>
        <v>SERVICE</v>
      </c>
      <c r="I1463" s="4">
        <v>70</v>
      </c>
      <c r="J1463" t="str">
        <f t="shared" si="46"/>
        <v>SERVICE</v>
      </c>
    </row>
    <row r="1464" spans="1:10" x14ac:dyDescent="0.25">
      <c r="A1464" t="str">
        <f>""</f>
        <v/>
      </c>
      <c r="B1464" t="str">
        <f>""</f>
        <v/>
      </c>
      <c r="G1464" t="str">
        <f>"13516"</f>
        <v>13516</v>
      </c>
      <c r="H1464" t="str">
        <f t="shared" si="45"/>
        <v>SERVICE</v>
      </c>
      <c r="I1464" s="4">
        <v>70</v>
      </c>
      <c r="J1464" t="str">
        <f t="shared" si="46"/>
        <v>SERVICE</v>
      </c>
    </row>
    <row r="1465" spans="1:10" x14ac:dyDescent="0.25">
      <c r="A1465" t="str">
        <f>"01"</f>
        <v>01</v>
      </c>
      <c r="B1465" t="str">
        <f>"002550"</f>
        <v>002550</v>
      </c>
      <c r="C1465" t="s">
        <v>499</v>
      </c>
      <c r="D1465">
        <v>139381</v>
      </c>
      <c r="E1465" s="4">
        <v>70</v>
      </c>
      <c r="F1465" s="5">
        <v>44620</v>
      </c>
      <c r="G1465" t="str">
        <f>"13281"</f>
        <v>13281</v>
      </c>
      <c r="H1465" t="str">
        <f t="shared" si="45"/>
        <v>SERVICE</v>
      </c>
      <c r="I1465" s="4">
        <v>70</v>
      </c>
      <c r="J1465" t="str">
        <f t="shared" si="46"/>
        <v>SERVICE</v>
      </c>
    </row>
    <row r="1466" spans="1:10" x14ac:dyDescent="0.25">
      <c r="A1466" t="str">
        <f>"01"</f>
        <v>01</v>
      </c>
      <c r="B1466" t="str">
        <f>"002351"</f>
        <v>002351</v>
      </c>
      <c r="C1466" t="s">
        <v>497</v>
      </c>
      <c r="D1466">
        <v>139382</v>
      </c>
      <c r="E1466" s="4">
        <v>140</v>
      </c>
      <c r="F1466" s="5">
        <v>44620</v>
      </c>
      <c r="G1466" t="str">
        <f>"13516"</f>
        <v>13516</v>
      </c>
      <c r="H1466" t="str">
        <f t="shared" si="45"/>
        <v>SERVICE</v>
      </c>
      <c r="I1466" s="4">
        <v>70</v>
      </c>
      <c r="J1466" t="str">
        <f t="shared" si="46"/>
        <v>SERVICE</v>
      </c>
    </row>
    <row r="1467" spans="1:10" x14ac:dyDescent="0.25">
      <c r="A1467" t="str">
        <f>""</f>
        <v/>
      </c>
      <c r="B1467" t="str">
        <f>""</f>
        <v/>
      </c>
      <c r="G1467" t="str">
        <f>"13569"</f>
        <v>13569</v>
      </c>
      <c r="H1467" t="str">
        <f t="shared" si="45"/>
        <v>SERVICE</v>
      </c>
      <c r="I1467" s="4">
        <v>70</v>
      </c>
      <c r="J1467" t="str">
        <f t="shared" si="46"/>
        <v>SERVICE</v>
      </c>
    </row>
    <row r="1468" spans="1:10" x14ac:dyDescent="0.25">
      <c r="A1468" t="str">
        <f>"01"</f>
        <v>01</v>
      </c>
      <c r="B1468" t="str">
        <f>"003938"</f>
        <v>003938</v>
      </c>
      <c r="C1468" t="s">
        <v>500</v>
      </c>
      <c r="D1468">
        <v>139383</v>
      </c>
      <c r="E1468" s="4">
        <v>3500</v>
      </c>
      <c r="F1468" s="5">
        <v>44620</v>
      </c>
      <c r="G1468" t="str">
        <f>"2833"</f>
        <v>2833</v>
      </c>
      <c r="H1468" t="str">
        <f>"REMOVE TREE/PCT#3"</f>
        <v>REMOVE TREE/PCT#3</v>
      </c>
      <c r="I1468" s="4">
        <v>3500</v>
      </c>
      <c r="J1468" t="str">
        <f>"REMOVE TREE/PCT#3"</f>
        <v>REMOVE TREE/PCT#3</v>
      </c>
    </row>
    <row r="1469" spans="1:10" x14ac:dyDescent="0.25">
      <c r="A1469" t="str">
        <f>"01"</f>
        <v>01</v>
      </c>
      <c r="B1469" t="str">
        <f>"T6061"</f>
        <v>T6061</v>
      </c>
      <c r="C1469" t="s">
        <v>501</v>
      </c>
      <c r="D1469">
        <v>139176</v>
      </c>
      <c r="E1469" s="4">
        <v>772.75</v>
      </c>
      <c r="F1469" s="5">
        <v>44606</v>
      </c>
      <c r="G1469" t="str">
        <f>"7077710"</f>
        <v>7077710</v>
      </c>
      <c r="H1469" t="str">
        <f>"CUST#339435/PCT#3"</f>
        <v>CUST#339435/PCT#3</v>
      </c>
      <c r="I1469" s="4">
        <v>772.75</v>
      </c>
      <c r="J1469" t="str">
        <f>"CUST#339435/PCT#3"</f>
        <v>CUST#339435/PCT#3</v>
      </c>
    </row>
    <row r="1470" spans="1:10" x14ac:dyDescent="0.25">
      <c r="A1470" t="str">
        <f>"01"</f>
        <v>01</v>
      </c>
      <c r="B1470" t="str">
        <f>"006420"</f>
        <v>006420</v>
      </c>
      <c r="C1470" t="s">
        <v>502</v>
      </c>
      <c r="D1470">
        <v>139177</v>
      </c>
      <c r="E1470" s="4">
        <v>25</v>
      </c>
      <c r="F1470" s="5">
        <v>44606</v>
      </c>
      <c r="G1470" t="str">
        <f>"13-163 1/24/22"</f>
        <v>13-163 1/24/22</v>
      </c>
      <c r="H1470" t="str">
        <f>"RESTITUTION/M. MANZANARES"</f>
        <v>RESTITUTION/M. MANZANARES</v>
      </c>
      <c r="I1470" s="4">
        <v>25</v>
      </c>
      <c r="J1470" t="str">
        <f>"RESTITUTION/M. MANZANARES"</f>
        <v>RESTITUTION/M. MANZANARES</v>
      </c>
    </row>
    <row r="1471" spans="1:10" x14ac:dyDescent="0.25">
      <c r="A1471" t="str">
        <f>"01"</f>
        <v>01</v>
      </c>
      <c r="B1471" t="str">
        <f>"005698"</f>
        <v>005698</v>
      </c>
      <c r="C1471" t="s">
        <v>503</v>
      </c>
      <c r="D1471">
        <v>139178</v>
      </c>
      <c r="E1471" s="4">
        <v>2141.4499999999998</v>
      </c>
      <c r="F1471" s="5">
        <v>44606</v>
      </c>
      <c r="G1471" t="str">
        <f>"202202088804"</f>
        <v>202202088804</v>
      </c>
      <c r="H1471" t="str">
        <f>"CUST#1000113183/ANIMAL SHELTER"</f>
        <v>CUST#1000113183/ANIMAL SHELTER</v>
      </c>
      <c r="I1471" s="4">
        <v>2141.4499999999998</v>
      </c>
      <c r="J1471" t="str">
        <f>"CUST#1000113183/ANIMAL SHELTER"</f>
        <v>CUST#1000113183/ANIMAL SHELTER</v>
      </c>
    </row>
    <row r="1472" spans="1:10" x14ac:dyDescent="0.25">
      <c r="A1472" t="str">
        <f>"01"</f>
        <v>01</v>
      </c>
      <c r="B1472" t="str">
        <f>"005698"</f>
        <v>005698</v>
      </c>
      <c r="C1472" t="s">
        <v>503</v>
      </c>
      <c r="D1472">
        <v>139384</v>
      </c>
      <c r="E1472" s="4">
        <v>3122.79</v>
      </c>
      <c r="F1472" s="5">
        <v>44620</v>
      </c>
      <c r="G1472" t="str">
        <f>"9015819402"</f>
        <v>9015819402</v>
      </c>
      <c r="H1472" t="str">
        <f>"CUST#1000113183/ANIMAL SVCS"</f>
        <v>CUST#1000113183/ANIMAL SVCS</v>
      </c>
      <c r="I1472" s="4">
        <v>2967.6</v>
      </c>
      <c r="J1472" t="str">
        <f>"CUST#1000113183/ANIMAL SVCS"</f>
        <v>CUST#1000113183/ANIMAL SVCS</v>
      </c>
    </row>
    <row r="1473" spans="1:10" x14ac:dyDescent="0.25">
      <c r="A1473" t="str">
        <f>""</f>
        <v/>
      </c>
      <c r="B1473" t="str">
        <f>""</f>
        <v/>
      </c>
      <c r="G1473" t="str">
        <f>"9015864196"</f>
        <v>9015864196</v>
      </c>
      <c r="H1473" t="str">
        <f>"CUST#1000113183/ANIMAL SVCS"</f>
        <v>CUST#1000113183/ANIMAL SVCS</v>
      </c>
      <c r="I1473" s="4">
        <v>155.19</v>
      </c>
      <c r="J1473" t="str">
        <f>"CUST#1000113183/ANIMAL SVCS"</f>
        <v>CUST#1000113183/ANIMAL SVCS</v>
      </c>
    </row>
    <row r="1474" spans="1:10" x14ac:dyDescent="0.25">
      <c r="A1474" t="str">
        <f>"01"</f>
        <v>01</v>
      </c>
      <c r="B1474" t="str">
        <f>"AG"</f>
        <v>AG</v>
      </c>
      <c r="C1474" t="s">
        <v>504</v>
      </c>
      <c r="D1474">
        <v>139385</v>
      </c>
      <c r="E1474" s="4">
        <v>142192.25</v>
      </c>
      <c r="F1474" s="5">
        <v>44620</v>
      </c>
      <c r="G1474" t="str">
        <f>"202202239306"</f>
        <v>202202239306</v>
      </c>
      <c r="H1474" t="str">
        <f>"ALAMO  GROUP (TX)  INC"</f>
        <v>ALAMO  GROUP (TX)  INC</v>
      </c>
      <c r="I1474" s="4">
        <v>28868.32</v>
      </c>
      <c r="J1474" t="str">
        <f>"Brush Cutter"</f>
        <v>Brush Cutter</v>
      </c>
    </row>
    <row r="1475" spans="1:10" x14ac:dyDescent="0.25">
      <c r="A1475" t="str">
        <f>""</f>
        <v/>
      </c>
      <c r="B1475" t="str">
        <f>""</f>
        <v/>
      </c>
      <c r="G1475" t="str">
        <f>""</f>
        <v/>
      </c>
      <c r="H1475" t="str">
        <f>""</f>
        <v/>
      </c>
      <c r="I1475" s="4">
        <v>113323.93</v>
      </c>
      <c r="J1475" t="str">
        <f>"Brush Cutter"</f>
        <v>Brush Cutter</v>
      </c>
    </row>
    <row r="1476" spans="1:10" x14ac:dyDescent="0.25">
      <c r="A1476" t="str">
        <f>"01"</f>
        <v>01</v>
      </c>
      <c r="B1476" t="str">
        <f>"005237"</f>
        <v>005237</v>
      </c>
      <c r="C1476" t="s">
        <v>24</v>
      </c>
      <c r="D1476">
        <v>5813</v>
      </c>
      <c r="E1476" s="4">
        <v>205.15</v>
      </c>
      <c r="F1476" s="5">
        <v>44607</v>
      </c>
      <c r="G1476" t="str">
        <f>"202202088834"</f>
        <v>202202088834</v>
      </c>
      <c r="H1476" t="str">
        <f>"AMAZON CAPITAL SERVICES INC"</f>
        <v>AMAZON CAPITAL SERVICES INC</v>
      </c>
      <c r="I1476" s="4">
        <v>55.4</v>
      </c>
      <c r="J1476" t="str">
        <f>"Notebooks"</f>
        <v>Notebooks</v>
      </c>
    </row>
    <row r="1477" spans="1:10" x14ac:dyDescent="0.25">
      <c r="A1477" t="str">
        <f>""</f>
        <v/>
      </c>
      <c r="B1477" t="str">
        <f>""</f>
        <v/>
      </c>
      <c r="G1477" t="str">
        <f>""</f>
        <v/>
      </c>
      <c r="H1477" t="str">
        <f>""</f>
        <v/>
      </c>
      <c r="I1477" s="4">
        <v>125.62</v>
      </c>
      <c r="J1477" t="str">
        <f>"Tom=ner Cartridge"</f>
        <v>Tom=ner Cartridge</v>
      </c>
    </row>
    <row r="1478" spans="1:10" x14ac:dyDescent="0.25">
      <c r="A1478" t="str">
        <f>""</f>
        <v/>
      </c>
      <c r="B1478" t="str">
        <f>""</f>
        <v/>
      </c>
      <c r="G1478" t="str">
        <f>""</f>
        <v/>
      </c>
      <c r="H1478" t="str">
        <f>""</f>
        <v/>
      </c>
      <c r="I1478" s="4">
        <v>24.13</v>
      </c>
      <c r="J1478" t="str">
        <f>"Hand Towels"</f>
        <v>Hand Towels</v>
      </c>
    </row>
    <row r="1479" spans="1:10" x14ac:dyDescent="0.25">
      <c r="A1479" t="str">
        <f t="shared" ref="A1479:A1487" si="47">"01"</f>
        <v>01</v>
      </c>
      <c r="B1479" t="str">
        <f>"AQUAB"</f>
        <v>AQUAB</v>
      </c>
      <c r="C1479" t="s">
        <v>29</v>
      </c>
      <c r="D1479">
        <v>139179</v>
      </c>
      <c r="E1479" s="4">
        <v>139.99</v>
      </c>
      <c r="F1479" s="5">
        <v>44606</v>
      </c>
      <c r="G1479" t="str">
        <f>"202202028746"</f>
        <v>202202028746</v>
      </c>
      <c r="H1479" t="str">
        <f>"ACCT#015397/BOOT CAMP"</f>
        <v>ACCT#015397/BOOT CAMP</v>
      </c>
      <c r="I1479" s="4">
        <v>139.99</v>
      </c>
      <c r="J1479" t="str">
        <f>"ACCT#015397/BOOT CAMP"</f>
        <v>ACCT#015397/BOOT CAMP</v>
      </c>
    </row>
    <row r="1480" spans="1:10" x14ac:dyDescent="0.25">
      <c r="A1480" t="str">
        <f t="shared" si="47"/>
        <v>01</v>
      </c>
      <c r="B1480" t="str">
        <f>"000680"</f>
        <v>000680</v>
      </c>
      <c r="C1480" t="s">
        <v>505</v>
      </c>
      <c r="D1480">
        <v>139386</v>
      </c>
      <c r="E1480" s="4">
        <v>30957</v>
      </c>
      <c r="F1480" s="5">
        <v>44620</v>
      </c>
      <c r="G1480" t="str">
        <f>"202202239305"</f>
        <v>202202239305</v>
      </c>
      <c r="H1480" t="str">
        <f>"AUSTIN GENERATOR SERVICE"</f>
        <v>AUSTIN GENERATOR SERVICE</v>
      </c>
      <c r="I1480" s="4">
        <v>30957</v>
      </c>
      <c r="J1480" t="str">
        <f>"Generator"</f>
        <v>Generator</v>
      </c>
    </row>
    <row r="1481" spans="1:10" x14ac:dyDescent="0.25">
      <c r="A1481" t="str">
        <f t="shared" si="47"/>
        <v>01</v>
      </c>
      <c r="B1481" t="str">
        <f>"BASCO"</f>
        <v>BASCO</v>
      </c>
      <c r="C1481" t="s">
        <v>42</v>
      </c>
      <c r="D1481">
        <v>139387</v>
      </c>
      <c r="E1481" s="4">
        <v>74.8</v>
      </c>
      <c r="F1481" s="5">
        <v>44620</v>
      </c>
      <c r="G1481" t="str">
        <f>"202202179234"</f>
        <v>202202179234</v>
      </c>
      <c r="H1481" t="str">
        <f>"ACCT#BC01"</f>
        <v>ACCT#BC01</v>
      </c>
      <c r="I1481" s="4">
        <v>74.8</v>
      </c>
      <c r="J1481" t="str">
        <f>"ACCT#BC01"</f>
        <v>ACCT#BC01</v>
      </c>
    </row>
    <row r="1482" spans="1:10" x14ac:dyDescent="0.25">
      <c r="A1482" t="str">
        <f t="shared" si="47"/>
        <v>01</v>
      </c>
      <c r="B1482" t="str">
        <f>"BEC"</f>
        <v>BEC</v>
      </c>
      <c r="C1482" t="s">
        <v>60</v>
      </c>
      <c r="D1482">
        <v>139236</v>
      </c>
      <c r="E1482" s="4">
        <v>176.3</v>
      </c>
      <c r="F1482" s="5">
        <v>44609</v>
      </c>
      <c r="G1482" t="str">
        <f>"202202179104"</f>
        <v>202202179104</v>
      </c>
      <c r="H1482" t="str">
        <f>"ACCT#5000057374/02022022"</f>
        <v>ACCT#5000057374/02022022</v>
      </c>
      <c r="I1482" s="4">
        <v>176.3</v>
      </c>
      <c r="J1482" t="str">
        <f>"BLUEBONNET ELECTRIC COOPERATIV"</f>
        <v>BLUEBONNET ELECTRIC COOPERATIV</v>
      </c>
    </row>
    <row r="1483" spans="1:10" x14ac:dyDescent="0.25">
      <c r="A1483" t="str">
        <f t="shared" si="47"/>
        <v>01</v>
      </c>
      <c r="B1483" t="str">
        <f>"006081"</f>
        <v>006081</v>
      </c>
      <c r="C1483" t="s">
        <v>86</v>
      </c>
      <c r="D1483">
        <v>1650</v>
      </c>
      <c r="E1483" s="4">
        <v>340.19</v>
      </c>
      <c r="F1483" s="5">
        <v>44614</v>
      </c>
      <c r="G1483" t="str">
        <f>"202202229265"</f>
        <v>202202229265</v>
      </c>
      <c r="H1483" t="str">
        <f>"ACCT#72-5613 / 02032022"</f>
        <v>ACCT#72-5613 / 02032022</v>
      </c>
    </row>
    <row r="1484" spans="1:10" x14ac:dyDescent="0.25">
      <c r="A1484" t="str">
        <f t="shared" si="47"/>
        <v>01</v>
      </c>
      <c r="B1484" t="str">
        <f>"006081"</f>
        <v>006081</v>
      </c>
      <c r="C1484" t="s">
        <v>86</v>
      </c>
      <c r="D1484">
        <v>1650</v>
      </c>
      <c r="E1484" s="4">
        <v>-340.19</v>
      </c>
      <c r="F1484" s="5">
        <v>44614</v>
      </c>
      <c r="G1484" t="str">
        <f>"CHECK"</f>
        <v>CHECK</v>
      </c>
      <c r="H1484" t="str">
        <f>""</f>
        <v/>
      </c>
    </row>
    <row r="1485" spans="1:10" x14ac:dyDescent="0.25">
      <c r="A1485" t="str">
        <f t="shared" si="47"/>
        <v>01</v>
      </c>
      <c r="B1485" t="str">
        <f>"006081"</f>
        <v>006081</v>
      </c>
      <c r="C1485" t="s">
        <v>86</v>
      </c>
      <c r="D1485">
        <v>1659</v>
      </c>
      <c r="E1485" s="4">
        <v>195.59</v>
      </c>
      <c r="F1485" s="5">
        <v>44617</v>
      </c>
      <c r="G1485" t="str">
        <f>"202202259368"</f>
        <v>202202259368</v>
      </c>
      <c r="H1485" t="str">
        <f>"ACCT#72-5613 / 02032022"</f>
        <v>ACCT#72-5613 / 02032022</v>
      </c>
      <c r="I1485" s="4">
        <v>195.59</v>
      </c>
      <c r="J1485" t="str">
        <f>"ACCT#72-5613 / 02032022"</f>
        <v>ACCT#72-5613 / 02032022</v>
      </c>
    </row>
    <row r="1486" spans="1:10" x14ac:dyDescent="0.25">
      <c r="A1486" t="str">
        <f t="shared" si="47"/>
        <v>01</v>
      </c>
      <c r="B1486" t="str">
        <f>"DELL"</f>
        <v>DELL</v>
      </c>
      <c r="C1486" t="s">
        <v>110</v>
      </c>
      <c r="D1486">
        <v>139180</v>
      </c>
      <c r="E1486" s="4">
        <v>10050.14</v>
      </c>
      <c r="F1486" s="5">
        <v>44606</v>
      </c>
      <c r="G1486" t="str">
        <f>"202202088832"</f>
        <v>202202088832</v>
      </c>
      <c r="H1486" t="str">
        <f>"DELL"</f>
        <v>DELL</v>
      </c>
      <c r="I1486" s="4">
        <v>10050.14</v>
      </c>
      <c r="J1486" t="str">
        <f>"Rugged Warranty"</f>
        <v>Rugged Warranty</v>
      </c>
    </row>
    <row r="1487" spans="1:10" x14ac:dyDescent="0.25">
      <c r="A1487" t="str">
        <f t="shared" si="47"/>
        <v>01</v>
      </c>
      <c r="B1487" t="str">
        <f>"003027"</f>
        <v>003027</v>
      </c>
      <c r="C1487" t="s">
        <v>129</v>
      </c>
      <c r="D1487">
        <v>139388</v>
      </c>
      <c r="E1487" s="4">
        <v>2450.6799999999998</v>
      </c>
      <c r="F1487" s="5">
        <v>44620</v>
      </c>
      <c r="G1487" t="str">
        <f>"145-58064-01"</f>
        <v>145-58064-01</v>
      </c>
      <c r="H1487" t="str">
        <f>"MIKE FISHER BUILD/IT"</f>
        <v>MIKE FISHER BUILD/IT</v>
      </c>
      <c r="I1487" s="4">
        <v>1077.8399999999999</v>
      </c>
      <c r="J1487" t="str">
        <f>"MIKE FISHER BUILD/IT"</f>
        <v>MIKE FISHER BUILD/IT</v>
      </c>
    </row>
    <row r="1488" spans="1:10" x14ac:dyDescent="0.25">
      <c r="A1488" t="str">
        <f>""</f>
        <v/>
      </c>
      <c r="B1488" t="str">
        <f>""</f>
        <v/>
      </c>
      <c r="G1488" t="str">
        <f>"145-58085-01"</f>
        <v>145-58085-01</v>
      </c>
      <c r="H1488" t="str">
        <f>"MIKE FISHER BUILD/IT"</f>
        <v>MIKE FISHER BUILD/IT</v>
      </c>
      <c r="I1488" s="4">
        <v>179.64</v>
      </c>
      <c r="J1488" t="str">
        <f>"MIKE FISHER BUILD/IT"</f>
        <v>MIKE FISHER BUILD/IT</v>
      </c>
    </row>
    <row r="1489" spans="1:10" x14ac:dyDescent="0.25">
      <c r="A1489" t="str">
        <f>""</f>
        <v/>
      </c>
      <c r="B1489" t="str">
        <f>""</f>
        <v/>
      </c>
      <c r="G1489" t="str">
        <f>"145-58133-01"</f>
        <v>145-58133-01</v>
      </c>
      <c r="H1489" t="str">
        <f>"MIKE FISHER BUILD/IT"</f>
        <v>MIKE FISHER BUILD/IT</v>
      </c>
      <c r="I1489" s="4">
        <v>1167.6600000000001</v>
      </c>
      <c r="J1489" t="str">
        <f>"MIKE FISHER BUILD/IT"</f>
        <v>MIKE FISHER BUILD/IT</v>
      </c>
    </row>
    <row r="1490" spans="1:10" x14ac:dyDescent="0.25">
      <c r="A1490" t="str">
        <f>""</f>
        <v/>
      </c>
      <c r="B1490" t="str">
        <f>""</f>
        <v/>
      </c>
      <c r="G1490" t="str">
        <f>"145-58337-02"</f>
        <v>145-58337-02</v>
      </c>
      <c r="H1490" t="str">
        <f>"MIKE FISHER BUILD/IT"</f>
        <v>MIKE FISHER BUILD/IT</v>
      </c>
      <c r="I1490" s="4">
        <v>25.54</v>
      </c>
      <c r="J1490" t="str">
        <f>"MIKE FISHER BUILD"</f>
        <v>MIKE FISHER BUILD</v>
      </c>
    </row>
    <row r="1491" spans="1:10" x14ac:dyDescent="0.25">
      <c r="A1491" t="str">
        <f>"01"</f>
        <v>01</v>
      </c>
      <c r="B1491" t="str">
        <f>"006629"</f>
        <v>006629</v>
      </c>
      <c r="C1491" t="s">
        <v>506</v>
      </c>
      <c r="D1491">
        <v>139389</v>
      </c>
      <c r="E1491" s="4">
        <v>24795</v>
      </c>
      <c r="F1491" s="5">
        <v>44620</v>
      </c>
      <c r="G1491" t="str">
        <f>"113895"</f>
        <v>113895</v>
      </c>
      <c r="H1491" t="str">
        <f>"HAZARD MIT ACTION PLAN"</f>
        <v>HAZARD MIT ACTION PLAN</v>
      </c>
      <c r="I1491" s="4">
        <v>24795</v>
      </c>
      <c r="J1491" t="str">
        <f>"HAZARD MIT ACTION PLAN"</f>
        <v>HAZARD MIT ACTION PLAN</v>
      </c>
    </row>
    <row r="1492" spans="1:10" x14ac:dyDescent="0.25">
      <c r="A1492" t="str">
        <f>"01"</f>
        <v>01</v>
      </c>
      <c r="B1492" t="str">
        <f>"T13876"</f>
        <v>T13876</v>
      </c>
      <c r="C1492" t="s">
        <v>507</v>
      </c>
      <c r="D1492">
        <v>5814</v>
      </c>
      <c r="E1492" s="4">
        <v>2885</v>
      </c>
      <c r="F1492" s="5">
        <v>44607</v>
      </c>
      <c r="G1492" t="str">
        <f>"10066250"</f>
        <v>10066250</v>
      </c>
      <c r="H1492" t="str">
        <f>"JC MADISON SUBDIVISION/PCT#4"</f>
        <v>JC MADISON SUBDIVISION/PCT#4</v>
      </c>
      <c r="I1492" s="4">
        <v>2885</v>
      </c>
      <c r="J1492" t="str">
        <f>"JC MADISON SUBDIVISION/PCT#4"</f>
        <v>JC MADISON SUBDIVISION/PCT#4</v>
      </c>
    </row>
    <row r="1493" spans="1:10" x14ac:dyDescent="0.25">
      <c r="A1493" t="str">
        <f>"01"</f>
        <v>01</v>
      </c>
      <c r="B1493" t="str">
        <f>"006258"</f>
        <v>006258</v>
      </c>
      <c r="C1493" t="s">
        <v>508</v>
      </c>
      <c r="D1493">
        <v>139181</v>
      </c>
      <c r="E1493" s="4">
        <v>41805.68</v>
      </c>
      <c r="F1493" s="5">
        <v>44606</v>
      </c>
      <c r="G1493" t="str">
        <f>"202202088833"</f>
        <v>202202088833</v>
      </c>
      <c r="H1493" t="str">
        <f>"LEE CONSTRUCTION &amp; MAINTENANCE"</f>
        <v>LEE CONSTRUCTION &amp; MAINTENANCE</v>
      </c>
      <c r="I1493" s="4">
        <v>41805.68</v>
      </c>
      <c r="J1493" t="str">
        <f>"Canopy"</f>
        <v>Canopy</v>
      </c>
    </row>
    <row r="1494" spans="1:10" x14ac:dyDescent="0.25">
      <c r="A1494" t="str">
        <f>"01"</f>
        <v>01</v>
      </c>
      <c r="B1494" t="str">
        <f>"006877"</f>
        <v>006877</v>
      </c>
      <c r="C1494" t="s">
        <v>509</v>
      </c>
      <c r="D1494">
        <v>139390</v>
      </c>
      <c r="E1494" s="4">
        <v>3026</v>
      </c>
      <c r="F1494" s="5">
        <v>44620</v>
      </c>
      <c r="G1494" t="str">
        <f>"54423"</f>
        <v>54423</v>
      </c>
      <c r="H1494" t="str">
        <f>"CUST#BASCOU/PCT#1"</f>
        <v>CUST#BASCOU/PCT#1</v>
      </c>
      <c r="I1494" s="4">
        <v>812</v>
      </c>
      <c r="J1494" t="str">
        <f>"CUST#BASCOU/PCT#1"</f>
        <v>CUST#BASCOU/PCT#1</v>
      </c>
    </row>
    <row r="1495" spans="1:10" x14ac:dyDescent="0.25">
      <c r="A1495" t="str">
        <f>""</f>
        <v/>
      </c>
      <c r="B1495" t="str">
        <f>""</f>
        <v/>
      </c>
      <c r="G1495" t="str">
        <f>"I004381"</f>
        <v>I004381</v>
      </c>
      <c r="H1495" t="str">
        <f>"CUST#BASCOU/PCT#1"</f>
        <v>CUST#BASCOU/PCT#1</v>
      </c>
      <c r="I1495" s="4">
        <v>2214</v>
      </c>
      <c r="J1495" t="str">
        <f>"CUST#BASCOU/PCT#1"</f>
        <v>CUST#BASCOU/PCT#1</v>
      </c>
    </row>
    <row r="1496" spans="1:10" x14ac:dyDescent="0.25">
      <c r="A1496" t="str">
        <f>"01"</f>
        <v>01</v>
      </c>
      <c r="B1496" t="str">
        <f>"T8648"</f>
        <v>T8648</v>
      </c>
      <c r="C1496" t="s">
        <v>445</v>
      </c>
      <c r="D1496">
        <v>139391</v>
      </c>
      <c r="E1496" s="4">
        <v>1170</v>
      </c>
      <c r="F1496" s="5">
        <v>44620</v>
      </c>
      <c r="G1496" t="str">
        <f>"202202239307"</f>
        <v>202202239307</v>
      </c>
      <c r="H1496" t="str">
        <f>"Inovice#"</f>
        <v>Inovice#</v>
      </c>
      <c r="I1496" s="4">
        <v>390</v>
      </c>
      <c r="J1496" t="str">
        <f>"Inovice#4010712244"</f>
        <v>Inovice#4010712244</v>
      </c>
    </row>
    <row r="1497" spans="1:10" x14ac:dyDescent="0.25">
      <c r="A1497" t="str">
        <f>""</f>
        <v/>
      </c>
      <c r="B1497" t="str">
        <f>""</f>
        <v/>
      </c>
      <c r="G1497" t="str">
        <f>""</f>
        <v/>
      </c>
      <c r="H1497" t="str">
        <f>""</f>
        <v/>
      </c>
      <c r="I1497" s="4">
        <v>780</v>
      </c>
      <c r="J1497" t="str">
        <f>"Inovice#4010712219"</f>
        <v>Inovice#4010712219</v>
      </c>
    </row>
    <row r="1498" spans="1:10" x14ac:dyDescent="0.25">
      <c r="A1498" t="str">
        <f>"01"</f>
        <v>01</v>
      </c>
      <c r="B1498" t="str">
        <f>"004874"</f>
        <v>004874</v>
      </c>
      <c r="C1498" t="s">
        <v>510</v>
      </c>
      <c r="D1498">
        <v>5812</v>
      </c>
      <c r="E1498" s="4">
        <v>351.1</v>
      </c>
      <c r="F1498" s="5">
        <v>44607</v>
      </c>
      <c r="G1498" t="str">
        <f>"7220"</f>
        <v>7220</v>
      </c>
      <c r="H1498" t="str">
        <f>"UNIFORMS/JUVENILE"</f>
        <v>UNIFORMS/JUVENILE</v>
      </c>
      <c r="I1498" s="4">
        <v>351.1</v>
      </c>
      <c r="J1498" t="str">
        <f>"UNIFORMS/JUVENILE"</f>
        <v>UNIFORMS/JUVENILE</v>
      </c>
    </row>
    <row r="1499" spans="1:10" x14ac:dyDescent="0.25">
      <c r="A1499" t="str">
        <f>"01"</f>
        <v>01</v>
      </c>
      <c r="B1499" t="str">
        <f>"ALLSTA"</f>
        <v>ALLSTA</v>
      </c>
      <c r="C1499" t="s">
        <v>511</v>
      </c>
      <c r="D1499">
        <v>1656</v>
      </c>
      <c r="E1499" s="4">
        <v>3723.74</v>
      </c>
      <c r="F1499" s="5">
        <v>44616</v>
      </c>
      <c r="G1499" t="str">
        <f>"202202249346"</f>
        <v>202202249346</v>
      </c>
      <c r="H1499" t="str">
        <f>"ADJ - FEBRUARY 2022"</f>
        <v>ADJ - FEBRUARY 2022</v>
      </c>
      <c r="I1499" s="4">
        <v>10</v>
      </c>
      <c r="J1499" t="str">
        <f>"ADJ - FEBRUARY 2022"</f>
        <v>ADJ - FEBRUARY 2022</v>
      </c>
    </row>
    <row r="1500" spans="1:10" x14ac:dyDescent="0.25">
      <c r="A1500" t="str">
        <f>""</f>
        <v/>
      </c>
      <c r="B1500" t="str">
        <f>""</f>
        <v/>
      </c>
      <c r="G1500" t="str">
        <f>"AS 202202028715"</f>
        <v>AS 202202028715</v>
      </c>
      <c r="H1500" t="str">
        <f t="shared" ref="H1500:H1513" si="48">"ALLSTATE"</f>
        <v>ALLSTATE</v>
      </c>
      <c r="I1500" s="4">
        <v>333.96</v>
      </c>
      <c r="J1500" t="str">
        <f t="shared" ref="J1500:J1513" si="49">"ALLSTATE"</f>
        <v>ALLSTATE</v>
      </c>
    </row>
    <row r="1501" spans="1:10" x14ac:dyDescent="0.25">
      <c r="A1501" t="str">
        <f>""</f>
        <v/>
      </c>
      <c r="B1501" t="str">
        <f>""</f>
        <v/>
      </c>
      <c r="G1501" t="str">
        <f>"AS 202202028716"</f>
        <v>AS 202202028716</v>
      </c>
      <c r="H1501" t="str">
        <f t="shared" si="48"/>
        <v>ALLSTATE</v>
      </c>
      <c r="I1501" s="4">
        <v>3.57</v>
      </c>
      <c r="J1501" t="str">
        <f t="shared" si="49"/>
        <v>ALLSTATE</v>
      </c>
    </row>
    <row r="1502" spans="1:10" x14ac:dyDescent="0.25">
      <c r="A1502" t="str">
        <f>""</f>
        <v/>
      </c>
      <c r="B1502" t="str">
        <f>""</f>
        <v/>
      </c>
      <c r="G1502" t="str">
        <f>"AS 202202169060"</f>
        <v>AS 202202169060</v>
      </c>
      <c r="H1502" t="str">
        <f t="shared" si="48"/>
        <v>ALLSTATE</v>
      </c>
      <c r="I1502" s="4">
        <v>333.96</v>
      </c>
      <c r="J1502" t="str">
        <f t="shared" si="49"/>
        <v>ALLSTATE</v>
      </c>
    </row>
    <row r="1503" spans="1:10" x14ac:dyDescent="0.25">
      <c r="A1503" t="str">
        <f>""</f>
        <v/>
      </c>
      <c r="B1503" t="str">
        <f>""</f>
        <v/>
      </c>
      <c r="G1503" t="str">
        <f>"AS 202202169062"</f>
        <v>AS 202202169062</v>
      </c>
      <c r="H1503" t="str">
        <f t="shared" si="48"/>
        <v>ALLSTATE</v>
      </c>
      <c r="I1503" s="4">
        <v>13.57</v>
      </c>
      <c r="J1503" t="str">
        <f t="shared" si="49"/>
        <v>ALLSTATE</v>
      </c>
    </row>
    <row r="1504" spans="1:10" x14ac:dyDescent="0.25">
      <c r="A1504" t="str">
        <f>""</f>
        <v/>
      </c>
      <c r="B1504" t="str">
        <f>""</f>
        <v/>
      </c>
      <c r="G1504" t="str">
        <f>"ASD202202028715"</f>
        <v>ASD202202028715</v>
      </c>
      <c r="H1504" t="str">
        <f t="shared" si="48"/>
        <v>ALLSTATE</v>
      </c>
      <c r="I1504" s="4">
        <v>156.19999999999999</v>
      </c>
      <c r="J1504" t="str">
        <f t="shared" si="49"/>
        <v>ALLSTATE</v>
      </c>
    </row>
    <row r="1505" spans="1:10" x14ac:dyDescent="0.25">
      <c r="A1505" t="str">
        <f>""</f>
        <v/>
      </c>
      <c r="B1505" t="str">
        <f>""</f>
        <v/>
      </c>
      <c r="G1505" t="str">
        <f>"ASD202202169060"</f>
        <v>ASD202202169060</v>
      </c>
      <c r="H1505" t="str">
        <f t="shared" si="48"/>
        <v>ALLSTATE</v>
      </c>
      <c r="I1505" s="4">
        <v>156.19999999999999</v>
      </c>
      <c r="J1505" t="str">
        <f t="shared" si="49"/>
        <v>ALLSTATE</v>
      </c>
    </row>
    <row r="1506" spans="1:10" x14ac:dyDescent="0.25">
      <c r="A1506" t="str">
        <f>""</f>
        <v/>
      </c>
      <c r="B1506" t="str">
        <f>""</f>
        <v/>
      </c>
      <c r="G1506" t="str">
        <f>"ASI202202028715"</f>
        <v>ASI202202028715</v>
      </c>
      <c r="H1506" t="str">
        <f t="shared" si="48"/>
        <v>ALLSTATE</v>
      </c>
      <c r="I1506" s="4">
        <v>430.62</v>
      </c>
      <c r="J1506" t="str">
        <f t="shared" si="49"/>
        <v>ALLSTATE</v>
      </c>
    </row>
    <row r="1507" spans="1:10" x14ac:dyDescent="0.25">
      <c r="A1507" t="str">
        <f>""</f>
        <v/>
      </c>
      <c r="B1507" t="str">
        <f>""</f>
        <v/>
      </c>
      <c r="G1507" t="str">
        <f>"ASI202202028716"</f>
        <v>ASI202202028716</v>
      </c>
      <c r="H1507" t="str">
        <f t="shared" si="48"/>
        <v>ALLSTATE</v>
      </c>
      <c r="I1507" s="4">
        <v>63.02</v>
      </c>
      <c r="J1507" t="str">
        <f t="shared" si="49"/>
        <v>ALLSTATE</v>
      </c>
    </row>
    <row r="1508" spans="1:10" x14ac:dyDescent="0.25">
      <c r="A1508" t="str">
        <f>""</f>
        <v/>
      </c>
      <c r="B1508" t="str">
        <f>""</f>
        <v/>
      </c>
      <c r="G1508" t="str">
        <f>"ASI202202169060"</f>
        <v>ASI202202169060</v>
      </c>
      <c r="H1508" t="str">
        <f t="shared" si="48"/>
        <v>ALLSTATE</v>
      </c>
      <c r="I1508" s="4">
        <v>430.62</v>
      </c>
      <c r="J1508" t="str">
        <f t="shared" si="49"/>
        <v>ALLSTATE</v>
      </c>
    </row>
    <row r="1509" spans="1:10" x14ac:dyDescent="0.25">
      <c r="A1509" t="str">
        <f>""</f>
        <v/>
      </c>
      <c r="B1509" t="str">
        <f>""</f>
        <v/>
      </c>
      <c r="G1509" t="str">
        <f>"ASI202202169062"</f>
        <v>ASI202202169062</v>
      </c>
      <c r="H1509" t="str">
        <f t="shared" si="48"/>
        <v>ALLSTATE</v>
      </c>
      <c r="I1509" s="4">
        <v>63.02</v>
      </c>
      <c r="J1509" t="str">
        <f t="shared" si="49"/>
        <v>ALLSTATE</v>
      </c>
    </row>
    <row r="1510" spans="1:10" x14ac:dyDescent="0.25">
      <c r="A1510" t="str">
        <f>""</f>
        <v/>
      </c>
      <c r="B1510" t="str">
        <f>""</f>
        <v/>
      </c>
      <c r="G1510" t="str">
        <f>"AST202202028715"</f>
        <v>AST202202028715</v>
      </c>
      <c r="H1510" t="str">
        <f t="shared" si="48"/>
        <v>ALLSTATE</v>
      </c>
      <c r="I1510" s="4">
        <v>853.09</v>
      </c>
      <c r="J1510" t="str">
        <f t="shared" si="49"/>
        <v>ALLSTATE</v>
      </c>
    </row>
    <row r="1511" spans="1:10" x14ac:dyDescent="0.25">
      <c r="A1511" t="str">
        <f>""</f>
        <v/>
      </c>
      <c r="B1511" t="str">
        <f>""</f>
        <v/>
      </c>
      <c r="G1511" t="str">
        <f>"AST202202028716"</f>
        <v>AST202202028716</v>
      </c>
      <c r="H1511" t="str">
        <f t="shared" si="48"/>
        <v>ALLSTATE</v>
      </c>
      <c r="I1511" s="4">
        <v>11.41</v>
      </c>
      <c r="J1511" t="str">
        <f t="shared" si="49"/>
        <v>ALLSTATE</v>
      </c>
    </row>
    <row r="1512" spans="1:10" x14ac:dyDescent="0.25">
      <c r="A1512" t="str">
        <f>""</f>
        <v/>
      </c>
      <c r="B1512" t="str">
        <f>""</f>
        <v/>
      </c>
      <c r="G1512" t="str">
        <f>"AST202202169060"</f>
        <v>AST202202169060</v>
      </c>
      <c r="H1512" t="str">
        <f t="shared" si="48"/>
        <v>ALLSTATE</v>
      </c>
      <c r="I1512" s="4">
        <v>853.09</v>
      </c>
      <c r="J1512" t="str">
        <f t="shared" si="49"/>
        <v>ALLSTATE</v>
      </c>
    </row>
    <row r="1513" spans="1:10" x14ac:dyDescent="0.25">
      <c r="A1513" t="str">
        <f>""</f>
        <v/>
      </c>
      <c r="B1513" t="str">
        <f>""</f>
        <v/>
      </c>
      <c r="G1513" t="str">
        <f>"AST202202169062"</f>
        <v>AST202202169062</v>
      </c>
      <c r="H1513" t="str">
        <f t="shared" si="48"/>
        <v>ALLSTATE</v>
      </c>
      <c r="I1513" s="4">
        <v>11.41</v>
      </c>
      <c r="J1513" t="str">
        <f t="shared" si="49"/>
        <v>ALLSTATE</v>
      </c>
    </row>
    <row r="1514" spans="1:10" x14ac:dyDescent="0.25">
      <c r="A1514" t="str">
        <f>"01"</f>
        <v>01</v>
      </c>
      <c r="B1514" t="str">
        <f>"005776"</f>
        <v>005776</v>
      </c>
      <c r="C1514" t="s">
        <v>512</v>
      </c>
      <c r="D1514">
        <v>1651</v>
      </c>
      <c r="E1514" s="4">
        <v>27704.62</v>
      </c>
      <c r="F1514" s="5">
        <v>44616</v>
      </c>
      <c r="G1514" t="str">
        <f>"202202249350"</f>
        <v>202202249350</v>
      </c>
      <c r="H1514" t="str">
        <f>"RETIREE INS - FEBRUARY 2022"</f>
        <v>RETIREE INS - FEBRUARY 2022</v>
      </c>
      <c r="I1514" s="4">
        <v>27704.62</v>
      </c>
      <c r="J1514" t="str">
        <f>"RETIREE INS - FEBRUARY 2022"</f>
        <v>RETIREE INS - FEBRUARY 2022</v>
      </c>
    </row>
    <row r="1515" spans="1:10" x14ac:dyDescent="0.25">
      <c r="A1515" t="str">
        <f>"01"</f>
        <v>01</v>
      </c>
      <c r="B1515" t="str">
        <f>"T12180"</f>
        <v>T12180</v>
      </c>
      <c r="C1515" t="s">
        <v>513</v>
      </c>
      <c r="D1515">
        <v>1599</v>
      </c>
      <c r="E1515" s="4">
        <v>1959.27</v>
      </c>
      <c r="F1515" s="5">
        <v>44596</v>
      </c>
      <c r="G1515" t="str">
        <f>"DHM202202028717"</f>
        <v>DHM202202028717</v>
      </c>
      <c r="H1515" t="str">
        <f>"AP - DENTAL HMO"</f>
        <v>AP - DENTAL HMO</v>
      </c>
      <c r="I1515" s="4">
        <v>4.8</v>
      </c>
      <c r="J1515" t="str">
        <f>"AP - DENTAL HMO"</f>
        <v>AP - DENTAL HMO</v>
      </c>
    </row>
    <row r="1516" spans="1:10" x14ac:dyDescent="0.25">
      <c r="A1516" t="str">
        <f>""</f>
        <v/>
      </c>
      <c r="B1516" t="str">
        <f>""</f>
        <v/>
      </c>
      <c r="G1516" t="str">
        <f>"DTX202202028717"</f>
        <v>DTX202202028717</v>
      </c>
      <c r="H1516" t="str">
        <f>"AP - TEXAS DENTAL"</f>
        <v>AP - TEXAS DENTAL</v>
      </c>
      <c r="I1516" s="4">
        <v>488.61</v>
      </c>
      <c r="J1516" t="str">
        <f>"AP - TEXAS DENTAL"</f>
        <v>AP - TEXAS DENTAL</v>
      </c>
    </row>
    <row r="1517" spans="1:10" x14ac:dyDescent="0.25">
      <c r="A1517" t="str">
        <f>""</f>
        <v/>
      </c>
      <c r="B1517" t="str">
        <f>""</f>
        <v/>
      </c>
      <c r="G1517" t="str">
        <f>"FD 202202028717"</f>
        <v>FD 202202028717</v>
      </c>
      <c r="H1517" t="str">
        <f>"AP - FT DEARBORN PRE-TAX"</f>
        <v>AP - FT DEARBORN PRE-TAX</v>
      </c>
      <c r="I1517" s="4">
        <v>69.73</v>
      </c>
      <c r="J1517" t="str">
        <f>"AP - FT DEARBORN PRE-TAX"</f>
        <v>AP - FT DEARBORN PRE-TAX</v>
      </c>
    </row>
    <row r="1518" spans="1:10" x14ac:dyDescent="0.25">
      <c r="A1518" t="str">
        <f>""</f>
        <v/>
      </c>
      <c r="B1518" t="str">
        <f>""</f>
        <v/>
      </c>
      <c r="G1518" t="str">
        <f>"FDT202202028717"</f>
        <v>FDT202202028717</v>
      </c>
      <c r="H1518" t="str">
        <f>"AP - FT DEARBORN AFTER TAX"</f>
        <v>AP - FT DEARBORN AFTER TAX</v>
      </c>
      <c r="I1518" s="4">
        <v>83.37</v>
      </c>
      <c r="J1518" t="str">
        <f>"AP - FT DEARBORN AFTER TAX"</f>
        <v>AP - FT DEARBORN AFTER TAX</v>
      </c>
    </row>
    <row r="1519" spans="1:10" x14ac:dyDescent="0.25">
      <c r="A1519" t="str">
        <f>""</f>
        <v/>
      </c>
      <c r="B1519" t="str">
        <f>""</f>
        <v/>
      </c>
      <c r="G1519" t="str">
        <f>"FLX202202028717"</f>
        <v>FLX202202028717</v>
      </c>
      <c r="H1519" t="str">
        <f>"AP - TEX FLEX"</f>
        <v>AP - TEX FLEX</v>
      </c>
      <c r="I1519" s="4">
        <v>50</v>
      </c>
      <c r="J1519" t="str">
        <f>"AP - TEX FLEX"</f>
        <v>AP - TEX FLEX</v>
      </c>
    </row>
    <row r="1520" spans="1:10" x14ac:dyDescent="0.25">
      <c r="A1520" t="str">
        <f>""</f>
        <v/>
      </c>
      <c r="B1520" t="str">
        <f>""</f>
        <v/>
      </c>
      <c r="G1520" t="str">
        <f>"MHS202202028717"</f>
        <v>MHS202202028717</v>
      </c>
      <c r="H1520" t="str">
        <f>"AP - HEALTH SELECT MEDICAL"</f>
        <v>AP - HEALTH SELECT MEDICAL</v>
      </c>
      <c r="I1520" s="4">
        <v>1090.68</v>
      </c>
      <c r="J1520" t="str">
        <f>"AP - HEALTH SELECT MEDICAL"</f>
        <v>AP - HEALTH SELECT MEDICAL</v>
      </c>
    </row>
    <row r="1521" spans="1:10" x14ac:dyDescent="0.25">
      <c r="A1521" t="str">
        <f>""</f>
        <v/>
      </c>
      <c r="B1521" t="str">
        <f>""</f>
        <v/>
      </c>
      <c r="G1521" t="str">
        <f>"MSW202202028717"</f>
        <v>MSW202202028717</v>
      </c>
      <c r="H1521" t="str">
        <f>"AP - SCOTT &amp; WHITE MEDICAL"</f>
        <v>AP - SCOTT &amp; WHITE MEDICAL</v>
      </c>
      <c r="I1521" s="4">
        <v>119.69</v>
      </c>
      <c r="J1521" t="str">
        <f>"AP - SCOTT &amp; WHITE MEDICAL"</f>
        <v>AP - SCOTT &amp; WHITE MEDICAL</v>
      </c>
    </row>
    <row r="1522" spans="1:10" x14ac:dyDescent="0.25">
      <c r="A1522" t="str">
        <f>""</f>
        <v/>
      </c>
      <c r="B1522" t="str">
        <f>""</f>
        <v/>
      </c>
      <c r="G1522" t="str">
        <f>"SPE202202028717"</f>
        <v>SPE202202028717</v>
      </c>
      <c r="H1522" t="str">
        <f>"AP - STATE VISION"</f>
        <v>AP - STATE VISION</v>
      </c>
      <c r="I1522" s="4">
        <v>52.39</v>
      </c>
      <c r="J1522" t="str">
        <f>"AP - STATE VISION"</f>
        <v>AP - STATE VISION</v>
      </c>
    </row>
    <row r="1523" spans="1:10" x14ac:dyDescent="0.25">
      <c r="A1523" t="str">
        <f>"01"</f>
        <v>01</v>
      </c>
      <c r="B1523" t="str">
        <f>"T12180"</f>
        <v>T12180</v>
      </c>
      <c r="C1523" t="s">
        <v>513</v>
      </c>
      <c r="D1523">
        <v>1608</v>
      </c>
      <c r="E1523" s="4">
        <v>1959.27</v>
      </c>
      <c r="F1523" s="5">
        <v>44610</v>
      </c>
      <c r="G1523" t="str">
        <f>"DHM202202169063"</f>
        <v>DHM202202169063</v>
      </c>
      <c r="H1523" t="str">
        <f>"AP - DENTAL HMO"</f>
        <v>AP - DENTAL HMO</v>
      </c>
      <c r="I1523" s="4">
        <v>4.8</v>
      </c>
      <c r="J1523" t="str">
        <f>"AP - DENTAL HMO"</f>
        <v>AP - DENTAL HMO</v>
      </c>
    </row>
    <row r="1524" spans="1:10" x14ac:dyDescent="0.25">
      <c r="A1524" t="str">
        <f>""</f>
        <v/>
      </c>
      <c r="B1524" t="str">
        <f>""</f>
        <v/>
      </c>
      <c r="G1524" t="str">
        <f>"DTX202202169063"</f>
        <v>DTX202202169063</v>
      </c>
      <c r="H1524" t="str">
        <f>"AP - TEXAS DENTAL"</f>
        <v>AP - TEXAS DENTAL</v>
      </c>
      <c r="I1524" s="4">
        <v>488.61</v>
      </c>
      <c r="J1524" t="str">
        <f>"AP - TEXAS DENTAL"</f>
        <v>AP - TEXAS DENTAL</v>
      </c>
    </row>
    <row r="1525" spans="1:10" x14ac:dyDescent="0.25">
      <c r="A1525" t="str">
        <f>""</f>
        <v/>
      </c>
      <c r="B1525" t="str">
        <f>""</f>
        <v/>
      </c>
      <c r="G1525" t="str">
        <f>"FD 202202169063"</f>
        <v>FD 202202169063</v>
      </c>
      <c r="H1525" t="str">
        <f>"AP - FT DEARBORN PRE-TAX"</f>
        <v>AP - FT DEARBORN PRE-TAX</v>
      </c>
      <c r="I1525" s="4">
        <v>69.73</v>
      </c>
      <c r="J1525" t="str">
        <f>"AP - FT DEARBORN PRE-TAX"</f>
        <v>AP - FT DEARBORN PRE-TAX</v>
      </c>
    </row>
    <row r="1526" spans="1:10" x14ac:dyDescent="0.25">
      <c r="A1526" t="str">
        <f>""</f>
        <v/>
      </c>
      <c r="B1526" t="str">
        <f>""</f>
        <v/>
      </c>
      <c r="G1526" t="str">
        <f>"FDT202202169063"</f>
        <v>FDT202202169063</v>
      </c>
      <c r="H1526" t="str">
        <f>"AP - FT DEARBORN AFTER TAX"</f>
        <v>AP - FT DEARBORN AFTER TAX</v>
      </c>
      <c r="I1526" s="4">
        <v>83.37</v>
      </c>
      <c r="J1526" t="str">
        <f>"AP - FT DEARBORN AFTER TAX"</f>
        <v>AP - FT DEARBORN AFTER TAX</v>
      </c>
    </row>
    <row r="1527" spans="1:10" x14ac:dyDescent="0.25">
      <c r="A1527" t="str">
        <f>""</f>
        <v/>
      </c>
      <c r="B1527" t="str">
        <f>""</f>
        <v/>
      </c>
      <c r="G1527" t="str">
        <f>"FLX202202169063"</f>
        <v>FLX202202169063</v>
      </c>
      <c r="H1527" t="str">
        <f>"AP - TEX FLEX"</f>
        <v>AP - TEX FLEX</v>
      </c>
      <c r="I1527" s="4">
        <v>50</v>
      </c>
      <c r="J1527" t="str">
        <f>"AP - TEX FLEX"</f>
        <v>AP - TEX FLEX</v>
      </c>
    </row>
    <row r="1528" spans="1:10" x14ac:dyDescent="0.25">
      <c r="A1528" t="str">
        <f>""</f>
        <v/>
      </c>
      <c r="B1528" t="str">
        <f>""</f>
        <v/>
      </c>
      <c r="G1528" t="str">
        <f>"MHS202202169063"</f>
        <v>MHS202202169063</v>
      </c>
      <c r="H1528" t="str">
        <f>"AP - HEALTH SELECT MEDICAL"</f>
        <v>AP - HEALTH SELECT MEDICAL</v>
      </c>
      <c r="I1528" s="4">
        <v>1090.68</v>
      </c>
      <c r="J1528" t="str">
        <f>"AP - HEALTH SELECT MEDICAL"</f>
        <v>AP - HEALTH SELECT MEDICAL</v>
      </c>
    </row>
    <row r="1529" spans="1:10" x14ac:dyDescent="0.25">
      <c r="A1529" t="str">
        <f>""</f>
        <v/>
      </c>
      <c r="B1529" t="str">
        <f>""</f>
        <v/>
      </c>
      <c r="G1529" t="str">
        <f>"MSW202202169063"</f>
        <v>MSW202202169063</v>
      </c>
      <c r="H1529" t="str">
        <f>"AP - SCOTT &amp; WHITE MEDICAL"</f>
        <v>AP - SCOTT &amp; WHITE MEDICAL</v>
      </c>
      <c r="I1529" s="4">
        <v>119.69</v>
      </c>
      <c r="J1529" t="str">
        <f>"AP - SCOTT &amp; WHITE MEDICAL"</f>
        <v>AP - SCOTT &amp; WHITE MEDICAL</v>
      </c>
    </row>
    <row r="1530" spans="1:10" x14ac:dyDescent="0.25">
      <c r="A1530" t="str">
        <f>""</f>
        <v/>
      </c>
      <c r="B1530" t="str">
        <f>""</f>
        <v/>
      </c>
      <c r="G1530" t="str">
        <f>"SPE202202169063"</f>
        <v>SPE202202169063</v>
      </c>
      <c r="H1530" t="str">
        <f>"AP - STATE VISION"</f>
        <v>AP - STATE VISION</v>
      </c>
      <c r="I1530" s="4">
        <v>52.39</v>
      </c>
      <c r="J1530" t="str">
        <f>"AP - STATE VISION"</f>
        <v>AP - STATE VISION</v>
      </c>
    </row>
    <row r="1531" spans="1:10" x14ac:dyDescent="0.25">
      <c r="A1531" t="str">
        <f>"01"</f>
        <v>01</v>
      </c>
      <c r="B1531" t="str">
        <f>"COLONI"</f>
        <v>COLONI</v>
      </c>
      <c r="C1531" t="s">
        <v>514</v>
      </c>
      <c r="D1531">
        <v>1657</v>
      </c>
      <c r="E1531" s="4">
        <v>4218.3999999999996</v>
      </c>
      <c r="F1531" s="5">
        <v>44616</v>
      </c>
      <c r="G1531" t="str">
        <f>"202202249344"</f>
        <v>202202249344</v>
      </c>
      <c r="H1531" t="str">
        <f>"ADJ - FEBRUARY 2022"</f>
        <v>ADJ - FEBRUARY 2022</v>
      </c>
      <c r="I1531" s="4">
        <v>-44.94</v>
      </c>
      <c r="J1531" t="str">
        <f>"ADJ - FEBRUARY 2022"</f>
        <v>ADJ - FEBRUARY 2022</v>
      </c>
    </row>
    <row r="1532" spans="1:10" x14ac:dyDescent="0.25">
      <c r="A1532" t="str">
        <f>""</f>
        <v/>
      </c>
      <c r="B1532" t="str">
        <f>""</f>
        <v/>
      </c>
      <c r="G1532" t="str">
        <f>"202202249345"</f>
        <v>202202249345</v>
      </c>
      <c r="H1532" t="str">
        <f>"ROUNDING - FEBRUARY 2022"</f>
        <v>ROUNDING - FEBRUARY 2022</v>
      </c>
      <c r="I1532" s="4">
        <v>1.98</v>
      </c>
      <c r="J1532" t="str">
        <f>"ROUNDING - FEBRUARY 2022"</f>
        <v>ROUNDING - FEBRUARY 2022</v>
      </c>
    </row>
    <row r="1533" spans="1:10" x14ac:dyDescent="0.25">
      <c r="A1533" t="str">
        <f>""</f>
        <v/>
      </c>
      <c r="B1533" t="str">
        <f>""</f>
        <v/>
      </c>
      <c r="G1533" t="str">
        <f>"CL 202202028715"</f>
        <v>CL 202202028715</v>
      </c>
      <c r="H1533" t="str">
        <f t="shared" ref="H1533:H1552" si="50">"COLONIAL"</f>
        <v>COLONIAL</v>
      </c>
      <c r="I1533" s="4">
        <v>517.34</v>
      </c>
      <c r="J1533" t="str">
        <f t="shared" ref="J1533:J1552" si="51">"COLONIAL"</f>
        <v>COLONIAL</v>
      </c>
    </row>
    <row r="1534" spans="1:10" x14ac:dyDescent="0.25">
      <c r="A1534" t="str">
        <f>""</f>
        <v/>
      </c>
      <c r="B1534" t="str">
        <f>""</f>
        <v/>
      </c>
      <c r="G1534" t="str">
        <f>"CL 202202028716"</f>
        <v>CL 202202028716</v>
      </c>
      <c r="H1534" t="str">
        <f t="shared" si="50"/>
        <v>COLONIAL</v>
      </c>
      <c r="I1534" s="4">
        <v>14.49</v>
      </c>
      <c r="J1534" t="str">
        <f t="shared" si="51"/>
        <v>COLONIAL</v>
      </c>
    </row>
    <row r="1535" spans="1:10" x14ac:dyDescent="0.25">
      <c r="A1535" t="str">
        <f>""</f>
        <v/>
      </c>
      <c r="B1535" t="str">
        <f>""</f>
        <v/>
      </c>
      <c r="G1535" t="str">
        <f>"CL 202202169060"</f>
        <v>CL 202202169060</v>
      </c>
      <c r="H1535" t="str">
        <f t="shared" si="50"/>
        <v>COLONIAL</v>
      </c>
      <c r="I1535" s="4">
        <v>517.34</v>
      </c>
      <c r="J1535" t="str">
        <f t="shared" si="51"/>
        <v>COLONIAL</v>
      </c>
    </row>
    <row r="1536" spans="1:10" x14ac:dyDescent="0.25">
      <c r="A1536" t="str">
        <f>""</f>
        <v/>
      </c>
      <c r="B1536" t="str">
        <f>""</f>
        <v/>
      </c>
      <c r="G1536" t="str">
        <f>"CL 202202169062"</f>
        <v>CL 202202169062</v>
      </c>
      <c r="H1536" t="str">
        <f t="shared" si="50"/>
        <v>COLONIAL</v>
      </c>
      <c r="I1536" s="4">
        <v>14.49</v>
      </c>
      <c r="J1536" t="str">
        <f t="shared" si="51"/>
        <v>COLONIAL</v>
      </c>
    </row>
    <row r="1537" spans="1:10" x14ac:dyDescent="0.25">
      <c r="A1537" t="str">
        <f>""</f>
        <v/>
      </c>
      <c r="B1537" t="str">
        <f>""</f>
        <v/>
      </c>
      <c r="G1537" t="str">
        <f>"CLC202202028715"</f>
        <v>CLC202202028715</v>
      </c>
      <c r="H1537" t="str">
        <f t="shared" si="50"/>
        <v>COLONIAL</v>
      </c>
      <c r="I1537" s="4">
        <v>33.99</v>
      </c>
      <c r="J1537" t="str">
        <f t="shared" si="51"/>
        <v>COLONIAL</v>
      </c>
    </row>
    <row r="1538" spans="1:10" x14ac:dyDescent="0.25">
      <c r="A1538" t="str">
        <f>""</f>
        <v/>
      </c>
      <c r="B1538" t="str">
        <f>""</f>
        <v/>
      </c>
      <c r="G1538" t="str">
        <f>"CLC202202169060"</f>
        <v>CLC202202169060</v>
      </c>
      <c r="H1538" t="str">
        <f t="shared" si="50"/>
        <v>COLONIAL</v>
      </c>
      <c r="I1538" s="4">
        <v>33.99</v>
      </c>
      <c r="J1538" t="str">
        <f t="shared" si="51"/>
        <v>COLONIAL</v>
      </c>
    </row>
    <row r="1539" spans="1:10" x14ac:dyDescent="0.25">
      <c r="A1539" t="str">
        <f>""</f>
        <v/>
      </c>
      <c r="B1539" t="str">
        <f>""</f>
        <v/>
      </c>
      <c r="G1539" t="str">
        <f>"CLI202202028715"</f>
        <v>CLI202202028715</v>
      </c>
      <c r="H1539" t="str">
        <f t="shared" si="50"/>
        <v>COLONIAL</v>
      </c>
      <c r="I1539" s="4">
        <v>574.54</v>
      </c>
      <c r="J1539" t="str">
        <f t="shared" si="51"/>
        <v>COLONIAL</v>
      </c>
    </row>
    <row r="1540" spans="1:10" x14ac:dyDescent="0.25">
      <c r="A1540" t="str">
        <f>""</f>
        <v/>
      </c>
      <c r="B1540" t="str">
        <f>""</f>
        <v/>
      </c>
      <c r="G1540" t="str">
        <f>"CLI202202169060"</f>
        <v>CLI202202169060</v>
      </c>
      <c r="H1540" t="str">
        <f t="shared" si="50"/>
        <v>COLONIAL</v>
      </c>
      <c r="I1540" s="4">
        <v>574.54</v>
      </c>
      <c r="J1540" t="str">
        <f t="shared" si="51"/>
        <v>COLONIAL</v>
      </c>
    </row>
    <row r="1541" spans="1:10" x14ac:dyDescent="0.25">
      <c r="A1541" t="str">
        <f>""</f>
        <v/>
      </c>
      <c r="B1541" t="str">
        <f>""</f>
        <v/>
      </c>
      <c r="G1541" t="str">
        <f>"CLK202202028715"</f>
        <v>CLK202202028715</v>
      </c>
      <c r="H1541" t="str">
        <f t="shared" si="50"/>
        <v>COLONIAL</v>
      </c>
      <c r="I1541" s="4">
        <v>6.2</v>
      </c>
      <c r="J1541" t="str">
        <f t="shared" si="51"/>
        <v>COLONIAL</v>
      </c>
    </row>
    <row r="1542" spans="1:10" x14ac:dyDescent="0.25">
      <c r="A1542" t="str">
        <f>""</f>
        <v/>
      </c>
      <c r="B1542" t="str">
        <f>""</f>
        <v/>
      </c>
      <c r="G1542" t="str">
        <f>"CLK202202169060"</f>
        <v>CLK202202169060</v>
      </c>
      <c r="H1542" t="str">
        <f t="shared" si="50"/>
        <v>COLONIAL</v>
      </c>
      <c r="I1542" s="4">
        <v>6.2</v>
      </c>
      <c r="J1542" t="str">
        <f t="shared" si="51"/>
        <v>COLONIAL</v>
      </c>
    </row>
    <row r="1543" spans="1:10" x14ac:dyDescent="0.25">
      <c r="A1543" t="str">
        <f>""</f>
        <v/>
      </c>
      <c r="B1543" t="str">
        <f>""</f>
        <v/>
      </c>
      <c r="G1543" t="str">
        <f>"CLS202202028715"</f>
        <v>CLS202202028715</v>
      </c>
      <c r="H1543" t="str">
        <f t="shared" si="50"/>
        <v>COLONIAL</v>
      </c>
      <c r="I1543" s="4">
        <v>270.33</v>
      </c>
      <c r="J1543" t="str">
        <f t="shared" si="51"/>
        <v>COLONIAL</v>
      </c>
    </row>
    <row r="1544" spans="1:10" x14ac:dyDescent="0.25">
      <c r="A1544" t="str">
        <f>""</f>
        <v/>
      </c>
      <c r="B1544" t="str">
        <f>""</f>
        <v/>
      </c>
      <c r="G1544" t="str">
        <f>"CLS202202028716"</f>
        <v>CLS202202028716</v>
      </c>
      <c r="H1544" t="str">
        <f t="shared" si="50"/>
        <v>COLONIAL</v>
      </c>
      <c r="I1544" s="4">
        <v>67.41</v>
      </c>
      <c r="J1544" t="str">
        <f t="shared" si="51"/>
        <v>COLONIAL</v>
      </c>
    </row>
    <row r="1545" spans="1:10" x14ac:dyDescent="0.25">
      <c r="A1545" t="str">
        <f>""</f>
        <v/>
      </c>
      <c r="B1545" t="str">
        <f>""</f>
        <v/>
      </c>
      <c r="G1545" t="str">
        <f>"CLS202202169060"</f>
        <v>CLS202202169060</v>
      </c>
      <c r="H1545" t="str">
        <f t="shared" si="50"/>
        <v>COLONIAL</v>
      </c>
      <c r="I1545" s="4">
        <v>270.33</v>
      </c>
      <c r="J1545" t="str">
        <f t="shared" si="51"/>
        <v>COLONIAL</v>
      </c>
    </row>
    <row r="1546" spans="1:10" x14ac:dyDescent="0.25">
      <c r="A1546" t="str">
        <f>""</f>
        <v/>
      </c>
      <c r="B1546" t="str">
        <f>""</f>
        <v/>
      </c>
      <c r="G1546" t="str">
        <f>"CLS202202169062"</f>
        <v>CLS202202169062</v>
      </c>
      <c r="H1546" t="str">
        <f t="shared" si="50"/>
        <v>COLONIAL</v>
      </c>
      <c r="I1546" s="4">
        <v>22.47</v>
      </c>
      <c r="J1546" t="str">
        <f t="shared" si="51"/>
        <v>COLONIAL</v>
      </c>
    </row>
    <row r="1547" spans="1:10" x14ac:dyDescent="0.25">
      <c r="A1547" t="str">
        <f>""</f>
        <v/>
      </c>
      <c r="B1547" t="str">
        <f>""</f>
        <v/>
      </c>
      <c r="G1547" t="str">
        <f>"CLT202202028715"</f>
        <v>CLT202202028715</v>
      </c>
      <c r="H1547" t="str">
        <f t="shared" si="50"/>
        <v>COLONIAL</v>
      </c>
      <c r="I1547" s="4">
        <v>349.2</v>
      </c>
      <c r="J1547" t="str">
        <f t="shared" si="51"/>
        <v>COLONIAL</v>
      </c>
    </row>
    <row r="1548" spans="1:10" x14ac:dyDescent="0.25">
      <c r="A1548" t="str">
        <f>""</f>
        <v/>
      </c>
      <c r="B1548" t="str">
        <f>""</f>
        <v/>
      </c>
      <c r="G1548" t="str">
        <f>"CLT202202169060"</f>
        <v>CLT202202169060</v>
      </c>
      <c r="H1548" t="str">
        <f t="shared" si="50"/>
        <v>COLONIAL</v>
      </c>
      <c r="I1548" s="4">
        <v>349.2</v>
      </c>
      <c r="J1548" t="str">
        <f t="shared" si="51"/>
        <v>COLONIAL</v>
      </c>
    </row>
    <row r="1549" spans="1:10" x14ac:dyDescent="0.25">
      <c r="A1549" t="str">
        <f>""</f>
        <v/>
      </c>
      <c r="B1549" t="str">
        <f>""</f>
        <v/>
      </c>
      <c r="G1549" t="str">
        <f>"CLU202202028715"</f>
        <v>CLU202202028715</v>
      </c>
      <c r="H1549" t="str">
        <f t="shared" si="50"/>
        <v>COLONIAL</v>
      </c>
      <c r="I1549" s="4">
        <v>61.22</v>
      </c>
      <c r="J1549" t="str">
        <f t="shared" si="51"/>
        <v>COLONIAL</v>
      </c>
    </row>
    <row r="1550" spans="1:10" x14ac:dyDescent="0.25">
      <c r="A1550" t="str">
        <f>""</f>
        <v/>
      </c>
      <c r="B1550" t="str">
        <f>""</f>
        <v/>
      </c>
      <c r="G1550" t="str">
        <f>"CLU202202169060"</f>
        <v>CLU202202169060</v>
      </c>
      <c r="H1550" t="str">
        <f t="shared" si="50"/>
        <v>COLONIAL</v>
      </c>
      <c r="I1550" s="4">
        <v>61.22</v>
      </c>
      <c r="J1550" t="str">
        <f t="shared" si="51"/>
        <v>COLONIAL</v>
      </c>
    </row>
    <row r="1551" spans="1:10" x14ac:dyDescent="0.25">
      <c r="A1551" t="str">
        <f>""</f>
        <v/>
      </c>
      <c r="B1551" t="str">
        <f>""</f>
        <v/>
      </c>
      <c r="G1551" t="str">
        <f>"CLW202202028715"</f>
        <v>CLW202202028715</v>
      </c>
      <c r="H1551" t="str">
        <f t="shared" si="50"/>
        <v>COLONIAL</v>
      </c>
      <c r="I1551" s="4">
        <v>258.43</v>
      </c>
      <c r="J1551" t="str">
        <f t="shared" si="51"/>
        <v>COLONIAL</v>
      </c>
    </row>
    <row r="1552" spans="1:10" x14ac:dyDescent="0.25">
      <c r="A1552" t="str">
        <f>""</f>
        <v/>
      </c>
      <c r="B1552" t="str">
        <f>""</f>
        <v/>
      </c>
      <c r="G1552" t="str">
        <f>"CLW202202169060"</f>
        <v>CLW202202169060</v>
      </c>
      <c r="H1552" t="str">
        <f t="shared" si="50"/>
        <v>COLONIAL</v>
      </c>
      <c r="I1552" s="4">
        <v>258.43</v>
      </c>
      <c r="J1552" t="str">
        <f t="shared" si="51"/>
        <v>COLONIAL</v>
      </c>
    </row>
    <row r="1553" spans="1:10" x14ac:dyDescent="0.25">
      <c r="A1553" t="str">
        <f>"01"</f>
        <v>01</v>
      </c>
      <c r="B1553" t="str">
        <f>"GUARD"</f>
        <v>GUARD</v>
      </c>
      <c r="C1553" t="s">
        <v>515</v>
      </c>
      <c r="D1553">
        <v>1652</v>
      </c>
      <c r="E1553" s="4">
        <v>41579.660000000003</v>
      </c>
      <c r="F1553" s="5">
        <v>44616</v>
      </c>
      <c r="G1553" t="str">
        <f>"202202249351"</f>
        <v>202202249351</v>
      </c>
      <c r="H1553" t="str">
        <f>"ADJ - FEBRUARY 2022"</f>
        <v>ADJ - FEBRUARY 2022</v>
      </c>
      <c r="I1553" s="4">
        <v>-1017.24</v>
      </c>
      <c r="J1553" t="str">
        <f>"ADJ - FEBRUARY 2022"</f>
        <v>ADJ - FEBRUARY 2022</v>
      </c>
    </row>
    <row r="1554" spans="1:10" x14ac:dyDescent="0.25">
      <c r="A1554" t="str">
        <f>""</f>
        <v/>
      </c>
      <c r="B1554" t="str">
        <f>""</f>
        <v/>
      </c>
      <c r="G1554" t="str">
        <f>"202202249352"</f>
        <v>202202249352</v>
      </c>
      <c r="H1554" t="str">
        <f>"RETIREE INS - FEBRUARY 2022"</f>
        <v>RETIREE INS - FEBRUARY 2022</v>
      </c>
      <c r="I1554" s="4">
        <v>3703.84</v>
      </c>
      <c r="J1554" t="str">
        <f>"RETIREE INS - FEBRUARY 2022"</f>
        <v>RETIREE INS - FEBRUARY 2022</v>
      </c>
    </row>
    <row r="1555" spans="1:10" x14ac:dyDescent="0.25">
      <c r="A1555" t="str">
        <f>""</f>
        <v/>
      </c>
      <c r="B1555" t="str">
        <f>""</f>
        <v/>
      </c>
      <c r="G1555" t="str">
        <f>"202202249353"</f>
        <v>202202249353</v>
      </c>
      <c r="H1555" t="str">
        <f>"COBRA - FEBRUARY 2022"</f>
        <v>COBRA - FEBRUARY 2022</v>
      </c>
      <c r="I1555" s="4">
        <v>87.6</v>
      </c>
      <c r="J1555" t="str">
        <f>"COBRA - FEBRUARY 2022"</f>
        <v>COBRA - FEBRUARY 2022</v>
      </c>
    </row>
    <row r="1556" spans="1:10" x14ac:dyDescent="0.25">
      <c r="A1556" t="str">
        <f>""</f>
        <v/>
      </c>
      <c r="B1556" t="str">
        <f>""</f>
        <v/>
      </c>
      <c r="G1556" t="str">
        <f>"ADC202202028715"</f>
        <v>ADC202202028715</v>
      </c>
      <c r="H1556" t="str">
        <f t="shared" ref="H1556:H1568" si="52">"GUARDIAN"</f>
        <v>GUARDIAN</v>
      </c>
      <c r="I1556" s="4">
        <v>4.45</v>
      </c>
      <c r="J1556" t="str">
        <f t="shared" ref="J1556:J1619" si="53">"GUARDIAN"</f>
        <v>GUARDIAN</v>
      </c>
    </row>
    <row r="1557" spans="1:10" x14ac:dyDescent="0.25">
      <c r="A1557" t="str">
        <f>""</f>
        <v/>
      </c>
      <c r="B1557" t="str">
        <f>""</f>
        <v/>
      </c>
      <c r="G1557" t="str">
        <f>"ADC202202028716"</f>
        <v>ADC202202028716</v>
      </c>
      <c r="H1557" t="str">
        <f t="shared" si="52"/>
        <v>GUARDIAN</v>
      </c>
      <c r="I1557" s="4">
        <v>0.16</v>
      </c>
      <c r="J1557" t="str">
        <f t="shared" si="53"/>
        <v>GUARDIAN</v>
      </c>
    </row>
    <row r="1558" spans="1:10" x14ac:dyDescent="0.25">
      <c r="A1558" t="str">
        <f>""</f>
        <v/>
      </c>
      <c r="B1558" t="str">
        <f>""</f>
        <v/>
      </c>
      <c r="G1558" t="str">
        <f>"ADC202202169060"</f>
        <v>ADC202202169060</v>
      </c>
      <c r="H1558" t="str">
        <f t="shared" si="52"/>
        <v>GUARDIAN</v>
      </c>
      <c r="I1558" s="4">
        <v>4.45</v>
      </c>
      <c r="J1558" t="str">
        <f t="shared" si="53"/>
        <v>GUARDIAN</v>
      </c>
    </row>
    <row r="1559" spans="1:10" x14ac:dyDescent="0.25">
      <c r="A1559" t="str">
        <f>""</f>
        <v/>
      </c>
      <c r="B1559" t="str">
        <f>""</f>
        <v/>
      </c>
      <c r="G1559" t="str">
        <f>"ADC202202169062"</f>
        <v>ADC202202169062</v>
      </c>
      <c r="H1559" t="str">
        <f t="shared" si="52"/>
        <v>GUARDIAN</v>
      </c>
      <c r="I1559" s="4">
        <v>0.16</v>
      </c>
      <c r="J1559" t="str">
        <f t="shared" si="53"/>
        <v>GUARDIAN</v>
      </c>
    </row>
    <row r="1560" spans="1:10" x14ac:dyDescent="0.25">
      <c r="A1560" t="str">
        <f>""</f>
        <v/>
      </c>
      <c r="B1560" t="str">
        <f>""</f>
        <v/>
      </c>
      <c r="G1560" t="str">
        <f>"ADE202202028715"</f>
        <v>ADE202202028715</v>
      </c>
      <c r="H1560" t="str">
        <f t="shared" si="52"/>
        <v>GUARDIAN</v>
      </c>
      <c r="I1560" s="4">
        <v>223.58</v>
      </c>
      <c r="J1560" t="str">
        <f t="shared" si="53"/>
        <v>GUARDIAN</v>
      </c>
    </row>
    <row r="1561" spans="1:10" x14ac:dyDescent="0.25">
      <c r="A1561" t="str">
        <f>""</f>
        <v/>
      </c>
      <c r="B1561" t="str">
        <f>""</f>
        <v/>
      </c>
      <c r="G1561" t="str">
        <f>"ADE202202028716"</f>
        <v>ADE202202028716</v>
      </c>
      <c r="H1561" t="str">
        <f t="shared" si="52"/>
        <v>GUARDIAN</v>
      </c>
      <c r="I1561" s="4">
        <v>2.5499999999999998</v>
      </c>
      <c r="J1561" t="str">
        <f t="shared" si="53"/>
        <v>GUARDIAN</v>
      </c>
    </row>
    <row r="1562" spans="1:10" x14ac:dyDescent="0.25">
      <c r="A1562" t="str">
        <f>""</f>
        <v/>
      </c>
      <c r="B1562" t="str">
        <f>""</f>
        <v/>
      </c>
      <c r="G1562" t="str">
        <f>"ADE202202169060"</f>
        <v>ADE202202169060</v>
      </c>
      <c r="H1562" t="str">
        <f t="shared" si="52"/>
        <v>GUARDIAN</v>
      </c>
      <c r="I1562" s="4">
        <v>223.58</v>
      </c>
      <c r="J1562" t="str">
        <f t="shared" si="53"/>
        <v>GUARDIAN</v>
      </c>
    </row>
    <row r="1563" spans="1:10" x14ac:dyDescent="0.25">
      <c r="A1563" t="str">
        <f>""</f>
        <v/>
      </c>
      <c r="B1563" t="str">
        <f>""</f>
        <v/>
      </c>
      <c r="G1563" t="str">
        <f>"ADE202202169062"</f>
        <v>ADE202202169062</v>
      </c>
      <c r="H1563" t="str">
        <f t="shared" si="52"/>
        <v>GUARDIAN</v>
      </c>
      <c r="I1563" s="4">
        <v>2.5499999999999998</v>
      </c>
      <c r="J1563" t="str">
        <f t="shared" si="53"/>
        <v>GUARDIAN</v>
      </c>
    </row>
    <row r="1564" spans="1:10" x14ac:dyDescent="0.25">
      <c r="A1564" t="str">
        <f>""</f>
        <v/>
      </c>
      <c r="B1564" t="str">
        <f>""</f>
        <v/>
      </c>
      <c r="G1564" t="str">
        <f>"ADS202202028715"</f>
        <v>ADS202202028715</v>
      </c>
      <c r="H1564" t="str">
        <f t="shared" si="52"/>
        <v>GUARDIAN</v>
      </c>
      <c r="I1564" s="4">
        <v>36.76</v>
      </c>
      <c r="J1564" t="str">
        <f t="shared" si="53"/>
        <v>GUARDIAN</v>
      </c>
    </row>
    <row r="1565" spans="1:10" x14ac:dyDescent="0.25">
      <c r="A1565" t="str">
        <f>""</f>
        <v/>
      </c>
      <c r="B1565" t="str">
        <f>""</f>
        <v/>
      </c>
      <c r="G1565" t="str">
        <f>"ADS202202028716"</f>
        <v>ADS202202028716</v>
      </c>
      <c r="H1565" t="str">
        <f t="shared" si="52"/>
        <v>GUARDIAN</v>
      </c>
      <c r="I1565" s="4">
        <v>0.53</v>
      </c>
      <c r="J1565" t="str">
        <f t="shared" si="53"/>
        <v>GUARDIAN</v>
      </c>
    </row>
    <row r="1566" spans="1:10" x14ac:dyDescent="0.25">
      <c r="A1566" t="str">
        <f>""</f>
        <v/>
      </c>
      <c r="B1566" t="str">
        <f>""</f>
        <v/>
      </c>
      <c r="G1566" t="str">
        <f>"ADS202202169060"</f>
        <v>ADS202202169060</v>
      </c>
      <c r="H1566" t="str">
        <f t="shared" si="52"/>
        <v>GUARDIAN</v>
      </c>
      <c r="I1566" s="4">
        <v>36.76</v>
      </c>
      <c r="J1566" t="str">
        <f t="shared" si="53"/>
        <v>GUARDIAN</v>
      </c>
    </row>
    <row r="1567" spans="1:10" x14ac:dyDescent="0.25">
      <c r="A1567" t="str">
        <f>""</f>
        <v/>
      </c>
      <c r="B1567" t="str">
        <f>""</f>
        <v/>
      </c>
      <c r="G1567" t="str">
        <f>"ADS202202169062"</f>
        <v>ADS202202169062</v>
      </c>
      <c r="H1567" t="str">
        <f t="shared" si="52"/>
        <v>GUARDIAN</v>
      </c>
      <c r="I1567" s="4">
        <v>0.53</v>
      </c>
      <c r="J1567" t="str">
        <f t="shared" si="53"/>
        <v>GUARDIAN</v>
      </c>
    </row>
    <row r="1568" spans="1:10" x14ac:dyDescent="0.25">
      <c r="A1568" t="str">
        <f>""</f>
        <v/>
      </c>
      <c r="B1568" t="str">
        <f>""</f>
        <v/>
      </c>
      <c r="G1568" t="str">
        <f>"GDC202202028715"</f>
        <v>GDC202202028715</v>
      </c>
      <c r="H1568" t="str">
        <f t="shared" si="52"/>
        <v>GUARDIAN</v>
      </c>
      <c r="I1568" s="4">
        <v>15.39</v>
      </c>
      <c r="J1568" t="str">
        <f t="shared" si="53"/>
        <v>GUARDIAN</v>
      </c>
    </row>
    <row r="1569" spans="1:10" x14ac:dyDescent="0.25">
      <c r="A1569" t="str">
        <f>""</f>
        <v/>
      </c>
      <c r="B1569" t="str">
        <f>""</f>
        <v/>
      </c>
      <c r="G1569" t="str">
        <f>""</f>
        <v/>
      </c>
      <c r="H1569" t="str">
        <f>""</f>
        <v/>
      </c>
      <c r="I1569" s="4">
        <v>14.66</v>
      </c>
      <c r="J1569" t="str">
        <f t="shared" si="53"/>
        <v>GUARDIAN</v>
      </c>
    </row>
    <row r="1570" spans="1:10" x14ac:dyDescent="0.25">
      <c r="A1570" t="str">
        <f>""</f>
        <v/>
      </c>
      <c r="B1570" t="str">
        <f>""</f>
        <v/>
      </c>
      <c r="G1570" t="str">
        <f>""</f>
        <v/>
      </c>
      <c r="H1570" t="str">
        <f>""</f>
        <v/>
      </c>
      <c r="I1570" s="4">
        <v>30.78</v>
      </c>
      <c r="J1570" t="str">
        <f t="shared" si="53"/>
        <v>GUARDIAN</v>
      </c>
    </row>
    <row r="1571" spans="1:10" x14ac:dyDescent="0.25">
      <c r="A1571" t="str">
        <f>""</f>
        <v/>
      </c>
      <c r="B1571" t="str">
        <f>""</f>
        <v/>
      </c>
      <c r="G1571" t="str">
        <f>""</f>
        <v/>
      </c>
      <c r="H1571" t="str">
        <f>""</f>
        <v/>
      </c>
      <c r="I1571" s="4">
        <v>46.17</v>
      </c>
      <c r="J1571" t="str">
        <f t="shared" si="53"/>
        <v>GUARDIAN</v>
      </c>
    </row>
    <row r="1572" spans="1:10" x14ac:dyDescent="0.25">
      <c r="A1572" t="str">
        <f>""</f>
        <v/>
      </c>
      <c r="B1572" t="str">
        <f>""</f>
        <v/>
      </c>
      <c r="G1572" t="str">
        <f>""</f>
        <v/>
      </c>
      <c r="H1572" t="str">
        <f>""</f>
        <v/>
      </c>
      <c r="I1572" s="4">
        <v>13.2</v>
      </c>
      <c r="J1572" t="str">
        <f t="shared" si="53"/>
        <v>GUARDIAN</v>
      </c>
    </row>
    <row r="1573" spans="1:10" x14ac:dyDescent="0.25">
      <c r="A1573" t="str">
        <f>""</f>
        <v/>
      </c>
      <c r="B1573" t="str">
        <f>""</f>
        <v/>
      </c>
      <c r="G1573" t="str">
        <f>""</f>
        <v/>
      </c>
      <c r="H1573" t="str">
        <f>""</f>
        <v/>
      </c>
      <c r="I1573" s="4">
        <v>15.39</v>
      </c>
      <c r="J1573" t="str">
        <f t="shared" si="53"/>
        <v>GUARDIAN</v>
      </c>
    </row>
    <row r="1574" spans="1:10" x14ac:dyDescent="0.25">
      <c r="A1574" t="str">
        <f>""</f>
        <v/>
      </c>
      <c r="B1574" t="str">
        <f>""</f>
        <v/>
      </c>
      <c r="G1574" t="str">
        <f>""</f>
        <v/>
      </c>
      <c r="H1574" t="str">
        <f>""</f>
        <v/>
      </c>
      <c r="I1574" s="4">
        <v>30.78</v>
      </c>
      <c r="J1574" t="str">
        <f t="shared" si="53"/>
        <v>GUARDIAN</v>
      </c>
    </row>
    <row r="1575" spans="1:10" x14ac:dyDescent="0.25">
      <c r="A1575" t="str">
        <f>""</f>
        <v/>
      </c>
      <c r="B1575" t="str">
        <f>""</f>
        <v/>
      </c>
      <c r="G1575" t="str">
        <f>""</f>
        <v/>
      </c>
      <c r="H1575" t="str">
        <f>""</f>
        <v/>
      </c>
      <c r="I1575" s="4">
        <v>15.39</v>
      </c>
      <c r="J1575" t="str">
        <f t="shared" si="53"/>
        <v>GUARDIAN</v>
      </c>
    </row>
    <row r="1576" spans="1:10" x14ac:dyDescent="0.25">
      <c r="A1576" t="str">
        <f>""</f>
        <v/>
      </c>
      <c r="B1576" t="str">
        <f>""</f>
        <v/>
      </c>
      <c r="G1576" t="str">
        <f>""</f>
        <v/>
      </c>
      <c r="H1576" t="str">
        <f>""</f>
        <v/>
      </c>
      <c r="I1576" s="4">
        <v>46.17</v>
      </c>
      <c r="J1576" t="str">
        <f t="shared" si="53"/>
        <v>GUARDIAN</v>
      </c>
    </row>
    <row r="1577" spans="1:10" x14ac:dyDescent="0.25">
      <c r="A1577" t="str">
        <f>""</f>
        <v/>
      </c>
      <c r="B1577" t="str">
        <f>""</f>
        <v/>
      </c>
      <c r="G1577" t="str">
        <f>""</f>
        <v/>
      </c>
      <c r="H1577" t="str">
        <f>""</f>
        <v/>
      </c>
      <c r="I1577" s="4">
        <v>45.43</v>
      </c>
      <c r="J1577" t="str">
        <f t="shared" si="53"/>
        <v>GUARDIAN</v>
      </c>
    </row>
    <row r="1578" spans="1:10" x14ac:dyDescent="0.25">
      <c r="A1578" t="str">
        <f>""</f>
        <v/>
      </c>
      <c r="B1578" t="str">
        <f>""</f>
        <v/>
      </c>
      <c r="G1578" t="str">
        <f>""</f>
        <v/>
      </c>
      <c r="H1578" t="str">
        <f>""</f>
        <v/>
      </c>
      <c r="I1578" s="4">
        <v>46.17</v>
      </c>
      <c r="J1578" t="str">
        <f t="shared" si="53"/>
        <v>GUARDIAN</v>
      </c>
    </row>
    <row r="1579" spans="1:10" x14ac:dyDescent="0.25">
      <c r="A1579" t="str">
        <f>""</f>
        <v/>
      </c>
      <c r="B1579" t="str">
        <f>""</f>
        <v/>
      </c>
      <c r="G1579" t="str">
        <f>""</f>
        <v/>
      </c>
      <c r="H1579" t="str">
        <f>""</f>
        <v/>
      </c>
      <c r="I1579" s="4">
        <v>15.39</v>
      </c>
      <c r="J1579" t="str">
        <f t="shared" si="53"/>
        <v>GUARDIAN</v>
      </c>
    </row>
    <row r="1580" spans="1:10" x14ac:dyDescent="0.25">
      <c r="A1580" t="str">
        <f>""</f>
        <v/>
      </c>
      <c r="B1580" t="str">
        <f>""</f>
        <v/>
      </c>
      <c r="G1580" t="str">
        <f>""</f>
        <v/>
      </c>
      <c r="H1580" t="str">
        <f>""</f>
        <v/>
      </c>
      <c r="I1580" s="4">
        <v>61.56</v>
      </c>
      <c r="J1580" t="str">
        <f t="shared" si="53"/>
        <v>GUARDIAN</v>
      </c>
    </row>
    <row r="1581" spans="1:10" x14ac:dyDescent="0.25">
      <c r="A1581" t="str">
        <f>""</f>
        <v/>
      </c>
      <c r="B1581" t="str">
        <f>""</f>
        <v/>
      </c>
      <c r="G1581" t="str">
        <f>""</f>
        <v/>
      </c>
      <c r="H1581" t="str">
        <f>""</f>
        <v/>
      </c>
      <c r="I1581" s="4">
        <v>15.39</v>
      </c>
      <c r="J1581" t="str">
        <f t="shared" si="53"/>
        <v>GUARDIAN</v>
      </c>
    </row>
    <row r="1582" spans="1:10" x14ac:dyDescent="0.25">
      <c r="A1582" t="str">
        <f>""</f>
        <v/>
      </c>
      <c r="B1582" t="str">
        <f>""</f>
        <v/>
      </c>
      <c r="G1582" t="str">
        <f>""</f>
        <v/>
      </c>
      <c r="H1582" t="str">
        <f>""</f>
        <v/>
      </c>
      <c r="I1582" s="4">
        <v>30.78</v>
      </c>
      <c r="J1582" t="str">
        <f t="shared" si="53"/>
        <v>GUARDIAN</v>
      </c>
    </row>
    <row r="1583" spans="1:10" x14ac:dyDescent="0.25">
      <c r="A1583" t="str">
        <f>""</f>
        <v/>
      </c>
      <c r="B1583" t="str">
        <f>""</f>
        <v/>
      </c>
      <c r="G1583" t="str">
        <f>""</f>
        <v/>
      </c>
      <c r="H1583" t="str">
        <f>""</f>
        <v/>
      </c>
      <c r="I1583" s="4">
        <v>76.95</v>
      </c>
      <c r="J1583" t="str">
        <f t="shared" si="53"/>
        <v>GUARDIAN</v>
      </c>
    </row>
    <row r="1584" spans="1:10" x14ac:dyDescent="0.25">
      <c r="A1584" t="str">
        <f>""</f>
        <v/>
      </c>
      <c r="B1584" t="str">
        <f>""</f>
        <v/>
      </c>
      <c r="G1584" t="str">
        <f>""</f>
        <v/>
      </c>
      <c r="H1584" t="str">
        <f>""</f>
        <v/>
      </c>
      <c r="I1584" s="4">
        <v>15.39</v>
      </c>
      <c r="J1584" t="str">
        <f t="shared" si="53"/>
        <v>GUARDIAN</v>
      </c>
    </row>
    <row r="1585" spans="1:10" x14ac:dyDescent="0.25">
      <c r="A1585" t="str">
        <f>""</f>
        <v/>
      </c>
      <c r="B1585" t="str">
        <f>""</f>
        <v/>
      </c>
      <c r="G1585" t="str">
        <f>""</f>
        <v/>
      </c>
      <c r="H1585" t="str">
        <f>""</f>
        <v/>
      </c>
      <c r="I1585" s="4">
        <v>248.92</v>
      </c>
      <c r="J1585" t="str">
        <f t="shared" si="53"/>
        <v>GUARDIAN</v>
      </c>
    </row>
    <row r="1586" spans="1:10" x14ac:dyDescent="0.25">
      <c r="A1586" t="str">
        <f>""</f>
        <v/>
      </c>
      <c r="B1586" t="str">
        <f>""</f>
        <v/>
      </c>
      <c r="G1586" t="str">
        <f>""</f>
        <v/>
      </c>
      <c r="H1586" t="str">
        <f>""</f>
        <v/>
      </c>
      <c r="I1586" s="4">
        <v>14.93</v>
      </c>
      <c r="J1586" t="str">
        <f t="shared" si="53"/>
        <v>GUARDIAN</v>
      </c>
    </row>
    <row r="1587" spans="1:10" x14ac:dyDescent="0.25">
      <c r="A1587" t="str">
        <f>""</f>
        <v/>
      </c>
      <c r="B1587" t="str">
        <f>""</f>
        <v/>
      </c>
      <c r="G1587" t="str">
        <f>""</f>
        <v/>
      </c>
      <c r="H1587" t="str">
        <f>""</f>
        <v/>
      </c>
      <c r="I1587" s="4">
        <v>213.24</v>
      </c>
      <c r="J1587" t="str">
        <f t="shared" si="53"/>
        <v>GUARDIAN</v>
      </c>
    </row>
    <row r="1588" spans="1:10" x14ac:dyDescent="0.25">
      <c r="A1588" t="str">
        <f>""</f>
        <v/>
      </c>
      <c r="B1588" t="str">
        <f>""</f>
        <v/>
      </c>
      <c r="G1588" t="str">
        <f>""</f>
        <v/>
      </c>
      <c r="H1588" t="str">
        <f>""</f>
        <v/>
      </c>
      <c r="I1588" s="4">
        <v>15.39</v>
      </c>
      <c r="J1588" t="str">
        <f t="shared" si="53"/>
        <v>GUARDIAN</v>
      </c>
    </row>
    <row r="1589" spans="1:10" x14ac:dyDescent="0.25">
      <c r="A1589" t="str">
        <f>""</f>
        <v/>
      </c>
      <c r="B1589" t="str">
        <f>""</f>
        <v/>
      </c>
      <c r="G1589" t="str">
        <f>""</f>
        <v/>
      </c>
      <c r="H1589" t="str">
        <f>""</f>
        <v/>
      </c>
      <c r="I1589" s="4">
        <v>15.39</v>
      </c>
      <c r="J1589" t="str">
        <f t="shared" si="53"/>
        <v>GUARDIAN</v>
      </c>
    </row>
    <row r="1590" spans="1:10" x14ac:dyDescent="0.25">
      <c r="A1590" t="str">
        <f>""</f>
        <v/>
      </c>
      <c r="B1590" t="str">
        <f>""</f>
        <v/>
      </c>
      <c r="G1590" t="str">
        <f>""</f>
        <v/>
      </c>
      <c r="H1590" t="str">
        <f>""</f>
        <v/>
      </c>
      <c r="I1590" s="4">
        <v>15.39</v>
      </c>
      <c r="J1590" t="str">
        <f t="shared" si="53"/>
        <v>GUARDIAN</v>
      </c>
    </row>
    <row r="1591" spans="1:10" x14ac:dyDescent="0.25">
      <c r="A1591" t="str">
        <f>""</f>
        <v/>
      </c>
      <c r="B1591" t="str">
        <f>""</f>
        <v/>
      </c>
      <c r="G1591" t="str">
        <f>""</f>
        <v/>
      </c>
      <c r="H1591" t="str">
        <f>""</f>
        <v/>
      </c>
      <c r="I1591" s="4">
        <v>15.39</v>
      </c>
      <c r="J1591" t="str">
        <f t="shared" si="53"/>
        <v>GUARDIAN</v>
      </c>
    </row>
    <row r="1592" spans="1:10" x14ac:dyDescent="0.25">
      <c r="A1592" t="str">
        <f>""</f>
        <v/>
      </c>
      <c r="B1592" t="str">
        <f>""</f>
        <v/>
      </c>
      <c r="G1592" t="str">
        <f>""</f>
        <v/>
      </c>
      <c r="H1592" t="str">
        <f>""</f>
        <v/>
      </c>
      <c r="I1592" s="4">
        <v>15.39</v>
      </c>
      <c r="J1592" t="str">
        <f t="shared" si="53"/>
        <v>GUARDIAN</v>
      </c>
    </row>
    <row r="1593" spans="1:10" x14ac:dyDescent="0.25">
      <c r="A1593" t="str">
        <f>""</f>
        <v/>
      </c>
      <c r="B1593" t="str">
        <f>""</f>
        <v/>
      </c>
      <c r="G1593" t="str">
        <f>""</f>
        <v/>
      </c>
      <c r="H1593" t="str">
        <f>""</f>
        <v/>
      </c>
      <c r="I1593" s="4">
        <v>0.73</v>
      </c>
      <c r="J1593" t="str">
        <f t="shared" si="53"/>
        <v>GUARDIAN</v>
      </c>
    </row>
    <row r="1594" spans="1:10" x14ac:dyDescent="0.25">
      <c r="A1594" t="str">
        <f>""</f>
        <v/>
      </c>
      <c r="B1594" t="str">
        <f>""</f>
        <v/>
      </c>
      <c r="G1594" t="str">
        <f>""</f>
        <v/>
      </c>
      <c r="H1594" t="str">
        <f>""</f>
        <v/>
      </c>
      <c r="I1594" s="4">
        <v>15.39</v>
      </c>
      <c r="J1594" t="str">
        <f t="shared" si="53"/>
        <v>GUARDIAN</v>
      </c>
    </row>
    <row r="1595" spans="1:10" x14ac:dyDescent="0.25">
      <c r="A1595" t="str">
        <f>""</f>
        <v/>
      </c>
      <c r="B1595" t="str">
        <f>""</f>
        <v/>
      </c>
      <c r="G1595" t="str">
        <f>""</f>
        <v/>
      </c>
      <c r="H1595" t="str">
        <f>""</f>
        <v/>
      </c>
      <c r="I1595" s="4">
        <v>46.17</v>
      </c>
      <c r="J1595" t="str">
        <f t="shared" si="53"/>
        <v>GUARDIAN</v>
      </c>
    </row>
    <row r="1596" spans="1:10" x14ac:dyDescent="0.25">
      <c r="A1596" t="str">
        <f>""</f>
        <v/>
      </c>
      <c r="B1596" t="str">
        <f>""</f>
        <v/>
      </c>
      <c r="G1596" t="str">
        <f>""</f>
        <v/>
      </c>
      <c r="H1596" t="str">
        <f>""</f>
        <v/>
      </c>
      <c r="I1596" s="4">
        <v>15.39</v>
      </c>
      <c r="J1596" t="str">
        <f t="shared" si="53"/>
        <v>GUARDIAN</v>
      </c>
    </row>
    <row r="1597" spans="1:10" x14ac:dyDescent="0.25">
      <c r="A1597" t="str">
        <f>""</f>
        <v/>
      </c>
      <c r="B1597" t="str">
        <f>""</f>
        <v/>
      </c>
      <c r="G1597" t="str">
        <f>""</f>
        <v/>
      </c>
      <c r="H1597" t="str">
        <f>""</f>
        <v/>
      </c>
      <c r="I1597" s="4">
        <v>0.74</v>
      </c>
      <c r="J1597" t="str">
        <f t="shared" si="53"/>
        <v>GUARDIAN</v>
      </c>
    </row>
    <row r="1598" spans="1:10" x14ac:dyDescent="0.25">
      <c r="A1598" t="str">
        <f>""</f>
        <v/>
      </c>
      <c r="B1598" t="str">
        <f>""</f>
        <v/>
      </c>
      <c r="G1598" t="str">
        <f>""</f>
        <v/>
      </c>
      <c r="H1598" t="str">
        <f>""</f>
        <v/>
      </c>
      <c r="I1598" s="4">
        <v>2.19</v>
      </c>
      <c r="J1598" t="str">
        <f t="shared" si="53"/>
        <v>GUARDIAN</v>
      </c>
    </row>
    <row r="1599" spans="1:10" x14ac:dyDescent="0.25">
      <c r="A1599" t="str">
        <f>""</f>
        <v/>
      </c>
      <c r="B1599" t="str">
        <f>""</f>
        <v/>
      </c>
      <c r="G1599" t="str">
        <f>""</f>
        <v/>
      </c>
      <c r="H1599" t="str">
        <f>""</f>
        <v/>
      </c>
      <c r="I1599" s="4">
        <v>1411.32</v>
      </c>
      <c r="J1599" t="str">
        <f t="shared" si="53"/>
        <v>GUARDIAN</v>
      </c>
    </row>
    <row r="1600" spans="1:10" x14ac:dyDescent="0.25">
      <c r="A1600" t="str">
        <f>""</f>
        <v/>
      </c>
      <c r="B1600" t="str">
        <f>""</f>
        <v/>
      </c>
      <c r="G1600" t="str">
        <f>"GDC202202028716"</f>
        <v>GDC202202028716</v>
      </c>
      <c r="H1600" t="str">
        <f>"GUARDIAN"</f>
        <v>GUARDIAN</v>
      </c>
      <c r="I1600" s="4">
        <v>46.17</v>
      </c>
      <c r="J1600" t="str">
        <f t="shared" si="53"/>
        <v>GUARDIAN</v>
      </c>
    </row>
    <row r="1601" spans="1:10" x14ac:dyDescent="0.25">
      <c r="A1601" t="str">
        <f>""</f>
        <v/>
      </c>
      <c r="B1601" t="str">
        <f>""</f>
        <v/>
      </c>
      <c r="G1601" t="str">
        <f>""</f>
        <v/>
      </c>
      <c r="H1601" t="str">
        <f>""</f>
        <v/>
      </c>
      <c r="I1601" s="4">
        <v>55.71</v>
      </c>
      <c r="J1601" t="str">
        <f t="shared" si="53"/>
        <v>GUARDIAN</v>
      </c>
    </row>
    <row r="1602" spans="1:10" x14ac:dyDescent="0.25">
      <c r="A1602" t="str">
        <f>""</f>
        <v/>
      </c>
      <c r="B1602" t="str">
        <f>""</f>
        <v/>
      </c>
      <c r="G1602" t="str">
        <f>"GDC202202169060"</f>
        <v>GDC202202169060</v>
      </c>
      <c r="H1602" t="str">
        <f>"GUARDIAN"</f>
        <v>GUARDIAN</v>
      </c>
      <c r="I1602" s="4">
        <v>15.39</v>
      </c>
      <c r="J1602" t="str">
        <f t="shared" si="53"/>
        <v>GUARDIAN</v>
      </c>
    </row>
    <row r="1603" spans="1:10" x14ac:dyDescent="0.25">
      <c r="A1603" t="str">
        <f>""</f>
        <v/>
      </c>
      <c r="B1603" t="str">
        <f>""</f>
        <v/>
      </c>
      <c r="G1603" t="str">
        <f>""</f>
        <v/>
      </c>
      <c r="H1603" t="str">
        <f>""</f>
        <v/>
      </c>
      <c r="I1603" s="4">
        <v>7.59</v>
      </c>
      <c r="J1603" t="str">
        <f t="shared" si="53"/>
        <v>GUARDIAN</v>
      </c>
    </row>
    <row r="1604" spans="1:10" x14ac:dyDescent="0.25">
      <c r="A1604" t="str">
        <f>""</f>
        <v/>
      </c>
      <c r="B1604" t="str">
        <f>""</f>
        <v/>
      </c>
      <c r="G1604" t="str">
        <f>""</f>
        <v/>
      </c>
      <c r="H1604" t="str">
        <f>""</f>
        <v/>
      </c>
      <c r="I1604" s="4">
        <v>38.58</v>
      </c>
      <c r="J1604" t="str">
        <f t="shared" si="53"/>
        <v>GUARDIAN</v>
      </c>
    </row>
    <row r="1605" spans="1:10" x14ac:dyDescent="0.25">
      <c r="A1605" t="str">
        <f>""</f>
        <v/>
      </c>
      <c r="B1605" t="str">
        <f>""</f>
        <v/>
      </c>
      <c r="G1605" t="str">
        <f>""</f>
        <v/>
      </c>
      <c r="H1605" t="str">
        <f>""</f>
        <v/>
      </c>
      <c r="I1605" s="4">
        <v>46.17</v>
      </c>
      <c r="J1605" t="str">
        <f t="shared" si="53"/>
        <v>GUARDIAN</v>
      </c>
    </row>
    <row r="1606" spans="1:10" x14ac:dyDescent="0.25">
      <c r="A1606" t="str">
        <f>""</f>
        <v/>
      </c>
      <c r="B1606" t="str">
        <f>""</f>
        <v/>
      </c>
      <c r="G1606" t="str">
        <f>""</f>
        <v/>
      </c>
      <c r="H1606" t="str">
        <f>""</f>
        <v/>
      </c>
      <c r="I1606" s="4">
        <v>13.2</v>
      </c>
      <c r="J1606" t="str">
        <f t="shared" si="53"/>
        <v>GUARDIAN</v>
      </c>
    </row>
    <row r="1607" spans="1:10" x14ac:dyDescent="0.25">
      <c r="A1607" t="str">
        <f>""</f>
        <v/>
      </c>
      <c r="B1607" t="str">
        <f>""</f>
        <v/>
      </c>
      <c r="G1607" t="str">
        <f>""</f>
        <v/>
      </c>
      <c r="H1607" t="str">
        <f>""</f>
        <v/>
      </c>
      <c r="I1607" s="4">
        <v>15.39</v>
      </c>
      <c r="J1607" t="str">
        <f t="shared" si="53"/>
        <v>GUARDIAN</v>
      </c>
    </row>
    <row r="1608" spans="1:10" x14ac:dyDescent="0.25">
      <c r="A1608" t="str">
        <f>""</f>
        <v/>
      </c>
      <c r="B1608" t="str">
        <f>""</f>
        <v/>
      </c>
      <c r="G1608" t="str">
        <f>""</f>
        <v/>
      </c>
      <c r="H1608" t="str">
        <f>""</f>
        <v/>
      </c>
      <c r="I1608" s="4">
        <v>30.78</v>
      </c>
      <c r="J1608" t="str">
        <f t="shared" si="53"/>
        <v>GUARDIAN</v>
      </c>
    </row>
    <row r="1609" spans="1:10" x14ac:dyDescent="0.25">
      <c r="A1609" t="str">
        <f>""</f>
        <v/>
      </c>
      <c r="B1609" t="str">
        <f>""</f>
        <v/>
      </c>
      <c r="G1609" t="str">
        <f>""</f>
        <v/>
      </c>
      <c r="H1609" t="str">
        <f>""</f>
        <v/>
      </c>
      <c r="I1609" s="4">
        <v>15.39</v>
      </c>
      <c r="J1609" t="str">
        <f t="shared" si="53"/>
        <v>GUARDIAN</v>
      </c>
    </row>
    <row r="1610" spans="1:10" x14ac:dyDescent="0.25">
      <c r="A1610" t="str">
        <f>""</f>
        <v/>
      </c>
      <c r="B1610" t="str">
        <f>""</f>
        <v/>
      </c>
      <c r="G1610" t="str">
        <f>""</f>
        <v/>
      </c>
      <c r="H1610" t="str">
        <f>""</f>
        <v/>
      </c>
      <c r="I1610" s="4">
        <v>46.17</v>
      </c>
      <c r="J1610" t="str">
        <f t="shared" si="53"/>
        <v>GUARDIAN</v>
      </c>
    </row>
    <row r="1611" spans="1:10" x14ac:dyDescent="0.25">
      <c r="A1611" t="str">
        <f>""</f>
        <v/>
      </c>
      <c r="B1611" t="str">
        <f>""</f>
        <v/>
      </c>
      <c r="G1611" t="str">
        <f>""</f>
        <v/>
      </c>
      <c r="H1611" t="str">
        <f>""</f>
        <v/>
      </c>
      <c r="I1611" s="4">
        <v>45.43</v>
      </c>
      <c r="J1611" t="str">
        <f t="shared" si="53"/>
        <v>GUARDIAN</v>
      </c>
    </row>
    <row r="1612" spans="1:10" x14ac:dyDescent="0.25">
      <c r="A1612" t="str">
        <f>""</f>
        <v/>
      </c>
      <c r="B1612" t="str">
        <f>""</f>
        <v/>
      </c>
      <c r="G1612" t="str">
        <f>""</f>
        <v/>
      </c>
      <c r="H1612" t="str">
        <f>""</f>
        <v/>
      </c>
      <c r="I1612" s="4">
        <v>46.17</v>
      </c>
      <c r="J1612" t="str">
        <f t="shared" si="53"/>
        <v>GUARDIAN</v>
      </c>
    </row>
    <row r="1613" spans="1:10" x14ac:dyDescent="0.25">
      <c r="A1613" t="str">
        <f>""</f>
        <v/>
      </c>
      <c r="B1613" t="str">
        <f>""</f>
        <v/>
      </c>
      <c r="G1613" t="str">
        <f>""</f>
        <v/>
      </c>
      <c r="H1613" t="str">
        <f>""</f>
        <v/>
      </c>
      <c r="I1613" s="4">
        <v>15.39</v>
      </c>
      <c r="J1613" t="str">
        <f t="shared" si="53"/>
        <v>GUARDIAN</v>
      </c>
    </row>
    <row r="1614" spans="1:10" x14ac:dyDescent="0.25">
      <c r="A1614" t="str">
        <f>""</f>
        <v/>
      </c>
      <c r="B1614" t="str">
        <f>""</f>
        <v/>
      </c>
      <c r="G1614" t="str">
        <f>""</f>
        <v/>
      </c>
      <c r="H1614" t="str">
        <f>""</f>
        <v/>
      </c>
      <c r="I1614" s="4">
        <v>61.56</v>
      </c>
      <c r="J1614" t="str">
        <f t="shared" si="53"/>
        <v>GUARDIAN</v>
      </c>
    </row>
    <row r="1615" spans="1:10" x14ac:dyDescent="0.25">
      <c r="A1615" t="str">
        <f>""</f>
        <v/>
      </c>
      <c r="B1615" t="str">
        <f>""</f>
        <v/>
      </c>
      <c r="G1615" t="str">
        <f>""</f>
        <v/>
      </c>
      <c r="H1615" t="str">
        <f>""</f>
        <v/>
      </c>
      <c r="I1615" s="4">
        <v>15.39</v>
      </c>
      <c r="J1615" t="str">
        <f t="shared" si="53"/>
        <v>GUARDIAN</v>
      </c>
    </row>
    <row r="1616" spans="1:10" x14ac:dyDescent="0.25">
      <c r="A1616" t="str">
        <f>""</f>
        <v/>
      </c>
      <c r="B1616" t="str">
        <f>""</f>
        <v/>
      </c>
      <c r="G1616" t="str">
        <f>""</f>
        <v/>
      </c>
      <c r="H1616" t="str">
        <f>""</f>
        <v/>
      </c>
      <c r="I1616" s="4">
        <v>30.78</v>
      </c>
      <c r="J1616" t="str">
        <f t="shared" si="53"/>
        <v>GUARDIAN</v>
      </c>
    </row>
    <row r="1617" spans="1:10" x14ac:dyDescent="0.25">
      <c r="A1617" t="str">
        <f>""</f>
        <v/>
      </c>
      <c r="B1617" t="str">
        <f>""</f>
        <v/>
      </c>
      <c r="G1617" t="str">
        <f>""</f>
        <v/>
      </c>
      <c r="H1617" t="str">
        <f>""</f>
        <v/>
      </c>
      <c r="I1617" s="4">
        <v>76.95</v>
      </c>
      <c r="J1617" t="str">
        <f t="shared" si="53"/>
        <v>GUARDIAN</v>
      </c>
    </row>
    <row r="1618" spans="1:10" x14ac:dyDescent="0.25">
      <c r="A1618" t="str">
        <f>""</f>
        <v/>
      </c>
      <c r="B1618" t="str">
        <f>""</f>
        <v/>
      </c>
      <c r="G1618" t="str">
        <f>""</f>
        <v/>
      </c>
      <c r="H1618" t="str">
        <f>""</f>
        <v/>
      </c>
      <c r="I1618" s="4">
        <v>15.39</v>
      </c>
      <c r="J1618" t="str">
        <f t="shared" si="53"/>
        <v>GUARDIAN</v>
      </c>
    </row>
    <row r="1619" spans="1:10" x14ac:dyDescent="0.25">
      <c r="A1619" t="str">
        <f>""</f>
        <v/>
      </c>
      <c r="B1619" t="str">
        <f>""</f>
        <v/>
      </c>
      <c r="G1619" t="str">
        <f>""</f>
        <v/>
      </c>
      <c r="H1619" t="str">
        <f>""</f>
        <v/>
      </c>
      <c r="I1619" s="4">
        <v>249.02</v>
      </c>
      <c r="J1619" t="str">
        <f t="shared" si="53"/>
        <v>GUARDIAN</v>
      </c>
    </row>
    <row r="1620" spans="1:10" x14ac:dyDescent="0.25">
      <c r="A1620" t="str">
        <f>""</f>
        <v/>
      </c>
      <c r="B1620" t="str">
        <f>""</f>
        <v/>
      </c>
      <c r="G1620" t="str">
        <f>""</f>
        <v/>
      </c>
      <c r="H1620" t="str">
        <f>""</f>
        <v/>
      </c>
      <c r="I1620" s="4">
        <v>13.73</v>
      </c>
      <c r="J1620" t="str">
        <f t="shared" ref="J1620:J1683" si="54">"GUARDIAN"</f>
        <v>GUARDIAN</v>
      </c>
    </row>
    <row r="1621" spans="1:10" x14ac:dyDescent="0.25">
      <c r="A1621" t="str">
        <f>""</f>
        <v/>
      </c>
      <c r="B1621" t="str">
        <f>""</f>
        <v/>
      </c>
      <c r="G1621" t="str">
        <f>""</f>
        <v/>
      </c>
      <c r="H1621" t="str">
        <f>""</f>
        <v/>
      </c>
      <c r="I1621" s="4">
        <v>213.1</v>
      </c>
      <c r="J1621" t="str">
        <f t="shared" si="54"/>
        <v>GUARDIAN</v>
      </c>
    </row>
    <row r="1622" spans="1:10" x14ac:dyDescent="0.25">
      <c r="A1622" t="str">
        <f>""</f>
        <v/>
      </c>
      <c r="B1622" t="str">
        <f>""</f>
        <v/>
      </c>
      <c r="G1622" t="str">
        <f>""</f>
        <v/>
      </c>
      <c r="H1622" t="str">
        <f>""</f>
        <v/>
      </c>
      <c r="I1622" s="4">
        <v>15.39</v>
      </c>
      <c r="J1622" t="str">
        <f t="shared" si="54"/>
        <v>GUARDIAN</v>
      </c>
    </row>
    <row r="1623" spans="1:10" x14ac:dyDescent="0.25">
      <c r="A1623" t="str">
        <f>""</f>
        <v/>
      </c>
      <c r="B1623" t="str">
        <f>""</f>
        <v/>
      </c>
      <c r="G1623" t="str">
        <f>""</f>
        <v/>
      </c>
      <c r="H1623" t="str">
        <f>""</f>
        <v/>
      </c>
      <c r="I1623" s="4">
        <v>15.39</v>
      </c>
      <c r="J1623" t="str">
        <f t="shared" si="54"/>
        <v>GUARDIAN</v>
      </c>
    </row>
    <row r="1624" spans="1:10" x14ac:dyDescent="0.25">
      <c r="A1624" t="str">
        <f>""</f>
        <v/>
      </c>
      <c r="B1624" t="str">
        <f>""</f>
        <v/>
      </c>
      <c r="G1624" t="str">
        <f>""</f>
        <v/>
      </c>
      <c r="H1624" t="str">
        <f>""</f>
        <v/>
      </c>
      <c r="I1624" s="4">
        <v>16.63</v>
      </c>
      <c r="J1624" t="str">
        <f t="shared" si="54"/>
        <v>GUARDIAN</v>
      </c>
    </row>
    <row r="1625" spans="1:10" x14ac:dyDescent="0.25">
      <c r="A1625" t="str">
        <f>""</f>
        <v/>
      </c>
      <c r="B1625" t="str">
        <f>""</f>
        <v/>
      </c>
      <c r="G1625" t="str">
        <f>""</f>
        <v/>
      </c>
      <c r="H1625" t="str">
        <f>""</f>
        <v/>
      </c>
      <c r="I1625" s="4">
        <v>15.39</v>
      </c>
      <c r="J1625" t="str">
        <f t="shared" si="54"/>
        <v>GUARDIAN</v>
      </c>
    </row>
    <row r="1626" spans="1:10" x14ac:dyDescent="0.25">
      <c r="A1626" t="str">
        <f>""</f>
        <v/>
      </c>
      <c r="B1626" t="str">
        <f>""</f>
        <v/>
      </c>
      <c r="G1626" t="str">
        <f>""</f>
        <v/>
      </c>
      <c r="H1626" t="str">
        <f>""</f>
        <v/>
      </c>
      <c r="I1626" s="4">
        <v>15.39</v>
      </c>
      <c r="J1626" t="str">
        <f t="shared" si="54"/>
        <v>GUARDIAN</v>
      </c>
    </row>
    <row r="1627" spans="1:10" x14ac:dyDescent="0.25">
      <c r="A1627" t="str">
        <f>""</f>
        <v/>
      </c>
      <c r="B1627" t="str">
        <f>""</f>
        <v/>
      </c>
      <c r="G1627" t="str">
        <f>""</f>
        <v/>
      </c>
      <c r="H1627" t="str">
        <f>""</f>
        <v/>
      </c>
      <c r="I1627" s="4">
        <v>15.39</v>
      </c>
      <c r="J1627" t="str">
        <f t="shared" si="54"/>
        <v>GUARDIAN</v>
      </c>
    </row>
    <row r="1628" spans="1:10" x14ac:dyDescent="0.25">
      <c r="A1628" t="str">
        <f>""</f>
        <v/>
      </c>
      <c r="B1628" t="str">
        <f>""</f>
        <v/>
      </c>
      <c r="G1628" t="str">
        <f>""</f>
        <v/>
      </c>
      <c r="H1628" t="str">
        <f>""</f>
        <v/>
      </c>
      <c r="I1628" s="4">
        <v>46.17</v>
      </c>
      <c r="J1628" t="str">
        <f t="shared" si="54"/>
        <v>GUARDIAN</v>
      </c>
    </row>
    <row r="1629" spans="1:10" x14ac:dyDescent="0.25">
      <c r="A1629" t="str">
        <f>""</f>
        <v/>
      </c>
      <c r="B1629" t="str">
        <f>""</f>
        <v/>
      </c>
      <c r="G1629" t="str">
        <f>""</f>
        <v/>
      </c>
      <c r="H1629" t="str">
        <f>""</f>
        <v/>
      </c>
      <c r="I1629" s="4">
        <v>15.39</v>
      </c>
      <c r="J1629" t="str">
        <f t="shared" si="54"/>
        <v>GUARDIAN</v>
      </c>
    </row>
    <row r="1630" spans="1:10" x14ac:dyDescent="0.25">
      <c r="A1630" t="str">
        <f>""</f>
        <v/>
      </c>
      <c r="B1630" t="str">
        <f>""</f>
        <v/>
      </c>
      <c r="G1630" t="str">
        <f>""</f>
        <v/>
      </c>
      <c r="H1630" t="str">
        <f>""</f>
        <v/>
      </c>
      <c r="I1630" s="4">
        <v>0.74</v>
      </c>
      <c r="J1630" t="str">
        <f t="shared" si="54"/>
        <v>GUARDIAN</v>
      </c>
    </row>
    <row r="1631" spans="1:10" x14ac:dyDescent="0.25">
      <c r="A1631" t="str">
        <f>""</f>
        <v/>
      </c>
      <c r="B1631" t="str">
        <f>""</f>
        <v/>
      </c>
      <c r="G1631" t="str">
        <f>""</f>
        <v/>
      </c>
      <c r="H1631" t="str">
        <f>""</f>
        <v/>
      </c>
      <c r="I1631" s="4">
        <v>2.19</v>
      </c>
      <c r="J1631" t="str">
        <f t="shared" si="54"/>
        <v>GUARDIAN</v>
      </c>
    </row>
    <row r="1632" spans="1:10" x14ac:dyDescent="0.25">
      <c r="A1632" t="str">
        <f>""</f>
        <v/>
      </c>
      <c r="B1632" t="str">
        <f>""</f>
        <v/>
      </c>
      <c r="G1632" t="str">
        <f>""</f>
        <v/>
      </c>
      <c r="H1632" t="str">
        <f>""</f>
        <v/>
      </c>
      <c r="I1632" s="4">
        <v>1411.32</v>
      </c>
      <c r="J1632" t="str">
        <f t="shared" si="54"/>
        <v>GUARDIAN</v>
      </c>
    </row>
    <row r="1633" spans="1:10" x14ac:dyDescent="0.25">
      <c r="A1633" t="str">
        <f>""</f>
        <v/>
      </c>
      <c r="B1633" t="str">
        <f>""</f>
        <v/>
      </c>
      <c r="G1633" t="str">
        <f>"GDC202202169062"</f>
        <v>GDC202202169062</v>
      </c>
      <c r="H1633" t="str">
        <f>"GUARDIAN"</f>
        <v>GUARDIAN</v>
      </c>
      <c r="I1633" s="4">
        <v>46.17</v>
      </c>
      <c r="J1633" t="str">
        <f t="shared" si="54"/>
        <v>GUARDIAN</v>
      </c>
    </row>
    <row r="1634" spans="1:10" x14ac:dyDescent="0.25">
      <c r="A1634" t="str">
        <f>""</f>
        <v/>
      </c>
      <c r="B1634" t="str">
        <f>""</f>
        <v/>
      </c>
      <c r="G1634" t="str">
        <f>""</f>
        <v/>
      </c>
      <c r="H1634" t="str">
        <f>""</f>
        <v/>
      </c>
      <c r="I1634" s="4">
        <v>55.71</v>
      </c>
      <c r="J1634" t="str">
        <f t="shared" si="54"/>
        <v>GUARDIAN</v>
      </c>
    </row>
    <row r="1635" spans="1:10" x14ac:dyDescent="0.25">
      <c r="A1635" t="str">
        <f>""</f>
        <v/>
      </c>
      <c r="B1635" t="str">
        <f>""</f>
        <v/>
      </c>
      <c r="G1635" t="str">
        <f>"GDE202202028715"</f>
        <v>GDE202202028715</v>
      </c>
      <c r="H1635" t="str">
        <f>"GUARDIAN"</f>
        <v>GUARDIAN</v>
      </c>
      <c r="I1635" s="4">
        <v>15.39</v>
      </c>
      <c r="J1635" t="str">
        <f t="shared" si="54"/>
        <v>GUARDIAN</v>
      </c>
    </row>
    <row r="1636" spans="1:10" x14ac:dyDescent="0.25">
      <c r="A1636" t="str">
        <f>""</f>
        <v/>
      </c>
      <c r="B1636" t="str">
        <f>""</f>
        <v/>
      </c>
      <c r="G1636" t="str">
        <f>""</f>
        <v/>
      </c>
      <c r="H1636" t="str">
        <f>""</f>
        <v/>
      </c>
      <c r="I1636" s="4">
        <v>20.07</v>
      </c>
      <c r="J1636" t="str">
        <f t="shared" si="54"/>
        <v>GUARDIAN</v>
      </c>
    </row>
    <row r="1637" spans="1:10" x14ac:dyDescent="0.25">
      <c r="A1637" t="str">
        <f>""</f>
        <v/>
      </c>
      <c r="B1637" t="str">
        <f>""</f>
        <v/>
      </c>
      <c r="G1637" t="str">
        <f>""</f>
        <v/>
      </c>
      <c r="H1637" t="str">
        <f>""</f>
        <v/>
      </c>
      <c r="I1637" s="4">
        <v>76.12</v>
      </c>
      <c r="J1637" t="str">
        <f t="shared" si="54"/>
        <v>GUARDIAN</v>
      </c>
    </row>
    <row r="1638" spans="1:10" x14ac:dyDescent="0.25">
      <c r="A1638" t="str">
        <f>""</f>
        <v/>
      </c>
      <c r="B1638" t="str">
        <f>""</f>
        <v/>
      </c>
      <c r="G1638" t="str">
        <f>""</f>
        <v/>
      </c>
      <c r="H1638" t="str">
        <f>""</f>
        <v/>
      </c>
      <c r="I1638" s="4">
        <v>30.78</v>
      </c>
      <c r="J1638" t="str">
        <f t="shared" si="54"/>
        <v>GUARDIAN</v>
      </c>
    </row>
    <row r="1639" spans="1:10" x14ac:dyDescent="0.25">
      <c r="A1639" t="str">
        <f>""</f>
        <v/>
      </c>
      <c r="B1639" t="str">
        <f>""</f>
        <v/>
      </c>
      <c r="G1639" t="str">
        <f>""</f>
        <v/>
      </c>
      <c r="H1639" t="str">
        <f>""</f>
        <v/>
      </c>
      <c r="I1639" s="4">
        <v>15.39</v>
      </c>
      <c r="J1639" t="str">
        <f t="shared" si="54"/>
        <v>GUARDIAN</v>
      </c>
    </row>
    <row r="1640" spans="1:10" x14ac:dyDescent="0.25">
      <c r="A1640" t="str">
        <f>""</f>
        <v/>
      </c>
      <c r="B1640" t="str">
        <f>""</f>
        <v/>
      </c>
      <c r="G1640" t="str">
        <f>""</f>
        <v/>
      </c>
      <c r="H1640" t="str">
        <f>""</f>
        <v/>
      </c>
      <c r="I1640" s="4">
        <v>30.78</v>
      </c>
      <c r="J1640" t="str">
        <f t="shared" si="54"/>
        <v>GUARDIAN</v>
      </c>
    </row>
    <row r="1641" spans="1:10" x14ac:dyDescent="0.25">
      <c r="A1641" t="str">
        <f>""</f>
        <v/>
      </c>
      <c r="B1641" t="str">
        <f>""</f>
        <v/>
      </c>
      <c r="G1641" t="str">
        <f>""</f>
        <v/>
      </c>
      <c r="H1641" t="str">
        <f>""</f>
        <v/>
      </c>
      <c r="I1641" s="4">
        <v>230.85</v>
      </c>
      <c r="J1641" t="str">
        <f t="shared" si="54"/>
        <v>GUARDIAN</v>
      </c>
    </row>
    <row r="1642" spans="1:10" x14ac:dyDescent="0.25">
      <c r="A1642" t="str">
        <f>""</f>
        <v/>
      </c>
      <c r="B1642" t="str">
        <f>""</f>
        <v/>
      </c>
      <c r="G1642" t="str">
        <f>""</f>
        <v/>
      </c>
      <c r="H1642" t="str">
        <f>""</f>
        <v/>
      </c>
      <c r="I1642" s="4">
        <v>15.39</v>
      </c>
      <c r="J1642" t="str">
        <f t="shared" si="54"/>
        <v>GUARDIAN</v>
      </c>
    </row>
    <row r="1643" spans="1:10" x14ac:dyDescent="0.25">
      <c r="A1643" t="str">
        <f>""</f>
        <v/>
      </c>
      <c r="B1643" t="str">
        <f>""</f>
        <v/>
      </c>
      <c r="G1643" t="str">
        <f>""</f>
        <v/>
      </c>
      <c r="H1643" t="str">
        <f>""</f>
        <v/>
      </c>
      <c r="I1643" s="4">
        <v>61.56</v>
      </c>
      <c r="J1643" t="str">
        <f t="shared" si="54"/>
        <v>GUARDIAN</v>
      </c>
    </row>
    <row r="1644" spans="1:10" x14ac:dyDescent="0.25">
      <c r="A1644" t="str">
        <f>""</f>
        <v/>
      </c>
      <c r="B1644" t="str">
        <f>""</f>
        <v/>
      </c>
      <c r="G1644" t="str">
        <f>""</f>
        <v/>
      </c>
      <c r="H1644" t="str">
        <f>""</f>
        <v/>
      </c>
      <c r="I1644" s="4">
        <v>107.73</v>
      </c>
      <c r="J1644" t="str">
        <f t="shared" si="54"/>
        <v>GUARDIAN</v>
      </c>
    </row>
    <row r="1645" spans="1:10" x14ac:dyDescent="0.25">
      <c r="A1645" t="str">
        <f>""</f>
        <v/>
      </c>
      <c r="B1645" t="str">
        <f>""</f>
        <v/>
      </c>
      <c r="G1645" t="str">
        <f>""</f>
        <v/>
      </c>
      <c r="H1645" t="str">
        <f>""</f>
        <v/>
      </c>
      <c r="I1645" s="4">
        <v>30.78</v>
      </c>
      <c r="J1645" t="str">
        <f t="shared" si="54"/>
        <v>GUARDIAN</v>
      </c>
    </row>
    <row r="1646" spans="1:10" x14ac:dyDescent="0.25">
      <c r="A1646" t="str">
        <f>""</f>
        <v/>
      </c>
      <c r="B1646" t="str">
        <f>""</f>
        <v/>
      </c>
      <c r="G1646" t="str">
        <f>""</f>
        <v/>
      </c>
      <c r="H1646" t="str">
        <f>""</f>
        <v/>
      </c>
      <c r="I1646" s="4">
        <v>61.56</v>
      </c>
      <c r="J1646" t="str">
        <f t="shared" si="54"/>
        <v>GUARDIAN</v>
      </c>
    </row>
    <row r="1647" spans="1:10" x14ac:dyDescent="0.25">
      <c r="A1647" t="str">
        <f>""</f>
        <v/>
      </c>
      <c r="B1647" t="str">
        <f>""</f>
        <v/>
      </c>
      <c r="G1647" t="str">
        <f>""</f>
        <v/>
      </c>
      <c r="H1647" t="str">
        <f>""</f>
        <v/>
      </c>
      <c r="I1647" s="4">
        <v>15.39</v>
      </c>
      <c r="J1647" t="str">
        <f t="shared" si="54"/>
        <v>GUARDIAN</v>
      </c>
    </row>
    <row r="1648" spans="1:10" x14ac:dyDescent="0.25">
      <c r="A1648" t="str">
        <f>""</f>
        <v/>
      </c>
      <c r="B1648" t="str">
        <f>""</f>
        <v/>
      </c>
      <c r="G1648" t="str">
        <f>""</f>
        <v/>
      </c>
      <c r="H1648" t="str">
        <f>""</f>
        <v/>
      </c>
      <c r="I1648" s="4">
        <v>30.78</v>
      </c>
      <c r="J1648" t="str">
        <f t="shared" si="54"/>
        <v>GUARDIAN</v>
      </c>
    </row>
    <row r="1649" spans="1:10" x14ac:dyDescent="0.25">
      <c r="A1649" t="str">
        <f>""</f>
        <v/>
      </c>
      <c r="B1649" t="str">
        <f>""</f>
        <v/>
      </c>
      <c r="G1649" t="str">
        <f>""</f>
        <v/>
      </c>
      <c r="H1649" t="str">
        <f>""</f>
        <v/>
      </c>
      <c r="I1649" s="4">
        <v>30.78</v>
      </c>
      <c r="J1649" t="str">
        <f t="shared" si="54"/>
        <v>GUARDIAN</v>
      </c>
    </row>
    <row r="1650" spans="1:10" x14ac:dyDescent="0.25">
      <c r="A1650" t="str">
        <f>""</f>
        <v/>
      </c>
      <c r="B1650" t="str">
        <f>""</f>
        <v/>
      </c>
      <c r="G1650" t="str">
        <f>""</f>
        <v/>
      </c>
      <c r="H1650" t="str">
        <f>""</f>
        <v/>
      </c>
      <c r="I1650" s="4">
        <v>168.33</v>
      </c>
      <c r="J1650" t="str">
        <f t="shared" si="54"/>
        <v>GUARDIAN</v>
      </c>
    </row>
    <row r="1651" spans="1:10" x14ac:dyDescent="0.25">
      <c r="A1651" t="str">
        <f>""</f>
        <v/>
      </c>
      <c r="B1651" t="str">
        <f>""</f>
        <v/>
      </c>
      <c r="G1651" t="str">
        <f>""</f>
        <v/>
      </c>
      <c r="H1651" t="str">
        <f>""</f>
        <v/>
      </c>
      <c r="I1651" s="4">
        <v>15.39</v>
      </c>
      <c r="J1651" t="str">
        <f t="shared" si="54"/>
        <v>GUARDIAN</v>
      </c>
    </row>
    <row r="1652" spans="1:10" x14ac:dyDescent="0.25">
      <c r="A1652" t="str">
        <f>""</f>
        <v/>
      </c>
      <c r="B1652" t="str">
        <f>""</f>
        <v/>
      </c>
      <c r="G1652" t="str">
        <f>""</f>
        <v/>
      </c>
      <c r="H1652" t="str">
        <f>""</f>
        <v/>
      </c>
      <c r="I1652" s="4">
        <v>30.78</v>
      </c>
      <c r="J1652" t="str">
        <f t="shared" si="54"/>
        <v>GUARDIAN</v>
      </c>
    </row>
    <row r="1653" spans="1:10" x14ac:dyDescent="0.25">
      <c r="A1653" t="str">
        <f>""</f>
        <v/>
      </c>
      <c r="B1653" t="str">
        <f>""</f>
        <v/>
      </c>
      <c r="G1653" t="str">
        <f>""</f>
        <v/>
      </c>
      <c r="H1653" t="str">
        <f>""</f>
        <v/>
      </c>
      <c r="I1653" s="4">
        <v>15.39</v>
      </c>
      <c r="J1653" t="str">
        <f t="shared" si="54"/>
        <v>GUARDIAN</v>
      </c>
    </row>
    <row r="1654" spans="1:10" x14ac:dyDescent="0.25">
      <c r="A1654" t="str">
        <f>""</f>
        <v/>
      </c>
      <c r="B1654" t="str">
        <f>""</f>
        <v/>
      </c>
      <c r="G1654" t="str">
        <f>""</f>
        <v/>
      </c>
      <c r="H1654" t="str">
        <f>""</f>
        <v/>
      </c>
      <c r="I1654" s="4">
        <v>107.73</v>
      </c>
      <c r="J1654" t="str">
        <f t="shared" si="54"/>
        <v>GUARDIAN</v>
      </c>
    </row>
    <row r="1655" spans="1:10" x14ac:dyDescent="0.25">
      <c r="A1655" t="str">
        <f>""</f>
        <v/>
      </c>
      <c r="B1655" t="str">
        <f>""</f>
        <v/>
      </c>
      <c r="G1655" t="str">
        <f>""</f>
        <v/>
      </c>
      <c r="H1655" t="str">
        <f>""</f>
        <v/>
      </c>
      <c r="I1655" s="4">
        <v>30.78</v>
      </c>
      <c r="J1655" t="str">
        <f t="shared" si="54"/>
        <v>GUARDIAN</v>
      </c>
    </row>
    <row r="1656" spans="1:10" x14ac:dyDescent="0.25">
      <c r="A1656" t="str">
        <f>""</f>
        <v/>
      </c>
      <c r="B1656" t="str">
        <f>""</f>
        <v/>
      </c>
      <c r="G1656" t="str">
        <f>""</f>
        <v/>
      </c>
      <c r="H1656" t="str">
        <f>""</f>
        <v/>
      </c>
      <c r="I1656" s="4">
        <v>92.34</v>
      </c>
      <c r="J1656" t="str">
        <f t="shared" si="54"/>
        <v>GUARDIAN</v>
      </c>
    </row>
    <row r="1657" spans="1:10" x14ac:dyDescent="0.25">
      <c r="A1657" t="str">
        <f>""</f>
        <v/>
      </c>
      <c r="B1657" t="str">
        <f>""</f>
        <v/>
      </c>
      <c r="G1657" t="str">
        <f>""</f>
        <v/>
      </c>
      <c r="H1657" t="str">
        <f>""</f>
        <v/>
      </c>
      <c r="I1657" s="4">
        <v>138.51</v>
      </c>
      <c r="J1657" t="str">
        <f t="shared" si="54"/>
        <v>GUARDIAN</v>
      </c>
    </row>
    <row r="1658" spans="1:10" x14ac:dyDescent="0.25">
      <c r="A1658" t="str">
        <f>""</f>
        <v/>
      </c>
      <c r="B1658" t="str">
        <f>""</f>
        <v/>
      </c>
      <c r="G1658" t="str">
        <f>""</f>
        <v/>
      </c>
      <c r="H1658" t="str">
        <f>""</f>
        <v/>
      </c>
      <c r="I1658" s="4">
        <v>138.74</v>
      </c>
      <c r="J1658" t="str">
        <f t="shared" si="54"/>
        <v>GUARDIAN</v>
      </c>
    </row>
    <row r="1659" spans="1:10" x14ac:dyDescent="0.25">
      <c r="A1659" t="str">
        <f>""</f>
        <v/>
      </c>
      <c r="B1659" t="str">
        <f>""</f>
        <v/>
      </c>
      <c r="G1659" t="str">
        <f>""</f>
        <v/>
      </c>
      <c r="H1659" t="str">
        <f>""</f>
        <v/>
      </c>
      <c r="I1659" s="4">
        <v>15.39</v>
      </c>
      <c r="J1659" t="str">
        <f t="shared" si="54"/>
        <v>GUARDIAN</v>
      </c>
    </row>
    <row r="1660" spans="1:10" x14ac:dyDescent="0.25">
      <c r="A1660" t="str">
        <f>""</f>
        <v/>
      </c>
      <c r="B1660" t="str">
        <f>""</f>
        <v/>
      </c>
      <c r="G1660" t="str">
        <f>""</f>
        <v/>
      </c>
      <c r="H1660" t="str">
        <f>""</f>
        <v/>
      </c>
      <c r="I1660" s="4">
        <v>939.14</v>
      </c>
      <c r="J1660" t="str">
        <f t="shared" si="54"/>
        <v>GUARDIAN</v>
      </c>
    </row>
    <row r="1661" spans="1:10" x14ac:dyDescent="0.25">
      <c r="A1661" t="str">
        <f>""</f>
        <v/>
      </c>
      <c r="B1661" t="str">
        <f>""</f>
        <v/>
      </c>
      <c r="G1661" t="str">
        <f>""</f>
        <v/>
      </c>
      <c r="H1661" t="str">
        <f>""</f>
        <v/>
      </c>
      <c r="I1661" s="4">
        <v>44.82</v>
      </c>
      <c r="J1661" t="str">
        <f t="shared" si="54"/>
        <v>GUARDIAN</v>
      </c>
    </row>
    <row r="1662" spans="1:10" x14ac:dyDescent="0.25">
      <c r="A1662" t="str">
        <f>""</f>
        <v/>
      </c>
      <c r="B1662" t="str">
        <f>""</f>
        <v/>
      </c>
      <c r="G1662" t="str">
        <f>""</f>
        <v/>
      </c>
      <c r="H1662" t="str">
        <f>""</f>
        <v/>
      </c>
      <c r="I1662" s="4">
        <v>939.85</v>
      </c>
      <c r="J1662" t="str">
        <f t="shared" si="54"/>
        <v>GUARDIAN</v>
      </c>
    </row>
    <row r="1663" spans="1:10" x14ac:dyDescent="0.25">
      <c r="A1663" t="str">
        <f>""</f>
        <v/>
      </c>
      <c r="B1663" t="str">
        <f>""</f>
        <v/>
      </c>
      <c r="G1663" t="str">
        <f>""</f>
        <v/>
      </c>
      <c r="H1663" t="str">
        <f>""</f>
        <v/>
      </c>
      <c r="I1663" s="4">
        <v>292.41000000000003</v>
      </c>
      <c r="J1663" t="str">
        <f t="shared" si="54"/>
        <v>GUARDIAN</v>
      </c>
    </row>
    <row r="1664" spans="1:10" x14ac:dyDescent="0.25">
      <c r="A1664" t="str">
        <f>""</f>
        <v/>
      </c>
      <c r="B1664" t="str">
        <f>""</f>
        <v/>
      </c>
      <c r="G1664" t="str">
        <f>""</f>
        <v/>
      </c>
      <c r="H1664" t="str">
        <f>""</f>
        <v/>
      </c>
      <c r="I1664" s="4">
        <v>15.39</v>
      </c>
      <c r="J1664" t="str">
        <f t="shared" si="54"/>
        <v>GUARDIAN</v>
      </c>
    </row>
    <row r="1665" spans="1:10" x14ac:dyDescent="0.25">
      <c r="A1665" t="str">
        <f>""</f>
        <v/>
      </c>
      <c r="B1665" t="str">
        <f>""</f>
        <v/>
      </c>
      <c r="G1665" t="str">
        <f>""</f>
        <v/>
      </c>
      <c r="H1665" t="str">
        <f>""</f>
        <v/>
      </c>
      <c r="I1665" s="4">
        <v>46.17</v>
      </c>
      <c r="J1665" t="str">
        <f t="shared" si="54"/>
        <v>GUARDIAN</v>
      </c>
    </row>
    <row r="1666" spans="1:10" x14ac:dyDescent="0.25">
      <c r="A1666" t="str">
        <f>""</f>
        <v/>
      </c>
      <c r="B1666" t="str">
        <f>""</f>
        <v/>
      </c>
      <c r="G1666" t="str">
        <f>""</f>
        <v/>
      </c>
      <c r="H1666" t="str">
        <f>""</f>
        <v/>
      </c>
      <c r="I1666" s="4">
        <v>30.78</v>
      </c>
      <c r="J1666" t="str">
        <f t="shared" si="54"/>
        <v>GUARDIAN</v>
      </c>
    </row>
    <row r="1667" spans="1:10" x14ac:dyDescent="0.25">
      <c r="A1667" t="str">
        <f>""</f>
        <v/>
      </c>
      <c r="B1667" t="str">
        <f>""</f>
        <v/>
      </c>
      <c r="G1667" t="str">
        <f>""</f>
        <v/>
      </c>
      <c r="H1667" t="str">
        <f>""</f>
        <v/>
      </c>
      <c r="I1667" s="4">
        <v>15.39</v>
      </c>
      <c r="J1667" t="str">
        <f t="shared" si="54"/>
        <v>GUARDIAN</v>
      </c>
    </row>
    <row r="1668" spans="1:10" x14ac:dyDescent="0.25">
      <c r="A1668" t="str">
        <f>""</f>
        <v/>
      </c>
      <c r="B1668" t="str">
        <f>""</f>
        <v/>
      </c>
      <c r="G1668" t="str">
        <f>""</f>
        <v/>
      </c>
      <c r="H1668" t="str">
        <f>""</f>
        <v/>
      </c>
      <c r="I1668" s="4">
        <v>61.56</v>
      </c>
      <c r="J1668" t="str">
        <f t="shared" si="54"/>
        <v>GUARDIAN</v>
      </c>
    </row>
    <row r="1669" spans="1:10" x14ac:dyDescent="0.25">
      <c r="A1669" t="str">
        <f>""</f>
        <v/>
      </c>
      <c r="B1669" t="str">
        <f>""</f>
        <v/>
      </c>
      <c r="G1669" t="str">
        <f>""</f>
        <v/>
      </c>
      <c r="H1669" t="str">
        <f>""</f>
        <v/>
      </c>
      <c r="I1669" s="4">
        <v>15.39</v>
      </c>
      <c r="J1669" t="str">
        <f t="shared" si="54"/>
        <v>GUARDIAN</v>
      </c>
    </row>
    <row r="1670" spans="1:10" x14ac:dyDescent="0.25">
      <c r="A1670" t="str">
        <f>""</f>
        <v/>
      </c>
      <c r="B1670" t="str">
        <f>""</f>
        <v/>
      </c>
      <c r="G1670" t="str">
        <f>""</f>
        <v/>
      </c>
      <c r="H1670" t="str">
        <f>""</f>
        <v/>
      </c>
      <c r="I1670" s="4">
        <v>16.22</v>
      </c>
      <c r="J1670" t="str">
        <f t="shared" si="54"/>
        <v>GUARDIAN</v>
      </c>
    </row>
    <row r="1671" spans="1:10" x14ac:dyDescent="0.25">
      <c r="A1671" t="str">
        <f>""</f>
        <v/>
      </c>
      <c r="B1671" t="str">
        <f>""</f>
        <v/>
      </c>
      <c r="G1671" t="str">
        <f>""</f>
        <v/>
      </c>
      <c r="H1671" t="str">
        <f>""</f>
        <v/>
      </c>
      <c r="I1671" s="4">
        <v>96.13</v>
      </c>
      <c r="J1671" t="str">
        <f t="shared" si="54"/>
        <v>GUARDIAN</v>
      </c>
    </row>
    <row r="1672" spans="1:10" x14ac:dyDescent="0.25">
      <c r="A1672" t="str">
        <f>""</f>
        <v/>
      </c>
      <c r="B1672" t="str">
        <f>""</f>
        <v/>
      </c>
      <c r="G1672" t="str">
        <f>""</f>
        <v/>
      </c>
      <c r="H1672" t="str">
        <f>""</f>
        <v/>
      </c>
      <c r="I1672" s="4">
        <v>89.44</v>
      </c>
      <c r="J1672" t="str">
        <f t="shared" si="54"/>
        <v>GUARDIAN</v>
      </c>
    </row>
    <row r="1673" spans="1:10" x14ac:dyDescent="0.25">
      <c r="A1673" t="str">
        <f>""</f>
        <v/>
      </c>
      <c r="B1673" t="str">
        <f>""</f>
        <v/>
      </c>
      <c r="G1673" t="str">
        <f>""</f>
        <v/>
      </c>
      <c r="H1673" t="str">
        <f>""</f>
        <v/>
      </c>
      <c r="I1673" s="4">
        <v>166.39</v>
      </c>
      <c r="J1673" t="str">
        <f t="shared" si="54"/>
        <v>GUARDIAN</v>
      </c>
    </row>
    <row r="1674" spans="1:10" x14ac:dyDescent="0.25">
      <c r="A1674" t="str">
        <f>""</f>
        <v/>
      </c>
      <c r="B1674" t="str">
        <f>""</f>
        <v/>
      </c>
      <c r="G1674" t="str">
        <f>""</f>
        <v/>
      </c>
      <c r="H1674" t="str">
        <f>""</f>
        <v/>
      </c>
      <c r="I1674" s="4">
        <v>166.39</v>
      </c>
      <c r="J1674" t="str">
        <f t="shared" si="54"/>
        <v>GUARDIAN</v>
      </c>
    </row>
    <row r="1675" spans="1:10" x14ac:dyDescent="0.25">
      <c r="A1675" t="str">
        <f>""</f>
        <v/>
      </c>
      <c r="B1675" t="str">
        <f>""</f>
        <v/>
      </c>
      <c r="G1675" t="str">
        <f>""</f>
        <v/>
      </c>
      <c r="H1675" t="str">
        <f>""</f>
        <v/>
      </c>
      <c r="I1675" s="4">
        <v>0.4</v>
      </c>
      <c r="J1675" t="str">
        <f t="shared" si="54"/>
        <v>GUARDIAN</v>
      </c>
    </row>
    <row r="1676" spans="1:10" x14ac:dyDescent="0.25">
      <c r="A1676" t="str">
        <f>""</f>
        <v/>
      </c>
      <c r="B1676" t="str">
        <f>""</f>
        <v/>
      </c>
      <c r="G1676" t="str">
        <f>""</f>
        <v/>
      </c>
      <c r="H1676" t="str">
        <f>""</f>
        <v/>
      </c>
      <c r="I1676" s="4">
        <v>0.56000000000000005</v>
      </c>
      <c r="J1676" t="str">
        <f t="shared" si="54"/>
        <v>GUARDIAN</v>
      </c>
    </row>
    <row r="1677" spans="1:10" x14ac:dyDescent="0.25">
      <c r="A1677" t="str">
        <f>""</f>
        <v/>
      </c>
      <c r="B1677" t="str">
        <f>""</f>
        <v/>
      </c>
      <c r="G1677" t="str">
        <f>""</f>
        <v/>
      </c>
      <c r="H1677" t="str">
        <f>""</f>
        <v/>
      </c>
      <c r="I1677" s="4">
        <v>15.33</v>
      </c>
      <c r="J1677" t="str">
        <f t="shared" si="54"/>
        <v>GUARDIAN</v>
      </c>
    </row>
    <row r="1678" spans="1:10" x14ac:dyDescent="0.25">
      <c r="A1678" t="str">
        <f>""</f>
        <v/>
      </c>
      <c r="B1678" t="str">
        <f>""</f>
        <v/>
      </c>
      <c r="G1678" t="str">
        <f>"GDE202202028716"</f>
        <v>GDE202202028716</v>
      </c>
      <c r="H1678" t="str">
        <f>"GUARDIAN"</f>
        <v>GUARDIAN</v>
      </c>
      <c r="I1678" s="4">
        <v>138.51</v>
      </c>
      <c r="J1678" t="str">
        <f t="shared" si="54"/>
        <v>GUARDIAN</v>
      </c>
    </row>
    <row r="1679" spans="1:10" x14ac:dyDescent="0.25">
      <c r="A1679" t="str">
        <f>""</f>
        <v/>
      </c>
      <c r="B1679" t="str">
        <f>""</f>
        <v/>
      </c>
      <c r="G1679" t="str">
        <f>"GDE202202169060"</f>
        <v>GDE202202169060</v>
      </c>
      <c r="H1679" t="str">
        <f>"GUARDIAN"</f>
        <v>GUARDIAN</v>
      </c>
      <c r="I1679" s="4">
        <v>15.39</v>
      </c>
      <c r="J1679" t="str">
        <f t="shared" si="54"/>
        <v>GUARDIAN</v>
      </c>
    </row>
    <row r="1680" spans="1:10" x14ac:dyDescent="0.25">
      <c r="A1680" t="str">
        <f>""</f>
        <v/>
      </c>
      <c r="B1680" t="str">
        <f>""</f>
        <v/>
      </c>
      <c r="G1680" t="str">
        <f>""</f>
        <v/>
      </c>
      <c r="H1680" t="str">
        <f>""</f>
        <v/>
      </c>
      <c r="I1680" s="4">
        <v>20.07</v>
      </c>
      <c r="J1680" t="str">
        <f t="shared" si="54"/>
        <v>GUARDIAN</v>
      </c>
    </row>
    <row r="1681" spans="1:10" x14ac:dyDescent="0.25">
      <c r="A1681" t="str">
        <f>""</f>
        <v/>
      </c>
      <c r="B1681" t="str">
        <f>""</f>
        <v/>
      </c>
      <c r="G1681" t="str">
        <f>""</f>
        <v/>
      </c>
      <c r="H1681" t="str">
        <f>""</f>
        <v/>
      </c>
      <c r="I1681" s="4">
        <v>76.12</v>
      </c>
      <c r="J1681" t="str">
        <f t="shared" si="54"/>
        <v>GUARDIAN</v>
      </c>
    </row>
    <row r="1682" spans="1:10" x14ac:dyDescent="0.25">
      <c r="A1682" t="str">
        <f>""</f>
        <v/>
      </c>
      <c r="B1682" t="str">
        <f>""</f>
        <v/>
      </c>
      <c r="G1682" t="str">
        <f>""</f>
        <v/>
      </c>
      <c r="H1682" t="str">
        <f>""</f>
        <v/>
      </c>
      <c r="I1682" s="4">
        <v>30.78</v>
      </c>
      <c r="J1682" t="str">
        <f t="shared" si="54"/>
        <v>GUARDIAN</v>
      </c>
    </row>
    <row r="1683" spans="1:10" x14ac:dyDescent="0.25">
      <c r="A1683" t="str">
        <f>""</f>
        <v/>
      </c>
      <c r="B1683" t="str">
        <f>""</f>
        <v/>
      </c>
      <c r="G1683" t="str">
        <f>""</f>
        <v/>
      </c>
      <c r="H1683" t="str">
        <f>""</f>
        <v/>
      </c>
      <c r="I1683" s="4">
        <v>15.39</v>
      </c>
      <c r="J1683" t="str">
        <f t="shared" si="54"/>
        <v>GUARDIAN</v>
      </c>
    </row>
    <row r="1684" spans="1:10" x14ac:dyDescent="0.25">
      <c r="A1684" t="str">
        <f>""</f>
        <v/>
      </c>
      <c r="B1684" t="str">
        <f>""</f>
        <v/>
      </c>
      <c r="G1684" t="str">
        <f>""</f>
        <v/>
      </c>
      <c r="H1684" t="str">
        <f>""</f>
        <v/>
      </c>
      <c r="I1684" s="4">
        <v>15.39</v>
      </c>
      <c r="J1684" t="str">
        <f t="shared" ref="J1684:J1747" si="55">"GUARDIAN"</f>
        <v>GUARDIAN</v>
      </c>
    </row>
    <row r="1685" spans="1:10" x14ac:dyDescent="0.25">
      <c r="A1685" t="str">
        <f>""</f>
        <v/>
      </c>
      <c r="B1685" t="str">
        <f>""</f>
        <v/>
      </c>
      <c r="G1685" t="str">
        <f>""</f>
        <v/>
      </c>
      <c r="H1685" t="str">
        <f>""</f>
        <v/>
      </c>
      <c r="I1685" s="4">
        <v>230.85</v>
      </c>
      <c r="J1685" t="str">
        <f t="shared" si="55"/>
        <v>GUARDIAN</v>
      </c>
    </row>
    <row r="1686" spans="1:10" x14ac:dyDescent="0.25">
      <c r="A1686" t="str">
        <f>""</f>
        <v/>
      </c>
      <c r="B1686" t="str">
        <f>""</f>
        <v/>
      </c>
      <c r="G1686" t="str">
        <f>""</f>
        <v/>
      </c>
      <c r="H1686" t="str">
        <f>""</f>
        <v/>
      </c>
      <c r="I1686" s="4">
        <v>15.39</v>
      </c>
      <c r="J1686" t="str">
        <f t="shared" si="55"/>
        <v>GUARDIAN</v>
      </c>
    </row>
    <row r="1687" spans="1:10" x14ac:dyDescent="0.25">
      <c r="A1687" t="str">
        <f>""</f>
        <v/>
      </c>
      <c r="B1687" t="str">
        <f>""</f>
        <v/>
      </c>
      <c r="G1687" t="str">
        <f>""</f>
        <v/>
      </c>
      <c r="H1687" t="str">
        <f>""</f>
        <v/>
      </c>
      <c r="I1687" s="4">
        <v>52.69</v>
      </c>
      <c r="J1687" t="str">
        <f t="shared" si="55"/>
        <v>GUARDIAN</v>
      </c>
    </row>
    <row r="1688" spans="1:10" x14ac:dyDescent="0.25">
      <c r="A1688" t="str">
        <f>""</f>
        <v/>
      </c>
      <c r="B1688" t="str">
        <f>""</f>
        <v/>
      </c>
      <c r="G1688" t="str">
        <f>""</f>
        <v/>
      </c>
      <c r="H1688" t="str">
        <f>""</f>
        <v/>
      </c>
      <c r="I1688" s="4">
        <v>107.73</v>
      </c>
      <c r="J1688" t="str">
        <f t="shared" si="55"/>
        <v>GUARDIAN</v>
      </c>
    </row>
    <row r="1689" spans="1:10" x14ac:dyDescent="0.25">
      <c r="A1689" t="str">
        <f>""</f>
        <v/>
      </c>
      <c r="B1689" t="str">
        <f>""</f>
        <v/>
      </c>
      <c r="G1689" t="str">
        <f>""</f>
        <v/>
      </c>
      <c r="H1689" t="str">
        <f>""</f>
        <v/>
      </c>
      <c r="I1689" s="4">
        <v>30.78</v>
      </c>
      <c r="J1689" t="str">
        <f t="shared" si="55"/>
        <v>GUARDIAN</v>
      </c>
    </row>
    <row r="1690" spans="1:10" x14ac:dyDescent="0.25">
      <c r="A1690" t="str">
        <f>""</f>
        <v/>
      </c>
      <c r="B1690" t="str">
        <f>""</f>
        <v/>
      </c>
      <c r="G1690" t="str">
        <f>""</f>
        <v/>
      </c>
      <c r="H1690" t="str">
        <f>""</f>
        <v/>
      </c>
      <c r="I1690" s="4">
        <v>61.56</v>
      </c>
      <c r="J1690" t="str">
        <f t="shared" si="55"/>
        <v>GUARDIAN</v>
      </c>
    </row>
    <row r="1691" spans="1:10" x14ac:dyDescent="0.25">
      <c r="A1691" t="str">
        <f>""</f>
        <v/>
      </c>
      <c r="B1691" t="str">
        <f>""</f>
        <v/>
      </c>
      <c r="G1691" t="str">
        <f>""</f>
        <v/>
      </c>
      <c r="H1691" t="str">
        <f>""</f>
        <v/>
      </c>
      <c r="I1691" s="4">
        <v>15.39</v>
      </c>
      <c r="J1691" t="str">
        <f t="shared" si="55"/>
        <v>GUARDIAN</v>
      </c>
    </row>
    <row r="1692" spans="1:10" x14ac:dyDescent="0.25">
      <c r="A1692" t="str">
        <f>""</f>
        <v/>
      </c>
      <c r="B1692" t="str">
        <f>""</f>
        <v/>
      </c>
      <c r="G1692" t="str">
        <f>""</f>
        <v/>
      </c>
      <c r="H1692" t="str">
        <f>""</f>
        <v/>
      </c>
      <c r="I1692" s="4">
        <v>30.78</v>
      </c>
      <c r="J1692" t="str">
        <f t="shared" si="55"/>
        <v>GUARDIAN</v>
      </c>
    </row>
    <row r="1693" spans="1:10" x14ac:dyDescent="0.25">
      <c r="A1693" t="str">
        <f>""</f>
        <v/>
      </c>
      <c r="B1693" t="str">
        <f>""</f>
        <v/>
      </c>
      <c r="G1693" t="str">
        <f>""</f>
        <v/>
      </c>
      <c r="H1693" t="str">
        <f>""</f>
        <v/>
      </c>
      <c r="I1693" s="4">
        <v>30.78</v>
      </c>
      <c r="J1693" t="str">
        <f t="shared" si="55"/>
        <v>GUARDIAN</v>
      </c>
    </row>
    <row r="1694" spans="1:10" x14ac:dyDescent="0.25">
      <c r="A1694" t="str">
        <f>""</f>
        <v/>
      </c>
      <c r="B1694" t="str">
        <f>""</f>
        <v/>
      </c>
      <c r="G1694" t="str">
        <f>""</f>
        <v/>
      </c>
      <c r="H1694" t="str">
        <f>""</f>
        <v/>
      </c>
      <c r="I1694" s="4">
        <v>168.33</v>
      </c>
      <c r="J1694" t="str">
        <f t="shared" si="55"/>
        <v>GUARDIAN</v>
      </c>
    </row>
    <row r="1695" spans="1:10" x14ac:dyDescent="0.25">
      <c r="A1695" t="str">
        <f>""</f>
        <v/>
      </c>
      <c r="B1695" t="str">
        <f>""</f>
        <v/>
      </c>
      <c r="G1695" t="str">
        <f>""</f>
        <v/>
      </c>
      <c r="H1695" t="str">
        <f>""</f>
        <v/>
      </c>
      <c r="I1695" s="4">
        <v>15.39</v>
      </c>
      <c r="J1695" t="str">
        <f t="shared" si="55"/>
        <v>GUARDIAN</v>
      </c>
    </row>
    <row r="1696" spans="1:10" x14ac:dyDescent="0.25">
      <c r="A1696" t="str">
        <f>""</f>
        <v/>
      </c>
      <c r="B1696" t="str">
        <f>""</f>
        <v/>
      </c>
      <c r="G1696" t="str">
        <f>""</f>
        <v/>
      </c>
      <c r="H1696" t="str">
        <f>""</f>
        <v/>
      </c>
      <c r="I1696" s="4">
        <v>30.78</v>
      </c>
      <c r="J1696" t="str">
        <f t="shared" si="55"/>
        <v>GUARDIAN</v>
      </c>
    </row>
    <row r="1697" spans="1:10" x14ac:dyDescent="0.25">
      <c r="A1697" t="str">
        <f>""</f>
        <v/>
      </c>
      <c r="B1697" t="str">
        <f>""</f>
        <v/>
      </c>
      <c r="G1697" t="str">
        <f>""</f>
        <v/>
      </c>
      <c r="H1697" t="str">
        <f>""</f>
        <v/>
      </c>
      <c r="I1697" s="4">
        <v>15.39</v>
      </c>
      <c r="J1697" t="str">
        <f t="shared" si="55"/>
        <v>GUARDIAN</v>
      </c>
    </row>
    <row r="1698" spans="1:10" x14ac:dyDescent="0.25">
      <c r="A1698" t="str">
        <f>""</f>
        <v/>
      </c>
      <c r="B1698" t="str">
        <f>""</f>
        <v/>
      </c>
      <c r="G1698" t="str">
        <f>""</f>
        <v/>
      </c>
      <c r="H1698" t="str">
        <f>""</f>
        <v/>
      </c>
      <c r="I1698" s="4">
        <v>107.73</v>
      </c>
      <c r="J1698" t="str">
        <f t="shared" si="55"/>
        <v>GUARDIAN</v>
      </c>
    </row>
    <row r="1699" spans="1:10" x14ac:dyDescent="0.25">
      <c r="A1699" t="str">
        <f>""</f>
        <v/>
      </c>
      <c r="B1699" t="str">
        <f>""</f>
        <v/>
      </c>
      <c r="G1699" t="str">
        <f>""</f>
        <v/>
      </c>
      <c r="H1699" t="str">
        <f>""</f>
        <v/>
      </c>
      <c r="I1699" s="4">
        <v>30.78</v>
      </c>
      <c r="J1699" t="str">
        <f t="shared" si="55"/>
        <v>GUARDIAN</v>
      </c>
    </row>
    <row r="1700" spans="1:10" x14ac:dyDescent="0.25">
      <c r="A1700" t="str">
        <f>""</f>
        <v/>
      </c>
      <c r="B1700" t="str">
        <f>""</f>
        <v/>
      </c>
      <c r="G1700" t="str">
        <f>""</f>
        <v/>
      </c>
      <c r="H1700" t="str">
        <f>""</f>
        <v/>
      </c>
      <c r="I1700" s="4">
        <v>92.34</v>
      </c>
      <c r="J1700" t="str">
        <f t="shared" si="55"/>
        <v>GUARDIAN</v>
      </c>
    </row>
    <row r="1701" spans="1:10" x14ac:dyDescent="0.25">
      <c r="A1701" t="str">
        <f>""</f>
        <v/>
      </c>
      <c r="B1701" t="str">
        <f>""</f>
        <v/>
      </c>
      <c r="G1701" t="str">
        <f>""</f>
        <v/>
      </c>
      <c r="H1701" t="str">
        <f>""</f>
        <v/>
      </c>
      <c r="I1701" s="4">
        <v>138.51</v>
      </c>
      <c r="J1701" t="str">
        <f t="shared" si="55"/>
        <v>GUARDIAN</v>
      </c>
    </row>
    <row r="1702" spans="1:10" x14ac:dyDescent="0.25">
      <c r="A1702" t="str">
        <f>""</f>
        <v/>
      </c>
      <c r="B1702" t="str">
        <f>""</f>
        <v/>
      </c>
      <c r="G1702" t="str">
        <f>""</f>
        <v/>
      </c>
      <c r="H1702" t="str">
        <f>""</f>
        <v/>
      </c>
      <c r="I1702" s="4">
        <v>146.44</v>
      </c>
      <c r="J1702" t="str">
        <f t="shared" si="55"/>
        <v>GUARDIAN</v>
      </c>
    </row>
    <row r="1703" spans="1:10" x14ac:dyDescent="0.25">
      <c r="A1703" t="str">
        <f>""</f>
        <v/>
      </c>
      <c r="B1703" t="str">
        <f>""</f>
        <v/>
      </c>
      <c r="G1703" t="str">
        <f>""</f>
        <v/>
      </c>
      <c r="H1703" t="str">
        <f>""</f>
        <v/>
      </c>
      <c r="I1703" s="4">
        <v>15.39</v>
      </c>
      <c r="J1703" t="str">
        <f t="shared" si="55"/>
        <v>GUARDIAN</v>
      </c>
    </row>
    <row r="1704" spans="1:10" x14ac:dyDescent="0.25">
      <c r="A1704" t="str">
        <f>""</f>
        <v/>
      </c>
      <c r="B1704" t="str">
        <f>""</f>
        <v/>
      </c>
      <c r="G1704" t="str">
        <f>""</f>
        <v/>
      </c>
      <c r="H1704" t="str">
        <f>""</f>
        <v/>
      </c>
      <c r="I1704" s="4">
        <v>947.93</v>
      </c>
      <c r="J1704" t="str">
        <f t="shared" si="55"/>
        <v>GUARDIAN</v>
      </c>
    </row>
    <row r="1705" spans="1:10" x14ac:dyDescent="0.25">
      <c r="A1705" t="str">
        <f>""</f>
        <v/>
      </c>
      <c r="B1705" t="str">
        <f>""</f>
        <v/>
      </c>
      <c r="G1705" t="str">
        <f>""</f>
        <v/>
      </c>
      <c r="H1705" t="str">
        <f>""</f>
        <v/>
      </c>
      <c r="I1705" s="4">
        <v>42.46</v>
      </c>
      <c r="J1705" t="str">
        <f t="shared" si="55"/>
        <v>GUARDIAN</v>
      </c>
    </row>
    <row r="1706" spans="1:10" x14ac:dyDescent="0.25">
      <c r="A1706" t="str">
        <f>""</f>
        <v/>
      </c>
      <c r="B1706" t="str">
        <f>""</f>
        <v/>
      </c>
      <c r="G1706" t="str">
        <f>""</f>
        <v/>
      </c>
      <c r="H1706" t="str">
        <f>""</f>
        <v/>
      </c>
      <c r="I1706" s="4">
        <v>939.49</v>
      </c>
      <c r="J1706" t="str">
        <f t="shared" si="55"/>
        <v>GUARDIAN</v>
      </c>
    </row>
    <row r="1707" spans="1:10" x14ac:dyDescent="0.25">
      <c r="A1707" t="str">
        <f>""</f>
        <v/>
      </c>
      <c r="B1707" t="str">
        <f>""</f>
        <v/>
      </c>
      <c r="G1707" t="str">
        <f>""</f>
        <v/>
      </c>
      <c r="H1707" t="str">
        <f>""</f>
        <v/>
      </c>
      <c r="I1707" s="4">
        <v>292.41000000000003</v>
      </c>
      <c r="J1707" t="str">
        <f t="shared" si="55"/>
        <v>GUARDIAN</v>
      </c>
    </row>
    <row r="1708" spans="1:10" x14ac:dyDescent="0.25">
      <c r="A1708" t="str">
        <f>""</f>
        <v/>
      </c>
      <c r="B1708" t="str">
        <f>""</f>
        <v/>
      </c>
      <c r="G1708" t="str">
        <f>""</f>
        <v/>
      </c>
      <c r="H1708" t="str">
        <f>""</f>
        <v/>
      </c>
      <c r="I1708" s="4">
        <v>15.39</v>
      </c>
      <c r="J1708" t="str">
        <f t="shared" si="55"/>
        <v>GUARDIAN</v>
      </c>
    </row>
    <row r="1709" spans="1:10" x14ac:dyDescent="0.25">
      <c r="A1709" t="str">
        <f>""</f>
        <v/>
      </c>
      <c r="B1709" t="str">
        <f>""</f>
        <v/>
      </c>
      <c r="G1709" t="str">
        <f>""</f>
        <v/>
      </c>
      <c r="H1709" t="str">
        <f>""</f>
        <v/>
      </c>
      <c r="I1709" s="4">
        <v>48.97</v>
      </c>
      <c r="J1709" t="str">
        <f t="shared" si="55"/>
        <v>GUARDIAN</v>
      </c>
    </row>
    <row r="1710" spans="1:10" x14ac:dyDescent="0.25">
      <c r="A1710" t="str">
        <f>""</f>
        <v/>
      </c>
      <c r="B1710" t="str">
        <f>""</f>
        <v/>
      </c>
      <c r="G1710" t="str">
        <f>""</f>
        <v/>
      </c>
      <c r="H1710" t="str">
        <f>""</f>
        <v/>
      </c>
      <c r="I1710" s="4">
        <v>46.17</v>
      </c>
      <c r="J1710" t="str">
        <f t="shared" si="55"/>
        <v>GUARDIAN</v>
      </c>
    </row>
    <row r="1711" spans="1:10" x14ac:dyDescent="0.25">
      <c r="A1711" t="str">
        <f>""</f>
        <v/>
      </c>
      <c r="B1711" t="str">
        <f>""</f>
        <v/>
      </c>
      <c r="G1711" t="str">
        <f>""</f>
        <v/>
      </c>
      <c r="H1711" t="str">
        <f>""</f>
        <v/>
      </c>
      <c r="I1711" s="4">
        <v>15.39</v>
      </c>
      <c r="J1711" t="str">
        <f t="shared" si="55"/>
        <v>GUARDIAN</v>
      </c>
    </row>
    <row r="1712" spans="1:10" x14ac:dyDescent="0.25">
      <c r="A1712" t="str">
        <f>""</f>
        <v/>
      </c>
      <c r="B1712" t="str">
        <f>""</f>
        <v/>
      </c>
      <c r="G1712" t="str">
        <f>""</f>
        <v/>
      </c>
      <c r="H1712" t="str">
        <f>""</f>
        <v/>
      </c>
      <c r="I1712" s="4">
        <v>69.25</v>
      </c>
      <c r="J1712" t="str">
        <f t="shared" si="55"/>
        <v>GUARDIAN</v>
      </c>
    </row>
    <row r="1713" spans="1:10" x14ac:dyDescent="0.25">
      <c r="A1713" t="str">
        <f>""</f>
        <v/>
      </c>
      <c r="B1713" t="str">
        <f>""</f>
        <v/>
      </c>
      <c r="G1713" t="str">
        <f>""</f>
        <v/>
      </c>
      <c r="H1713" t="str">
        <f>""</f>
        <v/>
      </c>
      <c r="I1713" s="4">
        <v>15.39</v>
      </c>
      <c r="J1713" t="str">
        <f t="shared" si="55"/>
        <v>GUARDIAN</v>
      </c>
    </row>
    <row r="1714" spans="1:10" x14ac:dyDescent="0.25">
      <c r="A1714" t="str">
        <f>""</f>
        <v/>
      </c>
      <c r="B1714" t="str">
        <f>""</f>
        <v/>
      </c>
      <c r="G1714" t="str">
        <f>""</f>
        <v/>
      </c>
      <c r="H1714" t="str">
        <f>""</f>
        <v/>
      </c>
      <c r="I1714" s="4">
        <v>16.22</v>
      </c>
      <c r="J1714" t="str">
        <f t="shared" si="55"/>
        <v>GUARDIAN</v>
      </c>
    </row>
    <row r="1715" spans="1:10" x14ac:dyDescent="0.25">
      <c r="A1715" t="str">
        <f>""</f>
        <v/>
      </c>
      <c r="B1715" t="str">
        <f>""</f>
        <v/>
      </c>
      <c r="G1715" t="str">
        <f>""</f>
        <v/>
      </c>
      <c r="H1715" t="str">
        <f>""</f>
        <v/>
      </c>
      <c r="I1715" s="4">
        <v>96.13</v>
      </c>
      <c r="J1715" t="str">
        <f t="shared" si="55"/>
        <v>GUARDIAN</v>
      </c>
    </row>
    <row r="1716" spans="1:10" x14ac:dyDescent="0.25">
      <c r="A1716" t="str">
        <f>""</f>
        <v/>
      </c>
      <c r="B1716" t="str">
        <f>""</f>
        <v/>
      </c>
      <c r="G1716" t="str">
        <f>""</f>
        <v/>
      </c>
      <c r="H1716" t="str">
        <f>""</f>
        <v/>
      </c>
      <c r="I1716" s="4">
        <v>89.44</v>
      </c>
      <c r="J1716" t="str">
        <f t="shared" si="55"/>
        <v>GUARDIAN</v>
      </c>
    </row>
    <row r="1717" spans="1:10" x14ac:dyDescent="0.25">
      <c r="A1717" t="str">
        <f>""</f>
        <v/>
      </c>
      <c r="B1717" t="str">
        <f>""</f>
        <v/>
      </c>
      <c r="G1717" t="str">
        <f>""</f>
        <v/>
      </c>
      <c r="H1717" t="str">
        <f>""</f>
        <v/>
      </c>
      <c r="I1717" s="4">
        <v>166.39</v>
      </c>
      <c r="J1717" t="str">
        <f t="shared" si="55"/>
        <v>GUARDIAN</v>
      </c>
    </row>
    <row r="1718" spans="1:10" x14ac:dyDescent="0.25">
      <c r="A1718" t="str">
        <f>""</f>
        <v/>
      </c>
      <c r="B1718" t="str">
        <f>""</f>
        <v/>
      </c>
      <c r="G1718" t="str">
        <f>""</f>
        <v/>
      </c>
      <c r="H1718" t="str">
        <f>""</f>
        <v/>
      </c>
      <c r="I1718" s="4">
        <v>166.39</v>
      </c>
      <c r="J1718" t="str">
        <f t="shared" si="55"/>
        <v>GUARDIAN</v>
      </c>
    </row>
    <row r="1719" spans="1:10" x14ac:dyDescent="0.25">
      <c r="A1719" t="str">
        <f>""</f>
        <v/>
      </c>
      <c r="B1719" t="str">
        <f>""</f>
        <v/>
      </c>
      <c r="G1719" t="str">
        <f>""</f>
        <v/>
      </c>
      <c r="H1719" t="str">
        <f>""</f>
        <v/>
      </c>
      <c r="I1719" s="4">
        <v>0.4</v>
      </c>
      <c r="J1719" t="str">
        <f t="shared" si="55"/>
        <v>GUARDIAN</v>
      </c>
    </row>
    <row r="1720" spans="1:10" x14ac:dyDescent="0.25">
      <c r="A1720" t="str">
        <f>""</f>
        <v/>
      </c>
      <c r="B1720" t="str">
        <f>""</f>
        <v/>
      </c>
      <c r="G1720" t="str">
        <f>""</f>
        <v/>
      </c>
      <c r="H1720" t="str">
        <f>""</f>
        <v/>
      </c>
      <c r="I1720" s="4">
        <v>0.56000000000000005</v>
      </c>
      <c r="J1720" t="str">
        <f t="shared" si="55"/>
        <v>GUARDIAN</v>
      </c>
    </row>
    <row r="1721" spans="1:10" x14ac:dyDescent="0.25">
      <c r="A1721" t="str">
        <f>""</f>
        <v/>
      </c>
      <c r="B1721" t="str">
        <f>""</f>
        <v/>
      </c>
      <c r="G1721" t="str">
        <f>""</f>
        <v/>
      </c>
      <c r="H1721" t="str">
        <f>""</f>
        <v/>
      </c>
      <c r="I1721" s="4">
        <v>15.33</v>
      </c>
      <c r="J1721" t="str">
        <f t="shared" si="55"/>
        <v>GUARDIAN</v>
      </c>
    </row>
    <row r="1722" spans="1:10" x14ac:dyDescent="0.25">
      <c r="A1722" t="str">
        <f>""</f>
        <v/>
      </c>
      <c r="B1722" t="str">
        <f>""</f>
        <v/>
      </c>
      <c r="G1722" t="str">
        <f>"GDE202202169062"</f>
        <v>GDE202202169062</v>
      </c>
      <c r="H1722" t="str">
        <f>"GUARDIAN"</f>
        <v>GUARDIAN</v>
      </c>
      <c r="I1722" s="4">
        <v>123.12</v>
      </c>
      <c r="J1722" t="str">
        <f t="shared" si="55"/>
        <v>GUARDIAN</v>
      </c>
    </row>
    <row r="1723" spans="1:10" x14ac:dyDescent="0.25">
      <c r="A1723" t="str">
        <f>""</f>
        <v/>
      </c>
      <c r="B1723" t="str">
        <f>""</f>
        <v/>
      </c>
      <c r="G1723" t="str">
        <f>"GDF202202028715"</f>
        <v>GDF202202028715</v>
      </c>
      <c r="H1723" t="str">
        <f>"GUARDIAN"</f>
        <v>GUARDIAN</v>
      </c>
      <c r="I1723" s="4">
        <v>30.5</v>
      </c>
      <c r="J1723" t="str">
        <f t="shared" si="55"/>
        <v>GUARDIAN</v>
      </c>
    </row>
    <row r="1724" spans="1:10" x14ac:dyDescent="0.25">
      <c r="A1724" t="str">
        <f>""</f>
        <v/>
      </c>
      <c r="B1724" t="str">
        <f>""</f>
        <v/>
      </c>
      <c r="G1724" t="str">
        <f>""</f>
        <v/>
      </c>
      <c r="H1724" t="str">
        <f>""</f>
        <v/>
      </c>
      <c r="I1724" s="4">
        <v>15.39</v>
      </c>
      <c r="J1724" t="str">
        <f t="shared" si="55"/>
        <v>GUARDIAN</v>
      </c>
    </row>
    <row r="1725" spans="1:10" x14ac:dyDescent="0.25">
      <c r="A1725" t="str">
        <f>""</f>
        <v/>
      </c>
      <c r="B1725" t="str">
        <f>""</f>
        <v/>
      </c>
      <c r="G1725" t="str">
        <f>""</f>
        <v/>
      </c>
      <c r="H1725" t="str">
        <f>""</f>
        <v/>
      </c>
      <c r="I1725" s="4">
        <v>30.78</v>
      </c>
      <c r="J1725" t="str">
        <f t="shared" si="55"/>
        <v>GUARDIAN</v>
      </c>
    </row>
    <row r="1726" spans="1:10" x14ac:dyDescent="0.25">
      <c r="A1726" t="str">
        <f>""</f>
        <v/>
      </c>
      <c r="B1726" t="str">
        <f>""</f>
        <v/>
      </c>
      <c r="G1726" t="str">
        <f>""</f>
        <v/>
      </c>
      <c r="H1726" t="str">
        <f>""</f>
        <v/>
      </c>
      <c r="I1726" s="4">
        <v>30.78</v>
      </c>
      <c r="J1726" t="str">
        <f t="shared" si="55"/>
        <v>GUARDIAN</v>
      </c>
    </row>
    <row r="1727" spans="1:10" x14ac:dyDescent="0.25">
      <c r="A1727" t="str">
        <f>""</f>
        <v/>
      </c>
      <c r="B1727" t="str">
        <f>""</f>
        <v/>
      </c>
      <c r="G1727" t="str">
        <f>""</f>
        <v/>
      </c>
      <c r="H1727" t="str">
        <f>""</f>
        <v/>
      </c>
      <c r="I1727" s="4">
        <v>15.39</v>
      </c>
      <c r="J1727" t="str">
        <f t="shared" si="55"/>
        <v>GUARDIAN</v>
      </c>
    </row>
    <row r="1728" spans="1:10" x14ac:dyDescent="0.25">
      <c r="A1728" t="str">
        <f>""</f>
        <v/>
      </c>
      <c r="B1728" t="str">
        <f>""</f>
        <v/>
      </c>
      <c r="G1728" t="str">
        <f>""</f>
        <v/>
      </c>
      <c r="H1728" t="str">
        <f>""</f>
        <v/>
      </c>
      <c r="I1728" s="4">
        <v>30.78</v>
      </c>
      <c r="J1728" t="str">
        <f t="shared" si="55"/>
        <v>GUARDIAN</v>
      </c>
    </row>
    <row r="1729" spans="1:10" x14ac:dyDescent="0.25">
      <c r="A1729" t="str">
        <f>""</f>
        <v/>
      </c>
      <c r="B1729" t="str">
        <f>""</f>
        <v/>
      </c>
      <c r="G1729" t="str">
        <f>""</f>
        <v/>
      </c>
      <c r="H1729" t="str">
        <f>""</f>
        <v/>
      </c>
      <c r="I1729" s="4">
        <v>15.39</v>
      </c>
      <c r="J1729" t="str">
        <f t="shared" si="55"/>
        <v>GUARDIAN</v>
      </c>
    </row>
    <row r="1730" spans="1:10" x14ac:dyDescent="0.25">
      <c r="A1730" t="str">
        <f>""</f>
        <v/>
      </c>
      <c r="B1730" t="str">
        <f>""</f>
        <v/>
      </c>
      <c r="G1730" t="str">
        <f>""</f>
        <v/>
      </c>
      <c r="H1730" t="str">
        <f>""</f>
        <v/>
      </c>
      <c r="I1730" s="4">
        <v>15.39</v>
      </c>
      <c r="J1730" t="str">
        <f t="shared" si="55"/>
        <v>GUARDIAN</v>
      </c>
    </row>
    <row r="1731" spans="1:10" x14ac:dyDescent="0.25">
      <c r="A1731" t="str">
        <f>""</f>
        <v/>
      </c>
      <c r="B1731" t="str">
        <f>""</f>
        <v/>
      </c>
      <c r="G1731" t="str">
        <f>""</f>
        <v/>
      </c>
      <c r="H1731" t="str">
        <f>""</f>
        <v/>
      </c>
      <c r="I1731" s="4">
        <v>15.39</v>
      </c>
      <c r="J1731" t="str">
        <f t="shared" si="55"/>
        <v>GUARDIAN</v>
      </c>
    </row>
    <row r="1732" spans="1:10" x14ac:dyDescent="0.25">
      <c r="A1732" t="str">
        <f>""</f>
        <v/>
      </c>
      <c r="B1732" t="str">
        <f>""</f>
        <v/>
      </c>
      <c r="G1732" t="str">
        <f>""</f>
        <v/>
      </c>
      <c r="H1732" t="str">
        <f>""</f>
        <v/>
      </c>
      <c r="I1732" s="4">
        <v>15.39</v>
      </c>
      <c r="J1732" t="str">
        <f t="shared" si="55"/>
        <v>GUARDIAN</v>
      </c>
    </row>
    <row r="1733" spans="1:10" x14ac:dyDescent="0.25">
      <c r="A1733" t="str">
        <f>""</f>
        <v/>
      </c>
      <c r="B1733" t="str">
        <f>""</f>
        <v/>
      </c>
      <c r="G1733" t="str">
        <f>""</f>
        <v/>
      </c>
      <c r="H1733" t="str">
        <f>""</f>
        <v/>
      </c>
      <c r="I1733" s="4">
        <v>30.78</v>
      </c>
      <c r="J1733" t="str">
        <f t="shared" si="55"/>
        <v>GUARDIAN</v>
      </c>
    </row>
    <row r="1734" spans="1:10" x14ac:dyDescent="0.25">
      <c r="A1734" t="str">
        <f>""</f>
        <v/>
      </c>
      <c r="B1734" t="str">
        <f>""</f>
        <v/>
      </c>
      <c r="G1734" t="str">
        <f>""</f>
        <v/>
      </c>
      <c r="H1734" t="str">
        <f>""</f>
        <v/>
      </c>
      <c r="I1734" s="4">
        <v>30.78</v>
      </c>
      <c r="J1734" t="str">
        <f t="shared" si="55"/>
        <v>GUARDIAN</v>
      </c>
    </row>
    <row r="1735" spans="1:10" x14ac:dyDescent="0.25">
      <c r="A1735" t="str">
        <f>""</f>
        <v/>
      </c>
      <c r="B1735" t="str">
        <f>""</f>
        <v/>
      </c>
      <c r="G1735" t="str">
        <f>""</f>
        <v/>
      </c>
      <c r="H1735" t="str">
        <f>""</f>
        <v/>
      </c>
      <c r="I1735" s="4">
        <v>15.39</v>
      </c>
      <c r="J1735" t="str">
        <f t="shared" si="55"/>
        <v>GUARDIAN</v>
      </c>
    </row>
    <row r="1736" spans="1:10" x14ac:dyDescent="0.25">
      <c r="A1736" t="str">
        <f>""</f>
        <v/>
      </c>
      <c r="B1736" t="str">
        <f>""</f>
        <v/>
      </c>
      <c r="G1736" t="str">
        <f>""</f>
        <v/>
      </c>
      <c r="H1736" t="str">
        <f>""</f>
        <v/>
      </c>
      <c r="I1736" s="4">
        <v>30.78</v>
      </c>
      <c r="J1736" t="str">
        <f t="shared" si="55"/>
        <v>GUARDIAN</v>
      </c>
    </row>
    <row r="1737" spans="1:10" x14ac:dyDescent="0.25">
      <c r="A1737" t="str">
        <f>""</f>
        <v/>
      </c>
      <c r="B1737" t="str">
        <f>""</f>
        <v/>
      </c>
      <c r="G1737" t="str">
        <f>""</f>
        <v/>
      </c>
      <c r="H1737" t="str">
        <f>""</f>
        <v/>
      </c>
      <c r="I1737" s="4">
        <v>15.39</v>
      </c>
      <c r="J1737" t="str">
        <f t="shared" si="55"/>
        <v>GUARDIAN</v>
      </c>
    </row>
    <row r="1738" spans="1:10" x14ac:dyDescent="0.25">
      <c r="A1738" t="str">
        <f>""</f>
        <v/>
      </c>
      <c r="B1738" t="str">
        <f>""</f>
        <v/>
      </c>
      <c r="G1738" t="str">
        <f>""</f>
        <v/>
      </c>
      <c r="H1738" t="str">
        <f>""</f>
        <v/>
      </c>
      <c r="I1738" s="4">
        <v>30.78</v>
      </c>
      <c r="J1738" t="str">
        <f t="shared" si="55"/>
        <v>GUARDIAN</v>
      </c>
    </row>
    <row r="1739" spans="1:10" x14ac:dyDescent="0.25">
      <c r="A1739" t="str">
        <f>""</f>
        <v/>
      </c>
      <c r="B1739" t="str">
        <f>""</f>
        <v/>
      </c>
      <c r="G1739" t="str">
        <f>""</f>
        <v/>
      </c>
      <c r="H1739" t="str">
        <f>""</f>
        <v/>
      </c>
      <c r="I1739" s="4">
        <v>46.17</v>
      </c>
      <c r="J1739" t="str">
        <f t="shared" si="55"/>
        <v>GUARDIAN</v>
      </c>
    </row>
    <row r="1740" spans="1:10" x14ac:dyDescent="0.25">
      <c r="A1740" t="str">
        <f>""</f>
        <v/>
      </c>
      <c r="B1740" t="str">
        <f>""</f>
        <v/>
      </c>
      <c r="G1740" t="str">
        <f>""</f>
        <v/>
      </c>
      <c r="H1740" t="str">
        <f>""</f>
        <v/>
      </c>
      <c r="I1740" s="4">
        <v>15.39</v>
      </c>
      <c r="J1740" t="str">
        <f t="shared" si="55"/>
        <v>GUARDIAN</v>
      </c>
    </row>
    <row r="1741" spans="1:10" x14ac:dyDescent="0.25">
      <c r="A1741" t="str">
        <f>""</f>
        <v/>
      </c>
      <c r="B1741" t="str">
        <f>""</f>
        <v/>
      </c>
      <c r="G1741" t="str">
        <f>""</f>
        <v/>
      </c>
      <c r="H1741" t="str">
        <f>""</f>
        <v/>
      </c>
      <c r="I1741" s="4">
        <v>170.65</v>
      </c>
      <c r="J1741" t="str">
        <f t="shared" si="55"/>
        <v>GUARDIAN</v>
      </c>
    </row>
    <row r="1742" spans="1:10" x14ac:dyDescent="0.25">
      <c r="A1742" t="str">
        <f>""</f>
        <v/>
      </c>
      <c r="B1742" t="str">
        <f>""</f>
        <v/>
      </c>
      <c r="G1742" t="str">
        <f>""</f>
        <v/>
      </c>
      <c r="H1742" t="str">
        <f>""</f>
        <v/>
      </c>
      <c r="I1742" s="4">
        <v>106.37</v>
      </c>
      <c r="J1742" t="str">
        <f t="shared" si="55"/>
        <v>GUARDIAN</v>
      </c>
    </row>
    <row r="1743" spans="1:10" x14ac:dyDescent="0.25">
      <c r="A1743" t="str">
        <f>""</f>
        <v/>
      </c>
      <c r="B1743" t="str">
        <f>""</f>
        <v/>
      </c>
      <c r="G1743" t="str">
        <f>""</f>
        <v/>
      </c>
      <c r="H1743" t="str">
        <f>""</f>
        <v/>
      </c>
      <c r="I1743" s="4">
        <v>15.39</v>
      </c>
      <c r="J1743" t="str">
        <f t="shared" si="55"/>
        <v>GUARDIAN</v>
      </c>
    </row>
    <row r="1744" spans="1:10" x14ac:dyDescent="0.25">
      <c r="A1744" t="str">
        <f>""</f>
        <v/>
      </c>
      <c r="B1744" t="str">
        <f>""</f>
        <v/>
      </c>
      <c r="G1744" t="str">
        <f>""</f>
        <v/>
      </c>
      <c r="H1744" t="str">
        <f>""</f>
        <v/>
      </c>
      <c r="I1744" s="4">
        <v>15.39</v>
      </c>
      <c r="J1744" t="str">
        <f t="shared" si="55"/>
        <v>GUARDIAN</v>
      </c>
    </row>
    <row r="1745" spans="1:10" x14ac:dyDescent="0.25">
      <c r="A1745" t="str">
        <f>""</f>
        <v/>
      </c>
      <c r="B1745" t="str">
        <f>""</f>
        <v/>
      </c>
      <c r="G1745" t="str">
        <f>""</f>
        <v/>
      </c>
      <c r="H1745" t="str">
        <f>""</f>
        <v/>
      </c>
      <c r="I1745" s="4">
        <v>15.39</v>
      </c>
      <c r="J1745" t="str">
        <f t="shared" si="55"/>
        <v>GUARDIAN</v>
      </c>
    </row>
    <row r="1746" spans="1:10" x14ac:dyDescent="0.25">
      <c r="A1746" t="str">
        <f>""</f>
        <v/>
      </c>
      <c r="B1746" t="str">
        <f>""</f>
        <v/>
      </c>
      <c r="G1746" t="str">
        <f>""</f>
        <v/>
      </c>
      <c r="H1746" t="str">
        <f>""</f>
        <v/>
      </c>
      <c r="I1746" s="4">
        <v>0.28000000000000003</v>
      </c>
      <c r="J1746" t="str">
        <f t="shared" si="55"/>
        <v>GUARDIAN</v>
      </c>
    </row>
    <row r="1747" spans="1:10" x14ac:dyDescent="0.25">
      <c r="A1747" t="str">
        <f>""</f>
        <v/>
      </c>
      <c r="B1747" t="str">
        <f>""</f>
        <v/>
      </c>
      <c r="G1747" t="str">
        <f>""</f>
        <v/>
      </c>
      <c r="H1747" t="str">
        <f>""</f>
        <v/>
      </c>
      <c r="I1747" s="4">
        <v>15.39</v>
      </c>
      <c r="J1747" t="str">
        <f t="shared" si="55"/>
        <v>GUARDIAN</v>
      </c>
    </row>
    <row r="1748" spans="1:10" x14ac:dyDescent="0.25">
      <c r="A1748" t="str">
        <f>""</f>
        <v/>
      </c>
      <c r="B1748" t="str">
        <f>""</f>
        <v/>
      </c>
      <c r="G1748" t="str">
        <f>""</f>
        <v/>
      </c>
      <c r="H1748" t="str">
        <f>""</f>
        <v/>
      </c>
      <c r="I1748" s="4">
        <v>15.39</v>
      </c>
      <c r="J1748" t="str">
        <f t="shared" ref="J1748:J1811" si="56">"GUARDIAN"</f>
        <v>GUARDIAN</v>
      </c>
    </row>
    <row r="1749" spans="1:10" x14ac:dyDescent="0.25">
      <c r="A1749" t="str">
        <f>""</f>
        <v/>
      </c>
      <c r="B1749" t="str">
        <f>""</f>
        <v/>
      </c>
      <c r="G1749" t="str">
        <f>""</f>
        <v/>
      </c>
      <c r="H1749" t="str">
        <f>""</f>
        <v/>
      </c>
      <c r="I1749" s="4">
        <v>1775.82</v>
      </c>
      <c r="J1749" t="str">
        <f t="shared" si="56"/>
        <v>GUARDIAN</v>
      </c>
    </row>
    <row r="1750" spans="1:10" x14ac:dyDescent="0.25">
      <c r="A1750" t="str">
        <f>""</f>
        <v/>
      </c>
      <c r="B1750" t="str">
        <f>""</f>
        <v/>
      </c>
      <c r="G1750" t="str">
        <f>"GDF202202028716"</f>
        <v>GDF202202028716</v>
      </c>
      <c r="H1750" t="str">
        <f>"GUARDIAN"</f>
        <v>GUARDIAN</v>
      </c>
      <c r="I1750" s="4">
        <v>30.78</v>
      </c>
      <c r="J1750" t="str">
        <f t="shared" si="56"/>
        <v>GUARDIAN</v>
      </c>
    </row>
    <row r="1751" spans="1:10" x14ac:dyDescent="0.25">
      <c r="A1751" t="str">
        <f>""</f>
        <v/>
      </c>
      <c r="B1751" t="str">
        <f>""</f>
        <v/>
      </c>
      <c r="G1751" t="str">
        <f>""</f>
        <v/>
      </c>
      <c r="H1751" t="str">
        <f>""</f>
        <v/>
      </c>
      <c r="I1751" s="4">
        <v>69.64</v>
      </c>
      <c r="J1751" t="str">
        <f t="shared" si="56"/>
        <v>GUARDIAN</v>
      </c>
    </row>
    <row r="1752" spans="1:10" x14ac:dyDescent="0.25">
      <c r="A1752" t="str">
        <f>""</f>
        <v/>
      </c>
      <c r="B1752" t="str">
        <f>""</f>
        <v/>
      </c>
      <c r="G1752" t="str">
        <f>"GDF202202169060"</f>
        <v>GDF202202169060</v>
      </c>
      <c r="H1752" t="str">
        <f>"GUARDIAN"</f>
        <v>GUARDIAN</v>
      </c>
      <c r="I1752" s="4">
        <v>30.5</v>
      </c>
      <c r="J1752" t="str">
        <f t="shared" si="56"/>
        <v>GUARDIAN</v>
      </c>
    </row>
    <row r="1753" spans="1:10" x14ac:dyDescent="0.25">
      <c r="A1753" t="str">
        <f>""</f>
        <v/>
      </c>
      <c r="B1753" t="str">
        <f>""</f>
        <v/>
      </c>
      <c r="G1753" t="str">
        <f>""</f>
        <v/>
      </c>
      <c r="H1753" t="str">
        <f>""</f>
        <v/>
      </c>
      <c r="I1753" s="4">
        <v>15.39</v>
      </c>
      <c r="J1753" t="str">
        <f t="shared" si="56"/>
        <v>GUARDIAN</v>
      </c>
    </row>
    <row r="1754" spans="1:10" x14ac:dyDescent="0.25">
      <c r="A1754" t="str">
        <f>""</f>
        <v/>
      </c>
      <c r="B1754" t="str">
        <f>""</f>
        <v/>
      </c>
      <c r="G1754" t="str">
        <f>""</f>
        <v/>
      </c>
      <c r="H1754" t="str">
        <f>""</f>
        <v/>
      </c>
      <c r="I1754" s="4">
        <v>30.78</v>
      </c>
      <c r="J1754" t="str">
        <f t="shared" si="56"/>
        <v>GUARDIAN</v>
      </c>
    </row>
    <row r="1755" spans="1:10" x14ac:dyDescent="0.25">
      <c r="A1755" t="str">
        <f>""</f>
        <v/>
      </c>
      <c r="B1755" t="str">
        <f>""</f>
        <v/>
      </c>
      <c r="G1755" t="str">
        <f>""</f>
        <v/>
      </c>
      <c r="H1755" t="str">
        <f>""</f>
        <v/>
      </c>
      <c r="I1755" s="4">
        <v>30.78</v>
      </c>
      <c r="J1755" t="str">
        <f t="shared" si="56"/>
        <v>GUARDIAN</v>
      </c>
    </row>
    <row r="1756" spans="1:10" x14ac:dyDescent="0.25">
      <c r="A1756" t="str">
        <f>""</f>
        <v/>
      </c>
      <c r="B1756" t="str">
        <f>""</f>
        <v/>
      </c>
      <c r="G1756" t="str">
        <f>""</f>
        <v/>
      </c>
      <c r="H1756" t="str">
        <f>""</f>
        <v/>
      </c>
      <c r="I1756" s="4">
        <v>15.39</v>
      </c>
      <c r="J1756" t="str">
        <f t="shared" si="56"/>
        <v>GUARDIAN</v>
      </c>
    </row>
    <row r="1757" spans="1:10" x14ac:dyDescent="0.25">
      <c r="A1757" t="str">
        <f>""</f>
        <v/>
      </c>
      <c r="B1757" t="str">
        <f>""</f>
        <v/>
      </c>
      <c r="G1757" t="str">
        <f>""</f>
        <v/>
      </c>
      <c r="H1757" t="str">
        <f>""</f>
        <v/>
      </c>
      <c r="I1757" s="4">
        <v>30.78</v>
      </c>
      <c r="J1757" t="str">
        <f t="shared" si="56"/>
        <v>GUARDIAN</v>
      </c>
    </row>
    <row r="1758" spans="1:10" x14ac:dyDescent="0.25">
      <c r="A1758" t="str">
        <f>""</f>
        <v/>
      </c>
      <c r="B1758" t="str">
        <f>""</f>
        <v/>
      </c>
      <c r="G1758" t="str">
        <f>""</f>
        <v/>
      </c>
      <c r="H1758" t="str">
        <f>""</f>
        <v/>
      </c>
      <c r="I1758" s="4">
        <v>15.39</v>
      </c>
      <c r="J1758" t="str">
        <f t="shared" si="56"/>
        <v>GUARDIAN</v>
      </c>
    </row>
    <row r="1759" spans="1:10" x14ac:dyDescent="0.25">
      <c r="A1759" t="str">
        <f>""</f>
        <v/>
      </c>
      <c r="B1759" t="str">
        <f>""</f>
        <v/>
      </c>
      <c r="G1759" t="str">
        <f>""</f>
        <v/>
      </c>
      <c r="H1759" t="str">
        <f>""</f>
        <v/>
      </c>
      <c r="I1759" s="4">
        <v>15.39</v>
      </c>
      <c r="J1759" t="str">
        <f t="shared" si="56"/>
        <v>GUARDIAN</v>
      </c>
    </row>
    <row r="1760" spans="1:10" x14ac:dyDescent="0.25">
      <c r="A1760" t="str">
        <f>""</f>
        <v/>
      </c>
      <c r="B1760" t="str">
        <f>""</f>
        <v/>
      </c>
      <c r="G1760" t="str">
        <f>""</f>
        <v/>
      </c>
      <c r="H1760" t="str">
        <f>""</f>
        <v/>
      </c>
      <c r="I1760" s="4">
        <v>15.39</v>
      </c>
      <c r="J1760" t="str">
        <f t="shared" si="56"/>
        <v>GUARDIAN</v>
      </c>
    </row>
    <row r="1761" spans="1:10" x14ac:dyDescent="0.25">
      <c r="A1761" t="str">
        <f>""</f>
        <v/>
      </c>
      <c r="B1761" t="str">
        <f>""</f>
        <v/>
      </c>
      <c r="G1761" t="str">
        <f>""</f>
        <v/>
      </c>
      <c r="H1761" t="str">
        <f>""</f>
        <v/>
      </c>
      <c r="I1761" s="4">
        <v>15.39</v>
      </c>
      <c r="J1761" t="str">
        <f t="shared" si="56"/>
        <v>GUARDIAN</v>
      </c>
    </row>
    <row r="1762" spans="1:10" x14ac:dyDescent="0.25">
      <c r="A1762" t="str">
        <f>""</f>
        <v/>
      </c>
      <c r="B1762" t="str">
        <f>""</f>
        <v/>
      </c>
      <c r="G1762" t="str">
        <f>""</f>
        <v/>
      </c>
      <c r="H1762" t="str">
        <f>""</f>
        <v/>
      </c>
      <c r="I1762" s="4">
        <v>30.78</v>
      </c>
      <c r="J1762" t="str">
        <f t="shared" si="56"/>
        <v>GUARDIAN</v>
      </c>
    </row>
    <row r="1763" spans="1:10" x14ac:dyDescent="0.25">
      <c r="A1763" t="str">
        <f>""</f>
        <v/>
      </c>
      <c r="B1763" t="str">
        <f>""</f>
        <v/>
      </c>
      <c r="G1763" t="str">
        <f>""</f>
        <v/>
      </c>
      <c r="H1763" t="str">
        <f>""</f>
        <v/>
      </c>
      <c r="I1763" s="4">
        <v>30.78</v>
      </c>
      <c r="J1763" t="str">
        <f t="shared" si="56"/>
        <v>GUARDIAN</v>
      </c>
    </row>
    <row r="1764" spans="1:10" x14ac:dyDescent="0.25">
      <c r="A1764" t="str">
        <f>""</f>
        <v/>
      </c>
      <c r="B1764" t="str">
        <f>""</f>
        <v/>
      </c>
      <c r="G1764" t="str">
        <f>""</f>
        <v/>
      </c>
      <c r="H1764" t="str">
        <f>""</f>
        <v/>
      </c>
      <c r="I1764" s="4">
        <v>15.39</v>
      </c>
      <c r="J1764" t="str">
        <f t="shared" si="56"/>
        <v>GUARDIAN</v>
      </c>
    </row>
    <row r="1765" spans="1:10" x14ac:dyDescent="0.25">
      <c r="A1765" t="str">
        <f>""</f>
        <v/>
      </c>
      <c r="B1765" t="str">
        <f>""</f>
        <v/>
      </c>
      <c r="G1765" t="str">
        <f>""</f>
        <v/>
      </c>
      <c r="H1765" t="str">
        <f>""</f>
        <v/>
      </c>
      <c r="I1765" s="4">
        <v>30.78</v>
      </c>
      <c r="J1765" t="str">
        <f t="shared" si="56"/>
        <v>GUARDIAN</v>
      </c>
    </row>
    <row r="1766" spans="1:10" x14ac:dyDescent="0.25">
      <c r="A1766" t="str">
        <f>""</f>
        <v/>
      </c>
      <c r="B1766" t="str">
        <f>""</f>
        <v/>
      </c>
      <c r="G1766" t="str">
        <f>""</f>
        <v/>
      </c>
      <c r="H1766" t="str">
        <f>""</f>
        <v/>
      </c>
      <c r="I1766" s="4">
        <v>15.39</v>
      </c>
      <c r="J1766" t="str">
        <f t="shared" si="56"/>
        <v>GUARDIAN</v>
      </c>
    </row>
    <row r="1767" spans="1:10" x14ac:dyDescent="0.25">
      <c r="A1767" t="str">
        <f>""</f>
        <v/>
      </c>
      <c r="B1767" t="str">
        <f>""</f>
        <v/>
      </c>
      <c r="G1767" t="str">
        <f>""</f>
        <v/>
      </c>
      <c r="H1767" t="str">
        <f>""</f>
        <v/>
      </c>
      <c r="I1767" s="4">
        <v>30.78</v>
      </c>
      <c r="J1767" t="str">
        <f t="shared" si="56"/>
        <v>GUARDIAN</v>
      </c>
    </row>
    <row r="1768" spans="1:10" x14ac:dyDescent="0.25">
      <c r="A1768" t="str">
        <f>""</f>
        <v/>
      </c>
      <c r="B1768" t="str">
        <f>""</f>
        <v/>
      </c>
      <c r="G1768" t="str">
        <f>""</f>
        <v/>
      </c>
      <c r="H1768" t="str">
        <f>""</f>
        <v/>
      </c>
      <c r="I1768" s="4">
        <v>46.17</v>
      </c>
      <c r="J1768" t="str">
        <f t="shared" si="56"/>
        <v>GUARDIAN</v>
      </c>
    </row>
    <row r="1769" spans="1:10" x14ac:dyDescent="0.25">
      <c r="A1769" t="str">
        <f>""</f>
        <v/>
      </c>
      <c r="B1769" t="str">
        <f>""</f>
        <v/>
      </c>
      <c r="G1769" t="str">
        <f>""</f>
        <v/>
      </c>
      <c r="H1769" t="str">
        <f>""</f>
        <v/>
      </c>
      <c r="I1769" s="4">
        <v>15.39</v>
      </c>
      <c r="J1769" t="str">
        <f t="shared" si="56"/>
        <v>GUARDIAN</v>
      </c>
    </row>
    <row r="1770" spans="1:10" x14ac:dyDescent="0.25">
      <c r="A1770" t="str">
        <f>""</f>
        <v/>
      </c>
      <c r="B1770" t="str">
        <f>""</f>
        <v/>
      </c>
      <c r="G1770" t="str">
        <f>""</f>
        <v/>
      </c>
      <c r="H1770" t="str">
        <f>""</f>
        <v/>
      </c>
      <c r="I1770" s="4">
        <v>170.71</v>
      </c>
      <c r="J1770" t="str">
        <f t="shared" si="56"/>
        <v>GUARDIAN</v>
      </c>
    </row>
    <row r="1771" spans="1:10" x14ac:dyDescent="0.25">
      <c r="A1771" t="str">
        <f>""</f>
        <v/>
      </c>
      <c r="B1771" t="str">
        <f>""</f>
        <v/>
      </c>
      <c r="G1771" t="str">
        <f>""</f>
        <v/>
      </c>
      <c r="H1771" t="str">
        <f>""</f>
        <v/>
      </c>
      <c r="I1771" s="4">
        <v>106.31</v>
      </c>
      <c r="J1771" t="str">
        <f t="shared" si="56"/>
        <v>GUARDIAN</v>
      </c>
    </row>
    <row r="1772" spans="1:10" x14ac:dyDescent="0.25">
      <c r="A1772" t="str">
        <f>""</f>
        <v/>
      </c>
      <c r="B1772" t="str">
        <f>""</f>
        <v/>
      </c>
      <c r="G1772" t="str">
        <f>""</f>
        <v/>
      </c>
      <c r="H1772" t="str">
        <f>""</f>
        <v/>
      </c>
      <c r="I1772" s="4">
        <v>15.39</v>
      </c>
      <c r="J1772" t="str">
        <f t="shared" si="56"/>
        <v>GUARDIAN</v>
      </c>
    </row>
    <row r="1773" spans="1:10" x14ac:dyDescent="0.25">
      <c r="A1773" t="str">
        <f>""</f>
        <v/>
      </c>
      <c r="B1773" t="str">
        <f>""</f>
        <v/>
      </c>
      <c r="G1773" t="str">
        <f>""</f>
        <v/>
      </c>
      <c r="H1773" t="str">
        <f>""</f>
        <v/>
      </c>
      <c r="I1773" s="4">
        <v>15.39</v>
      </c>
      <c r="J1773" t="str">
        <f t="shared" si="56"/>
        <v>GUARDIAN</v>
      </c>
    </row>
    <row r="1774" spans="1:10" x14ac:dyDescent="0.25">
      <c r="A1774" t="str">
        <f>""</f>
        <v/>
      </c>
      <c r="B1774" t="str">
        <f>""</f>
        <v/>
      </c>
      <c r="G1774" t="str">
        <f>""</f>
        <v/>
      </c>
      <c r="H1774" t="str">
        <f>""</f>
        <v/>
      </c>
      <c r="I1774" s="4">
        <v>15.39</v>
      </c>
      <c r="J1774" t="str">
        <f t="shared" si="56"/>
        <v>GUARDIAN</v>
      </c>
    </row>
    <row r="1775" spans="1:10" x14ac:dyDescent="0.25">
      <c r="A1775" t="str">
        <f>""</f>
        <v/>
      </c>
      <c r="B1775" t="str">
        <f>""</f>
        <v/>
      </c>
      <c r="G1775" t="str">
        <f>""</f>
        <v/>
      </c>
      <c r="H1775" t="str">
        <f>""</f>
        <v/>
      </c>
      <c r="I1775" s="4">
        <v>0.28000000000000003</v>
      </c>
      <c r="J1775" t="str">
        <f t="shared" si="56"/>
        <v>GUARDIAN</v>
      </c>
    </row>
    <row r="1776" spans="1:10" x14ac:dyDescent="0.25">
      <c r="A1776" t="str">
        <f>""</f>
        <v/>
      </c>
      <c r="B1776" t="str">
        <f>""</f>
        <v/>
      </c>
      <c r="G1776" t="str">
        <f>""</f>
        <v/>
      </c>
      <c r="H1776" t="str">
        <f>""</f>
        <v/>
      </c>
      <c r="I1776" s="4">
        <v>15.39</v>
      </c>
      <c r="J1776" t="str">
        <f t="shared" si="56"/>
        <v>GUARDIAN</v>
      </c>
    </row>
    <row r="1777" spans="1:10" x14ac:dyDescent="0.25">
      <c r="A1777" t="str">
        <f>""</f>
        <v/>
      </c>
      <c r="B1777" t="str">
        <f>""</f>
        <v/>
      </c>
      <c r="G1777" t="str">
        <f>""</f>
        <v/>
      </c>
      <c r="H1777" t="str">
        <f>""</f>
        <v/>
      </c>
      <c r="I1777" s="4">
        <v>15.39</v>
      </c>
      <c r="J1777" t="str">
        <f t="shared" si="56"/>
        <v>GUARDIAN</v>
      </c>
    </row>
    <row r="1778" spans="1:10" x14ac:dyDescent="0.25">
      <c r="A1778" t="str">
        <f>""</f>
        <v/>
      </c>
      <c r="B1778" t="str">
        <f>""</f>
        <v/>
      </c>
      <c r="G1778" t="str">
        <f>""</f>
        <v/>
      </c>
      <c r="H1778" t="str">
        <f>""</f>
        <v/>
      </c>
      <c r="I1778" s="4">
        <v>1775.82</v>
      </c>
      <c r="J1778" t="str">
        <f t="shared" si="56"/>
        <v>GUARDIAN</v>
      </c>
    </row>
    <row r="1779" spans="1:10" x14ac:dyDescent="0.25">
      <c r="A1779" t="str">
        <f>""</f>
        <v/>
      </c>
      <c r="B1779" t="str">
        <f>""</f>
        <v/>
      </c>
      <c r="G1779" t="str">
        <f>"GDF202202169062"</f>
        <v>GDF202202169062</v>
      </c>
      <c r="H1779" t="str">
        <f>"GUARDIAN"</f>
        <v>GUARDIAN</v>
      </c>
      <c r="I1779" s="4">
        <v>30.78</v>
      </c>
      <c r="J1779" t="str">
        <f t="shared" si="56"/>
        <v>GUARDIAN</v>
      </c>
    </row>
    <row r="1780" spans="1:10" x14ac:dyDescent="0.25">
      <c r="A1780" t="str">
        <f>""</f>
        <v/>
      </c>
      <c r="B1780" t="str">
        <f>""</f>
        <v/>
      </c>
      <c r="G1780" t="str">
        <f>""</f>
        <v/>
      </c>
      <c r="H1780" t="str">
        <f>""</f>
        <v/>
      </c>
      <c r="I1780" s="4">
        <v>69.64</v>
      </c>
      <c r="J1780" t="str">
        <f t="shared" si="56"/>
        <v>GUARDIAN</v>
      </c>
    </row>
    <row r="1781" spans="1:10" x14ac:dyDescent="0.25">
      <c r="A1781" t="str">
        <f>""</f>
        <v/>
      </c>
      <c r="B1781" t="str">
        <f>""</f>
        <v/>
      </c>
      <c r="G1781" t="str">
        <f>"GDS202202028715"</f>
        <v>GDS202202028715</v>
      </c>
      <c r="H1781" t="str">
        <f>"GUARDIAN"</f>
        <v>GUARDIAN</v>
      </c>
      <c r="I1781" s="4">
        <v>15.39</v>
      </c>
      <c r="J1781" t="str">
        <f t="shared" si="56"/>
        <v>GUARDIAN</v>
      </c>
    </row>
    <row r="1782" spans="1:10" x14ac:dyDescent="0.25">
      <c r="A1782" t="str">
        <f>""</f>
        <v/>
      </c>
      <c r="B1782" t="str">
        <f>""</f>
        <v/>
      </c>
      <c r="G1782" t="str">
        <f>""</f>
        <v/>
      </c>
      <c r="H1782" t="str">
        <f>""</f>
        <v/>
      </c>
      <c r="I1782" s="4">
        <v>6.69</v>
      </c>
      <c r="J1782" t="str">
        <f t="shared" si="56"/>
        <v>GUARDIAN</v>
      </c>
    </row>
    <row r="1783" spans="1:10" x14ac:dyDescent="0.25">
      <c r="A1783" t="str">
        <f>""</f>
        <v/>
      </c>
      <c r="B1783" t="str">
        <f>""</f>
        <v/>
      </c>
      <c r="G1783" t="str">
        <f>""</f>
        <v/>
      </c>
      <c r="H1783" t="str">
        <f>""</f>
        <v/>
      </c>
      <c r="I1783" s="4">
        <v>15.39</v>
      </c>
      <c r="J1783" t="str">
        <f t="shared" si="56"/>
        <v>GUARDIAN</v>
      </c>
    </row>
    <row r="1784" spans="1:10" x14ac:dyDescent="0.25">
      <c r="A1784" t="str">
        <f>""</f>
        <v/>
      </c>
      <c r="B1784" t="str">
        <f>""</f>
        <v/>
      </c>
      <c r="G1784" t="str">
        <f>""</f>
        <v/>
      </c>
      <c r="H1784" t="str">
        <f>""</f>
        <v/>
      </c>
      <c r="I1784" s="4">
        <v>15.39</v>
      </c>
      <c r="J1784" t="str">
        <f t="shared" si="56"/>
        <v>GUARDIAN</v>
      </c>
    </row>
    <row r="1785" spans="1:10" x14ac:dyDescent="0.25">
      <c r="A1785" t="str">
        <f>""</f>
        <v/>
      </c>
      <c r="B1785" t="str">
        <f>""</f>
        <v/>
      </c>
      <c r="G1785" t="str">
        <f>""</f>
        <v/>
      </c>
      <c r="H1785" t="str">
        <f>""</f>
        <v/>
      </c>
      <c r="I1785" s="4">
        <v>15.39</v>
      </c>
      <c r="J1785" t="str">
        <f t="shared" si="56"/>
        <v>GUARDIAN</v>
      </c>
    </row>
    <row r="1786" spans="1:10" x14ac:dyDescent="0.25">
      <c r="A1786" t="str">
        <f>""</f>
        <v/>
      </c>
      <c r="B1786" t="str">
        <f>""</f>
        <v/>
      </c>
      <c r="G1786" t="str">
        <f>""</f>
        <v/>
      </c>
      <c r="H1786" t="str">
        <f>""</f>
        <v/>
      </c>
      <c r="I1786" s="4">
        <v>76.95</v>
      </c>
      <c r="J1786" t="str">
        <f t="shared" si="56"/>
        <v>GUARDIAN</v>
      </c>
    </row>
    <row r="1787" spans="1:10" x14ac:dyDescent="0.25">
      <c r="A1787" t="str">
        <f>""</f>
        <v/>
      </c>
      <c r="B1787" t="str">
        <f>""</f>
        <v/>
      </c>
      <c r="G1787" t="str">
        <f>""</f>
        <v/>
      </c>
      <c r="H1787" t="str">
        <f>""</f>
        <v/>
      </c>
      <c r="I1787" s="4">
        <v>15.39</v>
      </c>
      <c r="J1787" t="str">
        <f t="shared" si="56"/>
        <v>GUARDIAN</v>
      </c>
    </row>
    <row r="1788" spans="1:10" x14ac:dyDescent="0.25">
      <c r="A1788" t="str">
        <f>""</f>
        <v/>
      </c>
      <c r="B1788" t="str">
        <f>""</f>
        <v/>
      </c>
      <c r="G1788" t="str">
        <f>""</f>
        <v/>
      </c>
      <c r="H1788" t="str">
        <f>""</f>
        <v/>
      </c>
      <c r="I1788" s="4">
        <v>30.01</v>
      </c>
      <c r="J1788" t="str">
        <f t="shared" si="56"/>
        <v>GUARDIAN</v>
      </c>
    </row>
    <row r="1789" spans="1:10" x14ac:dyDescent="0.25">
      <c r="A1789" t="str">
        <f>""</f>
        <v/>
      </c>
      <c r="B1789" t="str">
        <f>""</f>
        <v/>
      </c>
      <c r="G1789" t="str">
        <f>""</f>
        <v/>
      </c>
      <c r="H1789" t="str">
        <f>""</f>
        <v/>
      </c>
      <c r="I1789" s="4">
        <v>30.78</v>
      </c>
      <c r="J1789" t="str">
        <f t="shared" si="56"/>
        <v>GUARDIAN</v>
      </c>
    </row>
    <row r="1790" spans="1:10" x14ac:dyDescent="0.25">
      <c r="A1790" t="str">
        <f>""</f>
        <v/>
      </c>
      <c r="B1790" t="str">
        <f>""</f>
        <v/>
      </c>
      <c r="G1790" t="str">
        <f>""</f>
        <v/>
      </c>
      <c r="H1790" t="str">
        <f>""</f>
        <v/>
      </c>
      <c r="I1790" s="4">
        <v>30.78</v>
      </c>
      <c r="J1790" t="str">
        <f t="shared" si="56"/>
        <v>GUARDIAN</v>
      </c>
    </row>
    <row r="1791" spans="1:10" x14ac:dyDescent="0.25">
      <c r="A1791" t="str">
        <f>""</f>
        <v/>
      </c>
      <c r="B1791" t="str">
        <f>""</f>
        <v/>
      </c>
      <c r="G1791" t="str">
        <f>""</f>
        <v/>
      </c>
      <c r="H1791" t="str">
        <f>""</f>
        <v/>
      </c>
      <c r="I1791" s="4">
        <v>30.78</v>
      </c>
      <c r="J1791" t="str">
        <f t="shared" si="56"/>
        <v>GUARDIAN</v>
      </c>
    </row>
    <row r="1792" spans="1:10" x14ac:dyDescent="0.25">
      <c r="A1792" t="str">
        <f>""</f>
        <v/>
      </c>
      <c r="B1792" t="str">
        <f>""</f>
        <v/>
      </c>
      <c r="G1792" t="str">
        <f>""</f>
        <v/>
      </c>
      <c r="H1792" t="str">
        <f>""</f>
        <v/>
      </c>
      <c r="I1792" s="4">
        <v>46.17</v>
      </c>
      <c r="J1792" t="str">
        <f t="shared" si="56"/>
        <v>GUARDIAN</v>
      </c>
    </row>
    <row r="1793" spans="1:10" x14ac:dyDescent="0.25">
      <c r="A1793" t="str">
        <f>""</f>
        <v/>
      </c>
      <c r="B1793" t="str">
        <f>""</f>
        <v/>
      </c>
      <c r="G1793" t="str">
        <f>""</f>
        <v/>
      </c>
      <c r="H1793" t="str">
        <f>""</f>
        <v/>
      </c>
      <c r="I1793" s="4">
        <v>30.78</v>
      </c>
      <c r="J1793" t="str">
        <f t="shared" si="56"/>
        <v>GUARDIAN</v>
      </c>
    </row>
    <row r="1794" spans="1:10" x14ac:dyDescent="0.25">
      <c r="A1794" t="str">
        <f>""</f>
        <v/>
      </c>
      <c r="B1794" t="str">
        <f>""</f>
        <v/>
      </c>
      <c r="G1794" t="str">
        <f>""</f>
        <v/>
      </c>
      <c r="H1794" t="str">
        <f>""</f>
        <v/>
      </c>
      <c r="I1794" s="4">
        <v>30.78</v>
      </c>
      <c r="J1794" t="str">
        <f t="shared" si="56"/>
        <v>GUARDIAN</v>
      </c>
    </row>
    <row r="1795" spans="1:10" x14ac:dyDescent="0.25">
      <c r="A1795" t="str">
        <f>""</f>
        <v/>
      </c>
      <c r="B1795" t="str">
        <f>""</f>
        <v/>
      </c>
      <c r="G1795" t="str">
        <f>""</f>
        <v/>
      </c>
      <c r="H1795" t="str">
        <f>""</f>
        <v/>
      </c>
      <c r="I1795" s="4">
        <v>15.39</v>
      </c>
      <c r="J1795" t="str">
        <f t="shared" si="56"/>
        <v>GUARDIAN</v>
      </c>
    </row>
    <row r="1796" spans="1:10" x14ac:dyDescent="0.25">
      <c r="A1796" t="str">
        <f>""</f>
        <v/>
      </c>
      <c r="B1796" t="str">
        <f>""</f>
        <v/>
      </c>
      <c r="G1796" t="str">
        <f>""</f>
        <v/>
      </c>
      <c r="H1796" t="str">
        <f>""</f>
        <v/>
      </c>
      <c r="I1796" s="4">
        <v>124.22</v>
      </c>
      <c r="J1796" t="str">
        <f t="shared" si="56"/>
        <v>GUARDIAN</v>
      </c>
    </row>
    <row r="1797" spans="1:10" x14ac:dyDescent="0.25">
      <c r="A1797" t="str">
        <f>""</f>
        <v/>
      </c>
      <c r="B1797" t="str">
        <f>""</f>
        <v/>
      </c>
      <c r="G1797" t="str">
        <f>""</f>
        <v/>
      </c>
      <c r="H1797" t="str">
        <f>""</f>
        <v/>
      </c>
      <c r="I1797" s="4">
        <v>91.24</v>
      </c>
      <c r="J1797" t="str">
        <f t="shared" si="56"/>
        <v>GUARDIAN</v>
      </c>
    </row>
    <row r="1798" spans="1:10" x14ac:dyDescent="0.25">
      <c r="A1798" t="str">
        <f>""</f>
        <v/>
      </c>
      <c r="B1798" t="str">
        <f>""</f>
        <v/>
      </c>
      <c r="G1798" t="str">
        <f>""</f>
        <v/>
      </c>
      <c r="H1798" t="str">
        <f>""</f>
        <v/>
      </c>
      <c r="I1798" s="4">
        <v>3.94</v>
      </c>
      <c r="J1798" t="str">
        <f t="shared" si="56"/>
        <v>GUARDIAN</v>
      </c>
    </row>
    <row r="1799" spans="1:10" x14ac:dyDescent="0.25">
      <c r="A1799" t="str">
        <f>""</f>
        <v/>
      </c>
      <c r="B1799" t="str">
        <f>""</f>
        <v/>
      </c>
      <c r="G1799" t="str">
        <f>""</f>
        <v/>
      </c>
      <c r="H1799" t="str">
        <f>""</f>
        <v/>
      </c>
      <c r="I1799" s="4">
        <v>70.260000000000005</v>
      </c>
      <c r="J1799" t="str">
        <f t="shared" si="56"/>
        <v>GUARDIAN</v>
      </c>
    </row>
    <row r="1800" spans="1:10" x14ac:dyDescent="0.25">
      <c r="A1800" t="str">
        <f>""</f>
        <v/>
      </c>
      <c r="B1800" t="str">
        <f>""</f>
        <v/>
      </c>
      <c r="G1800" t="str">
        <f>""</f>
        <v/>
      </c>
      <c r="H1800" t="str">
        <f>""</f>
        <v/>
      </c>
      <c r="I1800" s="4">
        <v>61.56</v>
      </c>
      <c r="J1800" t="str">
        <f t="shared" si="56"/>
        <v>GUARDIAN</v>
      </c>
    </row>
    <row r="1801" spans="1:10" x14ac:dyDescent="0.25">
      <c r="A1801" t="str">
        <f>""</f>
        <v/>
      </c>
      <c r="B1801" t="str">
        <f>""</f>
        <v/>
      </c>
      <c r="G1801" t="str">
        <f>""</f>
        <v/>
      </c>
      <c r="H1801" t="str">
        <f>""</f>
        <v/>
      </c>
      <c r="I1801" s="4">
        <v>30.78</v>
      </c>
      <c r="J1801" t="str">
        <f t="shared" si="56"/>
        <v>GUARDIAN</v>
      </c>
    </row>
    <row r="1802" spans="1:10" x14ac:dyDescent="0.25">
      <c r="A1802" t="str">
        <f>""</f>
        <v/>
      </c>
      <c r="B1802" t="str">
        <f>""</f>
        <v/>
      </c>
      <c r="G1802" t="str">
        <f>""</f>
        <v/>
      </c>
      <c r="H1802" t="str">
        <f>""</f>
        <v/>
      </c>
      <c r="I1802" s="4">
        <v>61.56</v>
      </c>
      <c r="J1802" t="str">
        <f t="shared" si="56"/>
        <v>GUARDIAN</v>
      </c>
    </row>
    <row r="1803" spans="1:10" x14ac:dyDescent="0.25">
      <c r="A1803" t="str">
        <f>""</f>
        <v/>
      </c>
      <c r="B1803" t="str">
        <f>""</f>
        <v/>
      </c>
      <c r="G1803" t="str">
        <f>""</f>
        <v/>
      </c>
      <c r="H1803" t="str">
        <f>""</f>
        <v/>
      </c>
      <c r="I1803" s="4">
        <v>26.84</v>
      </c>
      <c r="J1803" t="str">
        <f t="shared" si="56"/>
        <v>GUARDIAN</v>
      </c>
    </row>
    <row r="1804" spans="1:10" x14ac:dyDescent="0.25">
      <c r="A1804" t="str">
        <f>""</f>
        <v/>
      </c>
      <c r="B1804" t="str">
        <f>""</f>
        <v/>
      </c>
      <c r="G1804" t="str">
        <f>""</f>
        <v/>
      </c>
      <c r="H1804" t="str">
        <f>""</f>
        <v/>
      </c>
      <c r="I1804" s="4">
        <v>0.77</v>
      </c>
      <c r="J1804" t="str">
        <f t="shared" si="56"/>
        <v>GUARDIAN</v>
      </c>
    </row>
    <row r="1805" spans="1:10" x14ac:dyDescent="0.25">
      <c r="A1805" t="str">
        <f>""</f>
        <v/>
      </c>
      <c r="B1805" t="str">
        <f>""</f>
        <v/>
      </c>
      <c r="G1805" t="str">
        <f>""</f>
        <v/>
      </c>
      <c r="H1805" t="str">
        <f>""</f>
        <v/>
      </c>
      <c r="I1805" s="4">
        <v>890.91</v>
      </c>
      <c r="J1805" t="str">
        <f t="shared" si="56"/>
        <v>GUARDIAN</v>
      </c>
    </row>
    <row r="1806" spans="1:10" x14ac:dyDescent="0.25">
      <c r="A1806" t="str">
        <f>""</f>
        <v/>
      </c>
      <c r="B1806" t="str">
        <f>""</f>
        <v/>
      </c>
      <c r="G1806" t="str">
        <f>"GDS202202028716"</f>
        <v>GDS202202028716</v>
      </c>
      <c r="H1806" t="str">
        <f>"GUARDIAN"</f>
        <v>GUARDIAN</v>
      </c>
      <c r="I1806" s="4">
        <v>15.39</v>
      </c>
      <c r="J1806" t="str">
        <f t="shared" si="56"/>
        <v>GUARDIAN</v>
      </c>
    </row>
    <row r="1807" spans="1:10" x14ac:dyDescent="0.25">
      <c r="A1807" t="str">
        <f>""</f>
        <v/>
      </c>
      <c r="B1807" t="str">
        <f>""</f>
        <v/>
      </c>
      <c r="G1807" t="str">
        <f>""</f>
        <v/>
      </c>
      <c r="H1807" t="str">
        <f>""</f>
        <v/>
      </c>
      <c r="I1807" s="4">
        <v>15.63</v>
      </c>
      <c r="J1807" t="str">
        <f t="shared" si="56"/>
        <v>GUARDIAN</v>
      </c>
    </row>
    <row r="1808" spans="1:10" x14ac:dyDescent="0.25">
      <c r="A1808" t="str">
        <f>""</f>
        <v/>
      </c>
      <c r="B1808" t="str">
        <f>""</f>
        <v/>
      </c>
      <c r="G1808" t="str">
        <f>"GDS202202169060"</f>
        <v>GDS202202169060</v>
      </c>
      <c r="H1808" t="str">
        <f>"GUARDIAN"</f>
        <v>GUARDIAN</v>
      </c>
      <c r="I1808" s="4">
        <v>15.39</v>
      </c>
      <c r="J1808" t="str">
        <f t="shared" si="56"/>
        <v>GUARDIAN</v>
      </c>
    </row>
    <row r="1809" spans="1:10" x14ac:dyDescent="0.25">
      <c r="A1809" t="str">
        <f>""</f>
        <v/>
      </c>
      <c r="B1809" t="str">
        <f>""</f>
        <v/>
      </c>
      <c r="G1809" t="str">
        <f>""</f>
        <v/>
      </c>
      <c r="H1809" t="str">
        <f>""</f>
        <v/>
      </c>
      <c r="I1809" s="4">
        <v>6.69</v>
      </c>
      <c r="J1809" t="str">
        <f t="shared" si="56"/>
        <v>GUARDIAN</v>
      </c>
    </row>
    <row r="1810" spans="1:10" x14ac:dyDescent="0.25">
      <c r="A1810" t="str">
        <f>""</f>
        <v/>
      </c>
      <c r="B1810" t="str">
        <f>""</f>
        <v/>
      </c>
      <c r="G1810" t="str">
        <f>""</f>
        <v/>
      </c>
      <c r="H1810" t="str">
        <f>""</f>
        <v/>
      </c>
      <c r="I1810" s="4">
        <v>15.39</v>
      </c>
      <c r="J1810" t="str">
        <f t="shared" si="56"/>
        <v>GUARDIAN</v>
      </c>
    </row>
    <row r="1811" spans="1:10" x14ac:dyDescent="0.25">
      <c r="A1811" t="str">
        <f>""</f>
        <v/>
      </c>
      <c r="B1811" t="str">
        <f>""</f>
        <v/>
      </c>
      <c r="G1811" t="str">
        <f>""</f>
        <v/>
      </c>
      <c r="H1811" t="str">
        <f>""</f>
        <v/>
      </c>
      <c r="I1811" s="4">
        <v>15.39</v>
      </c>
      <c r="J1811" t="str">
        <f t="shared" si="56"/>
        <v>GUARDIAN</v>
      </c>
    </row>
    <row r="1812" spans="1:10" x14ac:dyDescent="0.25">
      <c r="A1812" t="str">
        <f>""</f>
        <v/>
      </c>
      <c r="B1812" t="str">
        <f>""</f>
        <v/>
      </c>
      <c r="G1812" t="str">
        <f>""</f>
        <v/>
      </c>
      <c r="H1812" t="str">
        <f>""</f>
        <v/>
      </c>
      <c r="I1812" s="4">
        <v>15.39</v>
      </c>
      <c r="J1812" t="str">
        <f t="shared" ref="J1812:J1834" si="57">"GUARDIAN"</f>
        <v>GUARDIAN</v>
      </c>
    </row>
    <row r="1813" spans="1:10" x14ac:dyDescent="0.25">
      <c r="A1813" t="str">
        <f>""</f>
        <v/>
      </c>
      <c r="B1813" t="str">
        <f>""</f>
        <v/>
      </c>
      <c r="G1813" t="str">
        <f>""</f>
        <v/>
      </c>
      <c r="H1813" t="str">
        <f>""</f>
        <v/>
      </c>
      <c r="I1813" s="4">
        <v>76.95</v>
      </c>
      <c r="J1813" t="str">
        <f t="shared" si="57"/>
        <v>GUARDIAN</v>
      </c>
    </row>
    <row r="1814" spans="1:10" x14ac:dyDescent="0.25">
      <c r="A1814" t="str">
        <f>""</f>
        <v/>
      </c>
      <c r="B1814" t="str">
        <f>""</f>
        <v/>
      </c>
      <c r="G1814" t="str">
        <f>""</f>
        <v/>
      </c>
      <c r="H1814" t="str">
        <f>""</f>
        <v/>
      </c>
      <c r="I1814" s="4">
        <v>15.39</v>
      </c>
      <c r="J1814" t="str">
        <f t="shared" si="57"/>
        <v>GUARDIAN</v>
      </c>
    </row>
    <row r="1815" spans="1:10" x14ac:dyDescent="0.25">
      <c r="A1815" t="str">
        <f>""</f>
        <v/>
      </c>
      <c r="B1815" t="str">
        <f>""</f>
        <v/>
      </c>
      <c r="G1815" t="str">
        <f>""</f>
        <v/>
      </c>
      <c r="H1815" t="str">
        <f>""</f>
        <v/>
      </c>
      <c r="I1815" s="4">
        <v>30.01</v>
      </c>
      <c r="J1815" t="str">
        <f t="shared" si="57"/>
        <v>GUARDIAN</v>
      </c>
    </row>
    <row r="1816" spans="1:10" x14ac:dyDescent="0.25">
      <c r="A1816" t="str">
        <f>""</f>
        <v/>
      </c>
      <c r="B1816" t="str">
        <f>""</f>
        <v/>
      </c>
      <c r="G1816" t="str">
        <f>""</f>
        <v/>
      </c>
      <c r="H1816" t="str">
        <f>""</f>
        <v/>
      </c>
      <c r="I1816" s="4">
        <v>30.78</v>
      </c>
      <c r="J1816" t="str">
        <f t="shared" si="57"/>
        <v>GUARDIAN</v>
      </c>
    </row>
    <row r="1817" spans="1:10" x14ac:dyDescent="0.25">
      <c r="A1817" t="str">
        <f>""</f>
        <v/>
      </c>
      <c r="B1817" t="str">
        <f>""</f>
        <v/>
      </c>
      <c r="G1817" t="str">
        <f>""</f>
        <v/>
      </c>
      <c r="H1817" t="str">
        <f>""</f>
        <v/>
      </c>
      <c r="I1817" s="4">
        <v>30.78</v>
      </c>
      <c r="J1817" t="str">
        <f t="shared" si="57"/>
        <v>GUARDIAN</v>
      </c>
    </row>
    <row r="1818" spans="1:10" x14ac:dyDescent="0.25">
      <c r="A1818" t="str">
        <f>""</f>
        <v/>
      </c>
      <c r="B1818" t="str">
        <f>""</f>
        <v/>
      </c>
      <c r="G1818" t="str">
        <f>""</f>
        <v/>
      </c>
      <c r="H1818" t="str">
        <f>""</f>
        <v/>
      </c>
      <c r="I1818" s="4">
        <v>30.78</v>
      </c>
      <c r="J1818" t="str">
        <f t="shared" si="57"/>
        <v>GUARDIAN</v>
      </c>
    </row>
    <row r="1819" spans="1:10" x14ac:dyDescent="0.25">
      <c r="A1819" t="str">
        <f>""</f>
        <v/>
      </c>
      <c r="B1819" t="str">
        <f>""</f>
        <v/>
      </c>
      <c r="G1819" t="str">
        <f>""</f>
        <v/>
      </c>
      <c r="H1819" t="str">
        <f>""</f>
        <v/>
      </c>
      <c r="I1819" s="4">
        <v>46.17</v>
      </c>
      <c r="J1819" t="str">
        <f t="shared" si="57"/>
        <v>GUARDIAN</v>
      </c>
    </row>
    <row r="1820" spans="1:10" x14ac:dyDescent="0.25">
      <c r="A1820" t="str">
        <f>""</f>
        <v/>
      </c>
      <c r="B1820" t="str">
        <f>""</f>
        <v/>
      </c>
      <c r="G1820" t="str">
        <f>""</f>
        <v/>
      </c>
      <c r="H1820" t="str">
        <f>""</f>
        <v/>
      </c>
      <c r="I1820" s="4">
        <v>30.78</v>
      </c>
      <c r="J1820" t="str">
        <f t="shared" si="57"/>
        <v>GUARDIAN</v>
      </c>
    </row>
    <row r="1821" spans="1:10" x14ac:dyDescent="0.25">
      <c r="A1821" t="str">
        <f>""</f>
        <v/>
      </c>
      <c r="B1821" t="str">
        <f>""</f>
        <v/>
      </c>
      <c r="G1821" t="str">
        <f>""</f>
        <v/>
      </c>
      <c r="H1821" t="str">
        <f>""</f>
        <v/>
      </c>
      <c r="I1821" s="4">
        <v>30.78</v>
      </c>
      <c r="J1821" t="str">
        <f t="shared" si="57"/>
        <v>GUARDIAN</v>
      </c>
    </row>
    <row r="1822" spans="1:10" x14ac:dyDescent="0.25">
      <c r="A1822" t="str">
        <f>""</f>
        <v/>
      </c>
      <c r="B1822" t="str">
        <f>""</f>
        <v/>
      </c>
      <c r="G1822" t="str">
        <f>""</f>
        <v/>
      </c>
      <c r="H1822" t="str">
        <f>""</f>
        <v/>
      </c>
      <c r="I1822" s="4">
        <v>15.39</v>
      </c>
      <c r="J1822" t="str">
        <f t="shared" si="57"/>
        <v>GUARDIAN</v>
      </c>
    </row>
    <row r="1823" spans="1:10" x14ac:dyDescent="0.25">
      <c r="A1823" t="str">
        <f>""</f>
        <v/>
      </c>
      <c r="B1823" t="str">
        <f>""</f>
        <v/>
      </c>
      <c r="G1823" t="str">
        <f>""</f>
        <v/>
      </c>
      <c r="H1823" t="str">
        <f>""</f>
        <v/>
      </c>
      <c r="I1823" s="4">
        <v>124.22</v>
      </c>
      <c r="J1823" t="str">
        <f t="shared" si="57"/>
        <v>GUARDIAN</v>
      </c>
    </row>
    <row r="1824" spans="1:10" x14ac:dyDescent="0.25">
      <c r="A1824" t="str">
        <f>""</f>
        <v/>
      </c>
      <c r="B1824" t="str">
        <f>""</f>
        <v/>
      </c>
      <c r="G1824" t="str">
        <f>""</f>
        <v/>
      </c>
      <c r="H1824" t="str">
        <f>""</f>
        <v/>
      </c>
      <c r="I1824" s="4">
        <v>91.24</v>
      </c>
      <c r="J1824" t="str">
        <f t="shared" si="57"/>
        <v>GUARDIAN</v>
      </c>
    </row>
    <row r="1825" spans="1:10" x14ac:dyDescent="0.25">
      <c r="A1825" t="str">
        <f>""</f>
        <v/>
      </c>
      <c r="B1825" t="str">
        <f>""</f>
        <v/>
      </c>
      <c r="G1825" t="str">
        <f>""</f>
        <v/>
      </c>
      <c r="H1825" t="str">
        <f>""</f>
        <v/>
      </c>
      <c r="I1825" s="4">
        <v>3.94</v>
      </c>
      <c r="J1825" t="str">
        <f t="shared" si="57"/>
        <v>GUARDIAN</v>
      </c>
    </row>
    <row r="1826" spans="1:10" x14ac:dyDescent="0.25">
      <c r="A1826" t="str">
        <f>""</f>
        <v/>
      </c>
      <c r="B1826" t="str">
        <f>""</f>
        <v/>
      </c>
      <c r="G1826" t="str">
        <f>""</f>
        <v/>
      </c>
      <c r="H1826" t="str">
        <f>""</f>
        <v/>
      </c>
      <c r="I1826" s="4">
        <v>70.260000000000005</v>
      </c>
      <c r="J1826" t="str">
        <f t="shared" si="57"/>
        <v>GUARDIAN</v>
      </c>
    </row>
    <row r="1827" spans="1:10" x14ac:dyDescent="0.25">
      <c r="A1827" t="str">
        <f>""</f>
        <v/>
      </c>
      <c r="B1827" t="str">
        <f>""</f>
        <v/>
      </c>
      <c r="G1827" t="str">
        <f>""</f>
        <v/>
      </c>
      <c r="H1827" t="str">
        <f>""</f>
        <v/>
      </c>
      <c r="I1827" s="4">
        <v>61.56</v>
      </c>
      <c r="J1827" t="str">
        <f t="shared" si="57"/>
        <v>GUARDIAN</v>
      </c>
    </row>
    <row r="1828" spans="1:10" x14ac:dyDescent="0.25">
      <c r="A1828" t="str">
        <f>""</f>
        <v/>
      </c>
      <c r="B1828" t="str">
        <f>""</f>
        <v/>
      </c>
      <c r="G1828" t="str">
        <f>""</f>
        <v/>
      </c>
      <c r="H1828" t="str">
        <f>""</f>
        <v/>
      </c>
      <c r="I1828" s="4">
        <v>30.78</v>
      </c>
      <c r="J1828" t="str">
        <f t="shared" si="57"/>
        <v>GUARDIAN</v>
      </c>
    </row>
    <row r="1829" spans="1:10" x14ac:dyDescent="0.25">
      <c r="A1829" t="str">
        <f>""</f>
        <v/>
      </c>
      <c r="B1829" t="str">
        <f>""</f>
        <v/>
      </c>
      <c r="G1829" t="str">
        <f>""</f>
        <v/>
      </c>
      <c r="H1829" t="str">
        <f>""</f>
        <v/>
      </c>
      <c r="I1829" s="4">
        <v>61.56</v>
      </c>
      <c r="J1829" t="str">
        <f t="shared" si="57"/>
        <v>GUARDIAN</v>
      </c>
    </row>
    <row r="1830" spans="1:10" x14ac:dyDescent="0.25">
      <c r="A1830" t="str">
        <f>""</f>
        <v/>
      </c>
      <c r="B1830" t="str">
        <f>""</f>
        <v/>
      </c>
      <c r="G1830" t="str">
        <f>""</f>
        <v/>
      </c>
      <c r="H1830" t="str">
        <f>""</f>
        <v/>
      </c>
      <c r="I1830" s="4">
        <v>26.84</v>
      </c>
      <c r="J1830" t="str">
        <f t="shared" si="57"/>
        <v>GUARDIAN</v>
      </c>
    </row>
    <row r="1831" spans="1:10" x14ac:dyDescent="0.25">
      <c r="A1831" t="str">
        <f>""</f>
        <v/>
      </c>
      <c r="B1831" t="str">
        <f>""</f>
        <v/>
      </c>
      <c r="G1831" t="str">
        <f>""</f>
        <v/>
      </c>
      <c r="H1831" t="str">
        <f>""</f>
        <v/>
      </c>
      <c r="I1831" s="4">
        <v>0.77</v>
      </c>
      <c r="J1831" t="str">
        <f t="shared" si="57"/>
        <v>GUARDIAN</v>
      </c>
    </row>
    <row r="1832" spans="1:10" x14ac:dyDescent="0.25">
      <c r="A1832" t="str">
        <f>""</f>
        <v/>
      </c>
      <c r="B1832" t="str">
        <f>""</f>
        <v/>
      </c>
      <c r="G1832" t="str">
        <f>""</f>
        <v/>
      </c>
      <c r="H1832" t="str">
        <f>""</f>
        <v/>
      </c>
      <c r="I1832" s="4">
        <v>890.91</v>
      </c>
      <c r="J1832" t="str">
        <f t="shared" si="57"/>
        <v>GUARDIAN</v>
      </c>
    </row>
    <row r="1833" spans="1:10" x14ac:dyDescent="0.25">
      <c r="A1833" t="str">
        <f>""</f>
        <v/>
      </c>
      <c r="B1833" t="str">
        <f>""</f>
        <v/>
      </c>
      <c r="G1833" t="str">
        <f>"GDS202202169062"</f>
        <v>GDS202202169062</v>
      </c>
      <c r="H1833" t="str">
        <f>"GUARDIAN"</f>
        <v>GUARDIAN</v>
      </c>
      <c r="I1833" s="4">
        <v>15.39</v>
      </c>
      <c r="J1833" t="str">
        <f t="shared" si="57"/>
        <v>GUARDIAN</v>
      </c>
    </row>
    <row r="1834" spans="1:10" x14ac:dyDescent="0.25">
      <c r="A1834" t="str">
        <f>""</f>
        <v/>
      </c>
      <c r="B1834" t="str">
        <f>""</f>
        <v/>
      </c>
      <c r="G1834" t="str">
        <f>""</f>
        <v/>
      </c>
      <c r="H1834" t="str">
        <f>""</f>
        <v/>
      </c>
      <c r="I1834" s="4">
        <v>15.63</v>
      </c>
      <c r="J1834" t="str">
        <f t="shared" si="57"/>
        <v>GUARDIAN</v>
      </c>
    </row>
    <row r="1835" spans="1:10" x14ac:dyDescent="0.25">
      <c r="A1835" t="str">
        <f>""</f>
        <v/>
      </c>
      <c r="B1835" t="str">
        <f>""</f>
        <v/>
      </c>
      <c r="G1835" t="str">
        <f>"GV1202202028715"</f>
        <v>GV1202202028715</v>
      </c>
      <c r="H1835" t="str">
        <f>"GUARDIAN VISION"</f>
        <v>GUARDIAN VISION</v>
      </c>
      <c r="I1835" s="4">
        <v>420</v>
      </c>
      <c r="J1835" t="str">
        <f>"GUARDIAN VISION"</f>
        <v>GUARDIAN VISION</v>
      </c>
    </row>
    <row r="1836" spans="1:10" x14ac:dyDescent="0.25">
      <c r="A1836" t="str">
        <f>""</f>
        <v/>
      </c>
      <c r="B1836" t="str">
        <f>""</f>
        <v/>
      </c>
      <c r="G1836" t="str">
        <f>"GV1202202028716"</f>
        <v>GV1202202028716</v>
      </c>
      <c r="H1836" t="str">
        <f>"GUARDIAN VISION"</f>
        <v>GUARDIAN VISION</v>
      </c>
      <c r="I1836" s="4">
        <v>5.6</v>
      </c>
      <c r="J1836" t="str">
        <f>"GUARDIAN VISION"</f>
        <v>GUARDIAN VISION</v>
      </c>
    </row>
    <row r="1837" spans="1:10" x14ac:dyDescent="0.25">
      <c r="A1837" t="str">
        <f>""</f>
        <v/>
      </c>
      <c r="B1837" t="str">
        <f>""</f>
        <v/>
      </c>
      <c r="G1837" t="str">
        <f>"GV1202202169060"</f>
        <v>GV1202202169060</v>
      </c>
      <c r="H1837" t="str">
        <f>"GUARDIAN VISION"</f>
        <v>GUARDIAN VISION</v>
      </c>
      <c r="I1837" s="4">
        <v>420</v>
      </c>
      <c r="J1837" t="str">
        <f>"GUARDIAN VISION"</f>
        <v>GUARDIAN VISION</v>
      </c>
    </row>
    <row r="1838" spans="1:10" x14ac:dyDescent="0.25">
      <c r="A1838" t="str">
        <f>""</f>
        <v/>
      </c>
      <c r="B1838" t="str">
        <f>""</f>
        <v/>
      </c>
      <c r="G1838" t="str">
        <f>"GV1202202169062"</f>
        <v>GV1202202169062</v>
      </c>
      <c r="H1838" t="str">
        <f>"GUARDIAN VISION"</f>
        <v>GUARDIAN VISION</v>
      </c>
      <c r="I1838" s="4">
        <v>5.6</v>
      </c>
      <c r="J1838" t="str">
        <f>"GUARDIAN VISION"</f>
        <v>GUARDIAN VISION</v>
      </c>
    </row>
    <row r="1839" spans="1:10" x14ac:dyDescent="0.25">
      <c r="A1839" t="str">
        <f>""</f>
        <v/>
      </c>
      <c r="B1839" t="str">
        <f>""</f>
        <v/>
      </c>
      <c r="G1839" t="str">
        <f>"GVE202202028715"</f>
        <v>GVE202202028715</v>
      </c>
      <c r="H1839" t="str">
        <f>"GUARDIAN VISION VENDOR"</f>
        <v>GUARDIAN VISION VENDOR</v>
      </c>
      <c r="I1839" s="4">
        <v>660.51</v>
      </c>
      <c r="J1839" t="str">
        <f>"GUARDIAN VISION VENDOR"</f>
        <v>GUARDIAN VISION VENDOR</v>
      </c>
    </row>
    <row r="1840" spans="1:10" x14ac:dyDescent="0.25">
      <c r="A1840" t="str">
        <f>""</f>
        <v/>
      </c>
      <c r="B1840" t="str">
        <f>""</f>
        <v/>
      </c>
      <c r="G1840" t="str">
        <f>"GVE202202028716"</f>
        <v>GVE202202028716</v>
      </c>
      <c r="H1840" t="str">
        <f>"GUARDIAN VISION VENDOR"</f>
        <v>GUARDIAN VISION VENDOR</v>
      </c>
      <c r="I1840" s="4">
        <v>29.52</v>
      </c>
      <c r="J1840" t="str">
        <f>"GUARDIAN VISION VENDOR"</f>
        <v>GUARDIAN VISION VENDOR</v>
      </c>
    </row>
    <row r="1841" spans="1:10" x14ac:dyDescent="0.25">
      <c r="A1841" t="str">
        <f>""</f>
        <v/>
      </c>
      <c r="B1841" t="str">
        <f>""</f>
        <v/>
      </c>
      <c r="G1841" t="str">
        <f>"GVE202202169060"</f>
        <v>GVE202202169060</v>
      </c>
      <c r="H1841" t="str">
        <f>"GUARDIAN VISION VENDOR"</f>
        <v>GUARDIAN VISION VENDOR</v>
      </c>
      <c r="I1841" s="4">
        <v>664.2</v>
      </c>
      <c r="J1841" t="str">
        <f>"GUARDIAN VISION VENDOR"</f>
        <v>GUARDIAN VISION VENDOR</v>
      </c>
    </row>
    <row r="1842" spans="1:10" x14ac:dyDescent="0.25">
      <c r="A1842" t="str">
        <f>""</f>
        <v/>
      </c>
      <c r="B1842" t="str">
        <f>""</f>
        <v/>
      </c>
      <c r="G1842" t="str">
        <f>"GVE202202169062"</f>
        <v>GVE202202169062</v>
      </c>
      <c r="H1842" t="str">
        <f>"GUARDIAN VISION VENDOR"</f>
        <v>GUARDIAN VISION VENDOR</v>
      </c>
      <c r="I1842" s="4">
        <v>25.83</v>
      </c>
      <c r="J1842" t="str">
        <f>"GUARDIAN VISION VENDOR"</f>
        <v>GUARDIAN VISION VENDOR</v>
      </c>
    </row>
    <row r="1843" spans="1:10" x14ac:dyDescent="0.25">
      <c r="A1843" t="str">
        <f>""</f>
        <v/>
      </c>
      <c r="B1843" t="str">
        <f>""</f>
        <v/>
      </c>
      <c r="G1843" t="str">
        <f>"GVF202202028715"</f>
        <v>GVF202202028715</v>
      </c>
      <c r="H1843" t="str">
        <f>"GUARDIAN VISION"</f>
        <v>GUARDIAN VISION</v>
      </c>
      <c r="I1843" s="4">
        <v>571.29999999999995</v>
      </c>
      <c r="J1843" t="str">
        <f>"GUARDIAN VISION"</f>
        <v>GUARDIAN VISION</v>
      </c>
    </row>
    <row r="1844" spans="1:10" x14ac:dyDescent="0.25">
      <c r="A1844" t="str">
        <f>""</f>
        <v/>
      </c>
      <c r="B1844" t="str">
        <f>""</f>
        <v/>
      </c>
      <c r="G1844" t="str">
        <f>"GVF202202028716"</f>
        <v>GVF202202028716</v>
      </c>
      <c r="H1844" t="str">
        <f>"GUARDIAN VISION VENDOR"</f>
        <v>GUARDIAN VISION VENDOR</v>
      </c>
      <c r="I1844" s="4">
        <v>29.55</v>
      </c>
      <c r="J1844" t="str">
        <f>"GUARDIAN VISION VENDOR"</f>
        <v>GUARDIAN VISION VENDOR</v>
      </c>
    </row>
    <row r="1845" spans="1:10" x14ac:dyDescent="0.25">
      <c r="A1845" t="str">
        <f>""</f>
        <v/>
      </c>
      <c r="B1845" t="str">
        <f>""</f>
        <v/>
      </c>
      <c r="G1845" t="str">
        <f>"GVF202202169060"</f>
        <v>GVF202202169060</v>
      </c>
      <c r="H1845" t="str">
        <f>"GUARDIAN VISION"</f>
        <v>GUARDIAN VISION</v>
      </c>
      <c r="I1845" s="4">
        <v>571.29999999999995</v>
      </c>
      <c r="J1845" t="str">
        <f>"GUARDIAN VISION"</f>
        <v>GUARDIAN VISION</v>
      </c>
    </row>
    <row r="1846" spans="1:10" x14ac:dyDescent="0.25">
      <c r="A1846" t="str">
        <f>""</f>
        <v/>
      </c>
      <c r="B1846" t="str">
        <f>""</f>
        <v/>
      </c>
      <c r="G1846" t="str">
        <f>"GVF202202169062"</f>
        <v>GVF202202169062</v>
      </c>
      <c r="H1846" t="str">
        <f>"GUARDIAN VISION VENDOR"</f>
        <v>GUARDIAN VISION VENDOR</v>
      </c>
      <c r="I1846" s="4">
        <v>29.55</v>
      </c>
      <c r="J1846" t="str">
        <f>"GUARDIAN VISION VENDOR"</f>
        <v>GUARDIAN VISION VENDOR</v>
      </c>
    </row>
    <row r="1847" spans="1:10" x14ac:dyDescent="0.25">
      <c r="A1847" t="str">
        <f>""</f>
        <v/>
      </c>
      <c r="B1847" t="str">
        <f>""</f>
        <v/>
      </c>
      <c r="G1847" t="str">
        <f>"LIA202202028715"</f>
        <v>LIA202202028715</v>
      </c>
      <c r="H1847" t="str">
        <f>"GUARDIAN"</f>
        <v>GUARDIAN</v>
      </c>
      <c r="I1847" s="4">
        <v>0.86</v>
      </c>
      <c r="J1847" t="str">
        <f t="shared" ref="J1847:J1910" si="58">"GUARDIAN"</f>
        <v>GUARDIAN</v>
      </c>
    </row>
    <row r="1848" spans="1:10" x14ac:dyDescent="0.25">
      <c r="A1848" t="str">
        <f>""</f>
        <v/>
      </c>
      <c r="B1848" t="str">
        <f>""</f>
        <v/>
      </c>
      <c r="G1848" t="str">
        <f>""</f>
        <v/>
      </c>
      <c r="H1848" t="str">
        <f>""</f>
        <v/>
      </c>
      <c r="I1848" s="4">
        <v>0.74</v>
      </c>
      <c r="J1848" t="str">
        <f t="shared" si="58"/>
        <v>GUARDIAN</v>
      </c>
    </row>
    <row r="1849" spans="1:10" x14ac:dyDescent="0.25">
      <c r="A1849" t="str">
        <f>""</f>
        <v/>
      </c>
      <c r="B1849" t="str">
        <f>""</f>
        <v/>
      </c>
      <c r="G1849" t="str">
        <f>""</f>
        <v/>
      </c>
      <c r="H1849" t="str">
        <f>""</f>
        <v/>
      </c>
      <c r="I1849" s="4">
        <v>1.4</v>
      </c>
      <c r="J1849" t="str">
        <f t="shared" si="58"/>
        <v>GUARDIAN</v>
      </c>
    </row>
    <row r="1850" spans="1:10" x14ac:dyDescent="0.25">
      <c r="A1850" t="str">
        <f>""</f>
        <v/>
      </c>
      <c r="B1850" t="str">
        <f>""</f>
        <v/>
      </c>
      <c r="G1850" t="str">
        <f>""</f>
        <v/>
      </c>
      <c r="H1850" t="str">
        <f>""</f>
        <v/>
      </c>
      <c r="I1850" s="4">
        <v>1.4</v>
      </c>
      <c r="J1850" t="str">
        <f t="shared" si="58"/>
        <v>GUARDIAN</v>
      </c>
    </row>
    <row r="1851" spans="1:10" x14ac:dyDescent="0.25">
      <c r="A1851" t="str">
        <f>""</f>
        <v/>
      </c>
      <c r="B1851" t="str">
        <f>""</f>
        <v/>
      </c>
      <c r="G1851" t="str">
        <f>""</f>
        <v/>
      </c>
      <c r="H1851" t="str">
        <f>""</f>
        <v/>
      </c>
      <c r="I1851" s="4">
        <v>6.46</v>
      </c>
      <c r="J1851" t="str">
        <f t="shared" si="58"/>
        <v>GUARDIAN</v>
      </c>
    </row>
    <row r="1852" spans="1:10" x14ac:dyDescent="0.25">
      <c r="A1852" t="str">
        <f>""</f>
        <v/>
      </c>
      <c r="B1852" t="str">
        <f>""</f>
        <v/>
      </c>
      <c r="G1852" t="str">
        <f>""</f>
        <v/>
      </c>
      <c r="H1852" t="str">
        <f>""</f>
        <v/>
      </c>
      <c r="I1852" s="4">
        <v>0.54</v>
      </c>
      <c r="J1852" t="str">
        <f t="shared" si="58"/>
        <v>GUARDIAN</v>
      </c>
    </row>
    <row r="1853" spans="1:10" x14ac:dyDescent="0.25">
      <c r="A1853" t="str">
        <f>""</f>
        <v/>
      </c>
      <c r="B1853" t="str">
        <f>""</f>
        <v/>
      </c>
      <c r="G1853" t="str">
        <f>""</f>
        <v/>
      </c>
      <c r="H1853" t="str">
        <f>""</f>
        <v/>
      </c>
      <c r="I1853" s="4">
        <v>2.73</v>
      </c>
      <c r="J1853" t="str">
        <f t="shared" si="58"/>
        <v>GUARDIAN</v>
      </c>
    </row>
    <row r="1854" spans="1:10" x14ac:dyDescent="0.25">
      <c r="A1854" t="str">
        <f>""</f>
        <v/>
      </c>
      <c r="B1854" t="str">
        <f>""</f>
        <v/>
      </c>
      <c r="G1854" t="str">
        <f>""</f>
        <v/>
      </c>
      <c r="H1854" t="str">
        <f>""</f>
        <v/>
      </c>
      <c r="I1854" s="4">
        <v>1.4</v>
      </c>
      <c r="J1854" t="str">
        <f t="shared" si="58"/>
        <v>GUARDIAN</v>
      </c>
    </row>
    <row r="1855" spans="1:10" x14ac:dyDescent="0.25">
      <c r="A1855" t="str">
        <f>""</f>
        <v/>
      </c>
      <c r="B1855" t="str">
        <f>""</f>
        <v/>
      </c>
      <c r="G1855" t="str">
        <f>""</f>
        <v/>
      </c>
      <c r="H1855" t="str">
        <f>""</f>
        <v/>
      </c>
      <c r="I1855" s="4">
        <v>1.4</v>
      </c>
      <c r="J1855" t="str">
        <f t="shared" si="58"/>
        <v>GUARDIAN</v>
      </c>
    </row>
    <row r="1856" spans="1:10" x14ac:dyDescent="0.25">
      <c r="A1856" t="str">
        <f>""</f>
        <v/>
      </c>
      <c r="B1856" t="str">
        <f>""</f>
        <v/>
      </c>
      <c r="G1856" t="str">
        <f>""</f>
        <v/>
      </c>
      <c r="H1856" t="str">
        <f>""</f>
        <v/>
      </c>
      <c r="I1856" s="4">
        <v>0.22</v>
      </c>
      <c r="J1856" t="str">
        <f t="shared" si="58"/>
        <v>GUARDIAN</v>
      </c>
    </row>
    <row r="1857" spans="1:10" x14ac:dyDescent="0.25">
      <c r="A1857" t="str">
        <f>""</f>
        <v/>
      </c>
      <c r="B1857" t="str">
        <f>""</f>
        <v/>
      </c>
      <c r="G1857" t="str">
        <f>""</f>
        <v/>
      </c>
      <c r="H1857" t="str">
        <f>""</f>
        <v/>
      </c>
      <c r="I1857" s="4">
        <v>0.54</v>
      </c>
      <c r="J1857" t="str">
        <f t="shared" si="58"/>
        <v>GUARDIAN</v>
      </c>
    </row>
    <row r="1858" spans="1:10" x14ac:dyDescent="0.25">
      <c r="A1858" t="str">
        <f>""</f>
        <v/>
      </c>
      <c r="B1858" t="str">
        <f>""</f>
        <v/>
      </c>
      <c r="G1858" t="str">
        <f>""</f>
        <v/>
      </c>
      <c r="H1858" t="str">
        <f>""</f>
        <v/>
      </c>
      <c r="I1858" s="4">
        <v>0.86</v>
      </c>
      <c r="J1858" t="str">
        <f t="shared" si="58"/>
        <v>GUARDIAN</v>
      </c>
    </row>
    <row r="1859" spans="1:10" x14ac:dyDescent="0.25">
      <c r="A1859" t="str">
        <f>""</f>
        <v/>
      </c>
      <c r="B1859" t="str">
        <f>""</f>
        <v/>
      </c>
      <c r="G1859" t="str">
        <f>""</f>
        <v/>
      </c>
      <c r="H1859" t="str">
        <f>""</f>
        <v/>
      </c>
      <c r="I1859" s="4">
        <v>3.13</v>
      </c>
      <c r="J1859" t="str">
        <f t="shared" si="58"/>
        <v>GUARDIAN</v>
      </c>
    </row>
    <row r="1860" spans="1:10" x14ac:dyDescent="0.25">
      <c r="A1860" t="str">
        <f>""</f>
        <v/>
      </c>
      <c r="B1860" t="str">
        <f>""</f>
        <v/>
      </c>
      <c r="G1860" t="str">
        <f>""</f>
        <v/>
      </c>
      <c r="H1860" t="str">
        <f>""</f>
        <v/>
      </c>
      <c r="I1860" s="4">
        <v>0.11</v>
      </c>
      <c r="J1860" t="str">
        <f t="shared" si="58"/>
        <v>GUARDIAN</v>
      </c>
    </row>
    <row r="1861" spans="1:10" x14ac:dyDescent="0.25">
      <c r="A1861" t="str">
        <f>""</f>
        <v/>
      </c>
      <c r="B1861" t="str">
        <f>""</f>
        <v/>
      </c>
      <c r="G1861" t="str">
        <f>""</f>
        <v/>
      </c>
      <c r="H1861" t="str">
        <f>""</f>
        <v/>
      </c>
      <c r="I1861" s="4">
        <v>0.49</v>
      </c>
      <c r="J1861" t="str">
        <f t="shared" si="58"/>
        <v>GUARDIAN</v>
      </c>
    </row>
    <row r="1862" spans="1:10" x14ac:dyDescent="0.25">
      <c r="A1862" t="str">
        <f>""</f>
        <v/>
      </c>
      <c r="B1862" t="str">
        <f>""</f>
        <v/>
      </c>
      <c r="G1862" t="str">
        <f>""</f>
        <v/>
      </c>
      <c r="H1862" t="str">
        <f>""</f>
        <v/>
      </c>
      <c r="I1862" s="4">
        <v>3.29</v>
      </c>
      <c r="J1862" t="str">
        <f t="shared" si="58"/>
        <v>GUARDIAN</v>
      </c>
    </row>
    <row r="1863" spans="1:10" x14ac:dyDescent="0.25">
      <c r="A1863" t="str">
        <f>""</f>
        <v/>
      </c>
      <c r="B1863" t="str">
        <f>""</f>
        <v/>
      </c>
      <c r="G1863" t="str">
        <f>""</f>
        <v/>
      </c>
      <c r="H1863" t="str">
        <f>""</f>
        <v/>
      </c>
      <c r="I1863" s="4">
        <v>0.75</v>
      </c>
      <c r="J1863" t="str">
        <f t="shared" si="58"/>
        <v>GUARDIAN</v>
      </c>
    </row>
    <row r="1864" spans="1:10" x14ac:dyDescent="0.25">
      <c r="A1864" t="str">
        <f>""</f>
        <v/>
      </c>
      <c r="B1864" t="str">
        <f>""</f>
        <v/>
      </c>
      <c r="G1864" t="str">
        <f>""</f>
        <v/>
      </c>
      <c r="H1864" t="str">
        <f>""</f>
        <v/>
      </c>
      <c r="I1864" s="4">
        <v>7.0000000000000007E-2</v>
      </c>
      <c r="J1864" t="str">
        <f t="shared" si="58"/>
        <v>GUARDIAN</v>
      </c>
    </row>
    <row r="1865" spans="1:10" x14ac:dyDescent="0.25">
      <c r="A1865" t="str">
        <f>""</f>
        <v/>
      </c>
      <c r="B1865" t="str">
        <f>""</f>
        <v/>
      </c>
      <c r="G1865" t="str">
        <f>""</f>
        <v/>
      </c>
      <c r="H1865" t="str">
        <f>""</f>
        <v/>
      </c>
      <c r="I1865" s="4">
        <v>265.82</v>
      </c>
      <c r="J1865" t="str">
        <f t="shared" si="58"/>
        <v>GUARDIAN</v>
      </c>
    </row>
    <row r="1866" spans="1:10" x14ac:dyDescent="0.25">
      <c r="A1866" t="str">
        <f>""</f>
        <v/>
      </c>
      <c r="B1866" t="str">
        <f>""</f>
        <v/>
      </c>
      <c r="G1866" t="str">
        <f>"LIA202202028716"</f>
        <v>LIA202202028716</v>
      </c>
      <c r="H1866" t="str">
        <f>"GUARDIAN"</f>
        <v>GUARDIAN</v>
      </c>
      <c r="I1866" s="4">
        <v>1.4</v>
      </c>
      <c r="J1866" t="str">
        <f t="shared" si="58"/>
        <v>GUARDIAN</v>
      </c>
    </row>
    <row r="1867" spans="1:10" x14ac:dyDescent="0.25">
      <c r="A1867" t="str">
        <f>""</f>
        <v/>
      </c>
      <c r="B1867" t="str">
        <f>""</f>
        <v/>
      </c>
      <c r="G1867" t="str">
        <f>""</f>
        <v/>
      </c>
      <c r="H1867" t="str">
        <f>""</f>
        <v/>
      </c>
      <c r="I1867" s="4">
        <v>39.590000000000003</v>
      </c>
      <c r="J1867" t="str">
        <f t="shared" si="58"/>
        <v>GUARDIAN</v>
      </c>
    </row>
    <row r="1868" spans="1:10" x14ac:dyDescent="0.25">
      <c r="A1868" t="str">
        <f>""</f>
        <v/>
      </c>
      <c r="B1868" t="str">
        <f>""</f>
        <v/>
      </c>
      <c r="G1868" t="str">
        <f>"LIA202202169060"</f>
        <v>LIA202202169060</v>
      </c>
      <c r="H1868" t="str">
        <f>"GUARDIAN"</f>
        <v>GUARDIAN</v>
      </c>
      <c r="I1868" s="4">
        <v>0.86</v>
      </c>
      <c r="J1868" t="str">
        <f t="shared" si="58"/>
        <v>GUARDIAN</v>
      </c>
    </row>
    <row r="1869" spans="1:10" x14ac:dyDescent="0.25">
      <c r="A1869" t="str">
        <f>""</f>
        <v/>
      </c>
      <c r="B1869" t="str">
        <f>""</f>
        <v/>
      </c>
      <c r="G1869" t="str">
        <f>""</f>
        <v/>
      </c>
      <c r="H1869" t="str">
        <f>""</f>
        <v/>
      </c>
      <c r="I1869" s="4">
        <v>0.74</v>
      </c>
      <c r="J1869" t="str">
        <f t="shared" si="58"/>
        <v>GUARDIAN</v>
      </c>
    </row>
    <row r="1870" spans="1:10" x14ac:dyDescent="0.25">
      <c r="A1870" t="str">
        <f>""</f>
        <v/>
      </c>
      <c r="B1870" t="str">
        <f>""</f>
        <v/>
      </c>
      <c r="G1870" t="str">
        <f>""</f>
        <v/>
      </c>
      <c r="H1870" t="str">
        <f>""</f>
        <v/>
      </c>
      <c r="I1870" s="4">
        <v>1.4</v>
      </c>
      <c r="J1870" t="str">
        <f t="shared" si="58"/>
        <v>GUARDIAN</v>
      </c>
    </row>
    <row r="1871" spans="1:10" x14ac:dyDescent="0.25">
      <c r="A1871" t="str">
        <f>""</f>
        <v/>
      </c>
      <c r="B1871" t="str">
        <f>""</f>
        <v/>
      </c>
      <c r="G1871" t="str">
        <f>""</f>
        <v/>
      </c>
      <c r="H1871" t="str">
        <f>""</f>
        <v/>
      </c>
      <c r="I1871" s="4">
        <v>1.4</v>
      </c>
      <c r="J1871" t="str">
        <f t="shared" si="58"/>
        <v>GUARDIAN</v>
      </c>
    </row>
    <row r="1872" spans="1:10" x14ac:dyDescent="0.25">
      <c r="A1872" t="str">
        <f>""</f>
        <v/>
      </c>
      <c r="B1872" t="str">
        <f>""</f>
        <v/>
      </c>
      <c r="G1872" t="str">
        <f>""</f>
        <v/>
      </c>
      <c r="H1872" t="str">
        <f>""</f>
        <v/>
      </c>
      <c r="I1872" s="4">
        <v>6.46</v>
      </c>
      <c r="J1872" t="str">
        <f t="shared" si="58"/>
        <v>GUARDIAN</v>
      </c>
    </row>
    <row r="1873" spans="1:10" x14ac:dyDescent="0.25">
      <c r="A1873" t="str">
        <f>""</f>
        <v/>
      </c>
      <c r="B1873" t="str">
        <f>""</f>
        <v/>
      </c>
      <c r="G1873" t="str">
        <f>""</f>
        <v/>
      </c>
      <c r="H1873" t="str">
        <f>""</f>
        <v/>
      </c>
      <c r="I1873" s="4">
        <v>0.54</v>
      </c>
      <c r="J1873" t="str">
        <f t="shared" si="58"/>
        <v>GUARDIAN</v>
      </c>
    </row>
    <row r="1874" spans="1:10" x14ac:dyDescent="0.25">
      <c r="A1874" t="str">
        <f>""</f>
        <v/>
      </c>
      <c r="B1874" t="str">
        <f>""</f>
        <v/>
      </c>
      <c r="G1874" t="str">
        <f>""</f>
        <v/>
      </c>
      <c r="H1874" t="str">
        <f>""</f>
        <v/>
      </c>
      <c r="I1874" s="4">
        <v>2.73</v>
      </c>
      <c r="J1874" t="str">
        <f t="shared" si="58"/>
        <v>GUARDIAN</v>
      </c>
    </row>
    <row r="1875" spans="1:10" x14ac:dyDescent="0.25">
      <c r="A1875" t="str">
        <f>""</f>
        <v/>
      </c>
      <c r="B1875" t="str">
        <f>""</f>
        <v/>
      </c>
      <c r="G1875" t="str">
        <f>""</f>
        <v/>
      </c>
      <c r="H1875" t="str">
        <f>""</f>
        <v/>
      </c>
      <c r="I1875" s="4">
        <v>1.4</v>
      </c>
      <c r="J1875" t="str">
        <f t="shared" si="58"/>
        <v>GUARDIAN</v>
      </c>
    </row>
    <row r="1876" spans="1:10" x14ac:dyDescent="0.25">
      <c r="A1876" t="str">
        <f>""</f>
        <v/>
      </c>
      <c r="B1876" t="str">
        <f>""</f>
        <v/>
      </c>
      <c r="G1876" t="str">
        <f>""</f>
        <v/>
      </c>
      <c r="H1876" t="str">
        <f>""</f>
        <v/>
      </c>
      <c r="I1876" s="4">
        <v>1.4</v>
      </c>
      <c r="J1876" t="str">
        <f t="shared" si="58"/>
        <v>GUARDIAN</v>
      </c>
    </row>
    <row r="1877" spans="1:10" x14ac:dyDescent="0.25">
      <c r="A1877" t="str">
        <f>""</f>
        <v/>
      </c>
      <c r="B1877" t="str">
        <f>""</f>
        <v/>
      </c>
      <c r="G1877" t="str">
        <f>""</f>
        <v/>
      </c>
      <c r="H1877" t="str">
        <f>""</f>
        <v/>
      </c>
      <c r="I1877" s="4">
        <v>0.22</v>
      </c>
      <c r="J1877" t="str">
        <f t="shared" si="58"/>
        <v>GUARDIAN</v>
      </c>
    </row>
    <row r="1878" spans="1:10" x14ac:dyDescent="0.25">
      <c r="A1878" t="str">
        <f>""</f>
        <v/>
      </c>
      <c r="B1878" t="str">
        <f>""</f>
        <v/>
      </c>
      <c r="G1878" t="str">
        <f>""</f>
        <v/>
      </c>
      <c r="H1878" t="str">
        <f>""</f>
        <v/>
      </c>
      <c r="I1878" s="4">
        <v>0.54</v>
      </c>
      <c r="J1878" t="str">
        <f t="shared" si="58"/>
        <v>GUARDIAN</v>
      </c>
    </row>
    <row r="1879" spans="1:10" x14ac:dyDescent="0.25">
      <c r="A1879" t="str">
        <f>""</f>
        <v/>
      </c>
      <c r="B1879" t="str">
        <f>""</f>
        <v/>
      </c>
      <c r="G1879" t="str">
        <f>""</f>
        <v/>
      </c>
      <c r="H1879" t="str">
        <f>""</f>
        <v/>
      </c>
      <c r="I1879" s="4">
        <v>0.86</v>
      </c>
      <c r="J1879" t="str">
        <f t="shared" si="58"/>
        <v>GUARDIAN</v>
      </c>
    </row>
    <row r="1880" spans="1:10" x14ac:dyDescent="0.25">
      <c r="A1880" t="str">
        <f>""</f>
        <v/>
      </c>
      <c r="B1880" t="str">
        <f>""</f>
        <v/>
      </c>
      <c r="G1880" t="str">
        <f>""</f>
        <v/>
      </c>
      <c r="H1880" t="str">
        <f>""</f>
        <v/>
      </c>
      <c r="I1880" s="4">
        <v>3.13</v>
      </c>
      <c r="J1880" t="str">
        <f t="shared" si="58"/>
        <v>GUARDIAN</v>
      </c>
    </row>
    <row r="1881" spans="1:10" x14ac:dyDescent="0.25">
      <c r="A1881" t="str">
        <f>""</f>
        <v/>
      </c>
      <c r="B1881" t="str">
        <f>""</f>
        <v/>
      </c>
      <c r="G1881" t="str">
        <f>""</f>
        <v/>
      </c>
      <c r="H1881" t="str">
        <f>""</f>
        <v/>
      </c>
      <c r="I1881" s="4">
        <v>0.11</v>
      </c>
      <c r="J1881" t="str">
        <f t="shared" si="58"/>
        <v>GUARDIAN</v>
      </c>
    </row>
    <row r="1882" spans="1:10" x14ac:dyDescent="0.25">
      <c r="A1882" t="str">
        <f>""</f>
        <v/>
      </c>
      <c r="B1882" t="str">
        <f>""</f>
        <v/>
      </c>
      <c r="G1882" t="str">
        <f>""</f>
        <v/>
      </c>
      <c r="H1882" t="str">
        <f>""</f>
        <v/>
      </c>
      <c r="I1882" s="4">
        <v>0.49</v>
      </c>
      <c r="J1882" t="str">
        <f t="shared" si="58"/>
        <v>GUARDIAN</v>
      </c>
    </row>
    <row r="1883" spans="1:10" x14ac:dyDescent="0.25">
      <c r="A1883" t="str">
        <f>""</f>
        <v/>
      </c>
      <c r="B1883" t="str">
        <f>""</f>
        <v/>
      </c>
      <c r="G1883" t="str">
        <f>""</f>
        <v/>
      </c>
      <c r="H1883" t="str">
        <f>""</f>
        <v/>
      </c>
      <c r="I1883" s="4">
        <v>3.29</v>
      </c>
      <c r="J1883" t="str">
        <f t="shared" si="58"/>
        <v>GUARDIAN</v>
      </c>
    </row>
    <row r="1884" spans="1:10" x14ac:dyDescent="0.25">
      <c r="A1884" t="str">
        <f>""</f>
        <v/>
      </c>
      <c r="B1884" t="str">
        <f>""</f>
        <v/>
      </c>
      <c r="G1884" t="str">
        <f>""</f>
        <v/>
      </c>
      <c r="H1884" t="str">
        <f>""</f>
        <v/>
      </c>
      <c r="I1884" s="4">
        <v>0.75</v>
      </c>
      <c r="J1884" t="str">
        <f t="shared" si="58"/>
        <v>GUARDIAN</v>
      </c>
    </row>
    <row r="1885" spans="1:10" x14ac:dyDescent="0.25">
      <c r="A1885" t="str">
        <f>""</f>
        <v/>
      </c>
      <c r="B1885" t="str">
        <f>""</f>
        <v/>
      </c>
      <c r="G1885" t="str">
        <f>""</f>
        <v/>
      </c>
      <c r="H1885" t="str">
        <f>""</f>
        <v/>
      </c>
      <c r="I1885" s="4">
        <v>7.0000000000000007E-2</v>
      </c>
      <c r="J1885" t="str">
        <f t="shared" si="58"/>
        <v>GUARDIAN</v>
      </c>
    </row>
    <row r="1886" spans="1:10" x14ac:dyDescent="0.25">
      <c r="A1886" t="str">
        <f>""</f>
        <v/>
      </c>
      <c r="B1886" t="str">
        <f>""</f>
        <v/>
      </c>
      <c r="G1886" t="str">
        <f>""</f>
        <v/>
      </c>
      <c r="H1886" t="str">
        <f>""</f>
        <v/>
      </c>
      <c r="I1886" s="4">
        <v>265.82</v>
      </c>
      <c r="J1886" t="str">
        <f t="shared" si="58"/>
        <v>GUARDIAN</v>
      </c>
    </row>
    <row r="1887" spans="1:10" x14ac:dyDescent="0.25">
      <c r="A1887" t="str">
        <f>""</f>
        <v/>
      </c>
      <c r="B1887" t="str">
        <f>""</f>
        <v/>
      </c>
      <c r="G1887" t="str">
        <f>"LIA202202169062"</f>
        <v>LIA202202169062</v>
      </c>
      <c r="H1887" t="str">
        <f>"GUARDIAN"</f>
        <v>GUARDIAN</v>
      </c>
      <c r="I1887" s="4">
        <v>1.4</v>
      </c>
      <c r="J1887" t="str">
        <f t="shared" si="58"/>
        <v>GUARDIAN</v>
      </c>
    </row>
    <row r="1888" spans="1:10" x14ac:dyDescent="0.25">
      <c r="A1888" t="str">
        <f>""</f>
        <v/>
      </c>
      <c r="B1888" t="str">
        <f>""</f>
        <v/>
      </c>
      <c r="G1888" t="str">
        <f>""</f>
        <v/>
      </c>
      <c r="H1888" t="str">
        <f>""</f>
        <v/>
      </c>
      <c r="I1888" s="4">
        <v>39.590000000000003</v>
      </c>
      <c r="J1888" t="str">
        <f t="shared" si="58"/>
        <v>GUARDIAN</v>
      </c>
    </row>
    <row r="1889" spans="1:10" x14ac:dyDescent="0.25">
      <c r="A1889" t="str">
        <f>""</f>
        <v/>
      </c>
      <c r="B1889" t="str">
        <f>""</f>
        <v/>
      </c>
      <c r="G1889" t="str">
        <f>"LIC202202028715"</f>
        <v>LIC202202028715</v>
      </c>
      <c r="H1889" t="str">
        <f>"GUARDIAN"</f>
        <v>GUARDIAN</v>
      </c>
      <c r="I1889" s="4">
        <v>33.880000000000003</v>
      </c>
      <c r="J1889" t="str">
        <f t="shared" si="58"/>
        <v>GUARDIAN</v>
      </c>
    </row>
    <row r="1890" spans="1:10" x14ac:dyDescent="0.25">
      <c r="A1890" t="str">
        <f>""</f>
        <v/>
      </c>
      <c r="B1890" t="str">
        <f>""</f>
        <v/>
      </c>
      <c r="G1890" t="str">
        <f>"LIC202202028716"</f>
        <v>LIC202202028716</v>
      </c>
      <c r="H1890" t="str">
        <f>"GUARDIAN"</f>
        <v>GUARDIAN</v>
      </c>
      <c r="I1890" s="4">
        <v>0.7</v>
      </c>
      <c r="J1890" t="str">
        <f t="shared" si="58"/>
        <v>GUARDIAN</v>
      </c>
    </row>
    <row r="1891" spans="1:10" x14ac:dyDescent="0.25">
      <c r="A1891" t="str">
        <f>""</f>
        <v/>
      </c>
      <c r="B1891" t="str">
        <f>""</f>
        <v/>
      </c>
      <c r="G1891" t="str">
        <f>"LIC202202169060"</f>
        <v>LIC202202169060</v>
      </c>
      <c r="H1891" t="str">
        <f>"GUARDIAN"</f>
        <v>GUARDIAN</v>
      </c>
      <c r="I1891" s="4">
        <v>33.880000000000003</v>
      </c>
      <c r="J1891" t="str">
        <f t="shared" si="58"/>
        <v>GUARDIAN</v>
      </c>
    </row>
    <row r="1892" spans="1:10" x14ac:dyDescent="0.25">
      <c r="A1892" t="str">
        <f>""</f>
        <v/>
      </c>
      <c r="B1892" t="str">
        <f>""</f>
        <v/>
      </c>
      <c r="G1892" t="str">
        <f>"LIC202202169062"</f>
        <v>LIC202202169062</v>
      </c>
      <c r="H1892" t="str">
        <f>"GUARDIAN"</f>
        <v>GUARDIAN</v>
      </c>
      <c r="I1892" s="4">
        <v>0.7</v>
      </c>
      <c r="J1892" t="str">
        <f t="shared" si="58"/>
        <v>GUARDIAN</v>
      </c>
    </row>
    <row r="1893" spans="1:10" x14ac:dyDescent="0.25">
      <c r="A1893" t="str">
        <f>""</f>
        <v/>
      </c>
      <c r="B1893" t="str">
        <f>""</f>
        <v/>
      </c>
      <c r="G1893" t="str">
        <f>"LIE202202028715"</f>
        <v>LIE202202028715</v>
      </c>
      <c r="H1893" t="str">
        <f>"GUARDIAN"</f>
        <v>GUARDIAN</v>
      </c>
      <c r="I1893" s="4">
        <v>4.3</v>
      </c>
      <c r="J1893" t="str">
        <f t="shared" si="58"/>
        <v>GUARDIAN</v>
      </c>
    </row>
    <row r="1894" spans="1:10" x14ac:dyDescent="0.25">
      <c r="A1894" t="str">
        <f>""</f>
        <v/>
      </c>
      <c r="B1894" t="str">
        <f>""</f>
        <v/>
      </c>
      <c r="G1894" t="str">
        <f>""</f>
        <v/>
      </c>
      <c r="H1894" t="str">
        <f>""</f>
        <v/>
      </c>
      <c r="I1894" s="4">
        <v>1.88</v>
      </c>
      <c r="J1894" t="str">
        <f t="shared" si="58"/>
        <v>GUARDIAN</v>
      </c>
    </row>
    <row r="1895" spans="1:10" x14ac:dyDescent="0.25">
      <c r="A1895" t="str">
        <f>""</f>
        <v/>
      </c>
      <c r="B1895" t="str">
        <f>""</f>
        <v/>
      </c>
      <c r="G1895" t="str">
        <f>""</f>
        <v/>
      </c>
      <c r="H1895" t="str">
        <f>""</f>
        <v/>
      </c>
      <c r="I1895" s="4">
        <v>14.79</v>
      </c>
      <c r="J1895" t="str">
        <f t="shared" si="58"/>
        <v>GUARDIAN</v>
      </c>
    </row>
    <row r="1896" spans="1:10" x14ac:dyDescent="0.25">
      <c r="A1896" t="str">
        <f>""</f>
        <v/>
      </c>
      <c r="B1896" t="str">
        <f>""</f>
        <v/>
      </c>
      <c r="G1896" t="str">
        <f>""</f>
        <v/>
      </c>
      <c r="H1896" t="str">
        <f>""</f>
        <v/>
      </c>
      <c r="I1896" s="4">
        <v>6.45</v>
      </c>
      <c r="J1896" t="str">
        <f t="shared" si="58"/>
        <v>GUARDIAN</v>
      </c>
    </row>
    <row r="1897" spans="1:10" x14ac:dyDescent="0.25">
      <c r="A1897" t="str">
        <f>""</f>
        <v/>
      </c>
      <c r="B1897" t="str">
        <f>""</f>
        <v/>
      </c>
      <c r="G1897" t="str">
        <f>""</f>
        <v/>
      </c>
      <c r="H1897" t="str">
        <f>""</f>
        <v/>
      </c>
      <c r="I1897" s="4">
        <v>4.3</v>
      </c>
      <c r="J1897" t="str">
        <f t="shared" si="58"/>
        <v>GUARDIAN</v>
      </c>
    </row>
    <row r="1898" spans="1:10" x14ac:dyDescent="0.25">
      <c r="A1898" t="str">
        <f>""</f>
        <v/>
      </c>
      <c r="B1898" t="str">
        <f>""</f>
        <v/>
      </c>
      <c r="G1898" t="str">
        <f>""</f>
        <v/>
      </c>
      <c r="H1898" t="str">
        <f>""</f>
        <v/>
      </c>
      <c r="I1898" s="4">
        <v>12.9</v>
      </c>
      <c r="J1898" t="str">
        <f t="shared" si="58"/>
        <v>GUARDIAN</v>
      </c>
    </row>
    <row r="1899" spans="1:10" x14ac:dyDescent="0.25">
      <c r="A1899" t="str">
        <f>""</f>
        <v/>
      </c>
      <c r="B1899" t="str">
        <f>""</f>
        <v/>
      </c>
      <c r="G1899" t="str">
        <f>""</f>
        <v/>
      </c>
      <c r="H1899" t="str">
        <f>""</f>
        <v/>
      </c>
      <c r="I1899" s="4">
        <v>43</v>
      </c>
      <c r="J1899" t="str">
        <f t="shared" si="58"/>
        <v>GUARDIAN</v>
      </c>
    </row>
    <row r="1900" spans="1:10" x14ac:dyDescent="0.25">
      <c r="A1900" t="str">
        <f>""</f>
        <v/>
      </c>
      <c r="B1900" t="str">
        <f>""</f>
        <v/>
      </c>
      <c r="G1900" t="str">
        <f>""</f>
        <v/>
      </c>
      <c r="H1900" t="str">
        <f>""</f>
        <v/>
      </c>
      <c r="I1900" s="4">
        <v>6.14</v>
      </c>
      <c r="J1900" t="str">
        <f t="shared" si="58"/>
        <v>GUARDIAN</v>
      </c>
    </row>
    <row r="1901" spans="1:10" x14ac:dyDescent="0.25">
      <c r="A1901" t="str">
        <f>""</f>
        <v/>
      </c>
      <c r="B1901" t="str">
        <f>""</f>
        <v/>
      </c>
      <c r="G1901" t="str">
        <f>""</f>
        <v/>
      </c>
      <c r="H1901" t="str">
        <f>""</f>
        <v/>
      </c>
      <c r="I1901" s="4">
        <v>10.75</v>
      </c>
      <c r="J1901" t="str">
        <f t="shared" si="58"/>
        <v>GUARDIAN</v>
      </c>
    </row>
    <row r="1902" spans="1:10" x14ac:dyDescent="0.25">
      <c r="A1902" t="str">
        <f>""</f>
        <v/>
      </c>
      <c r="B1902" t="str">
        <f>""</f>
        <v/>
      </c>
      <c r="G1902" t="str">
        <f>""</f>
        <v/>
      </c>
      <c r="H1902" t="str">
        <f>""</f>
        <v/>
      </c>
      <c r="I1902" s="4">
        <v>23.65</v>
      </c>
      <c r="J1902" t="str">
        <f t="shared" si="58"/>
        <v>GUARDIAN</v>
      </c>
    </row>
    <row r="1903" spans="1:10" x14ac:dyDescent="0.25">
      <c r="A1903" t="str">
        <f>""</f>
        <v/>
      </c>
      <c r="B1903" t="str">
        <f>""</f>
        <v/>
      </c>
      <c r="G1903" t="str">
        <f>""</f>
        <v/>
      </c>
      <c r="H1903" t="str">
        <f>""</f>
        <v/>
      </c>
      <c r="I1903" s="4">
        <v>8.6</v>
      </c>
      <c r="J1903" t="str">
        <f t="shared" si="58"/>
        <v>GUARDIAN</v>
      </c>
    </row>
    <row r="1904" spans="1:10" x14ac:dyDescent="0.25">
      <c r="A1904" t="str">
        <f>""</f>
        <v/>
      </c>
      <c r="B1904" t="str">
        <f>""</f>
        <v/>
      </c>
      <c r="G1904" t="str">
        <f>""</f>
        <v/>
      </c>
      <c r="H1904" t="str">
        <f>""</f>
        <v/>
      </c>
      <c r="I1904" s="4">
        <v>8.6</v>
      </c>
      <c r="J1904" t="str">
        <f t="shared" si="58"/>
        <v>GUARDIAN</v>
      </c>
    </row>
    <row r="1905" spans="1:10" x14ac:dyDescent="0.25">
      <c r="A1905" t="str">
        <f>""</f>
        <v/>
      </c>
      <c r="B1905" t="str">
        <f>""</f>
        <v/>
      </c>
      <c r="G1905" t="str">
        <f>""</f>
        <v/>
      </c>
      <c r="H1905" t="str">
        <f>""</f>
        <v/>
      </c>
      <c r="I1905" s="4">
        <v>6.45</v>
      </c>
      <c r="J1905" t="str">
        <f t="shared" si="58"/>
        <v>GUARDIAN</v>
      </c>
    </row>
    <row r="1906" spans="1:10" x14ac:dyDescent="0.25">
      <c r="A1906" t="str">
        <f>""</f>
        <v/>
      </c>
      <c r="B1906" t="str">
        <f>""</f>
        <v/>
      </c>
      <c r="G1906" t="str">
        <f>""</f>
        <v/>
      </c>
      <c r="H1906" t="str">
        <f>""</f>
        <v/>
      </c>
      <c r="I1906" s="4">
        <v>6.45</v>
      </c>
      <c r="J1906" t="str">
        <f t="shared" si="58"/>
        <v>GUARDIAN</v>
      </c>
    </row>
    <row r="1907" spans="1:10" x14ac:dyDescent="0.25">
      <c r="A1907" t="str">
        <f>""</f>
        <v/>
      </c>
      <c r="B1907" t="str">
        <f>""</f>
        <v/>
      </c>
      <c r="G1907" t="str">
        <f>""</f>
        <v/>
      </c>
      <c r="H1907" t="str">
        <f>""</f>
        <v/>
      </c>
      <c r="I1907" s="4">
        <v>4.3</v>
      </c>
      <c r="J1907" t="str">
        <f t="shared" si="58"/>
        <v>GUARDIAN</v>
      </c>
    </row>
    <row r="1908" spans="1:10" x14ac:dyDescent="0.25">
      <c r="A1908" t="str">
        <f>""</f>
        <v/>
      </c>
      <c r="B1908" t="str">
        <f>""</f>
        <v/>
      </c>
      <c r="G1908" t="str">
        <f>""</f>
        <v/>
      </c>
      <c r="H1908" t="str">
        <f>""</f>
        <v/>
      </c>
      <c r="I1908" s="4">
        <v>31.99</v>
      </c>
      <c r="J1908" t="str">
        <f t="shared" si="58"/>
        <v>GUARDIAN</v>
      </c>
    </row>
    <row r="1909" spans="1:10" x14ac:dyDescent="0.25">
      <c r="A1909" t="str">
        <f>""</f>
        <v/>
      </c>
      <c r="B1909" t="str">
        <f>""</f>
        <v/>
      </c>
      <c r="G1909" t="str">
        <f>""</f>
        <v/>
      </c>
      <c r="H1909" t="str">
        <f>""</f>
        <v/>
      </c>
      <c r="I1909" s="4">
        <v>15.05</v>
      </c>
      <c r="J1909" t="str">
        <f t="shared" si="58"/>
        <v>GUARDIAN</v>
      </c>
    </row>
    <row r="1910" spans="1:10" x14ac:dyDescent="0.25">
      <c r="A1910" t="str">
        <f>""</f>
        <v/>
      </c>
      <c r="B1910" t="str">
        <f>""</f>
        <v/>
      </c>
      <c r="G1910" t="str">
        <f>""</f>
        <v/>
      </c>
      <c r="H1910" t="str">
        <f>""</f>
        <v/>
      </c>
      <c r="I1910" s="4">
        <v>8.6</v>
      </c>
      <c r="J1910" t="str">
        <f t="shared" si="58"/>
        <v>GUARDIAN</v>
      </c>
    </row>
    <row r="1911" spans="1:10" x14ac:dyDescent="0.25">
      <c r="A1911" t="str">
        <f>""</f>
        <v/>
      </c>
      <c r="B1911" t="str">
        <f>""</f>
        <v/>
      </c>
      <c r="G1911" t="str">
        <f>""</f>
        <v/>
      </c>
      <c r="H1911" t="str">
        <f>""</f>
        <v/>
      </c>
      <c r="I1911" s="4">
        <v>8.6</v>
      </c>
      <c r="J1911" t="str">
        <f t="shared" ref="J1911:J1974" si="59">"GUARDIAN"</f>
        <v>GUARDIAN</v>
      </c>
    </row>
    <row r="1912" spans="1:10" x14ac:dyDescent="0.25">
      <c r="A1912" t="str">
        <f>""</f>
        <v/>
      </c>
      <c r="B1912" t="str">
        <f>""</f>
        <v/>
      </c>
      <c r="G1912" t="str">
        <f>""</f>
        <v/>
      </c>
      <c r="H1912" t="str">
        <f>""</f>
        <v/>
      </c>
      <c r="I1912" s="4">
        <v>30.1</v>
      </c>
      <c r="J1912" t="str">
        <f t="shared" si="59"/>
        <v>GUARDIAN</v>
      </c>
    </row>
    <row r="1913" spans="1:10" x14ac:dyDescent="0.25">
      <c r="A1913" t="str">
        <f>""</f>
        <v/>
      </c>
      <c r="B1913" t="str">
        <f>""</f>
        <v/>
      </c>
      <c r="G1913" t="str">
        <f>""</f>
        <v/>
      </c>
      <c r="H1913" t="str">
        <f>""</f>
        <v/>
      </c>
      <c r="I1913" s="4">
        <v>12.9</v>
      </c>
      <c r="J1913" t="str">
        <f t="shared" si="59"/>
        <v>GUARDIAN</v>
      </c>
    </row>
    <row r="1914" spans="1:10" x14ac:dyDescent="0.25">
      <c r="A1914" t="str">
        <f>""</f>
        <v/>
      </c>
      <c r="B1914" t="str">
        <f>""</f>
        <v/>
      </c>
      <c r="G1914" t="str">
        <f>""</f>
        <v/>
      </c>
      <c r="H1914" t="str">
        <f>""</f>
        <v/>
      </c>
      <c r="I1914" s="4">
        <v>23.65</v>
      </c>
      <c r="J1914" t="str">
        <f t="shared" si="59"/>
        <v>GUARDIAN</v>
      </c>
    </row>
    <row r="1915" spans="1:10" x14ac:dyDescent="0.25">
      <c r="A1915" t="str">
        <f>""</f>
        <v/>
      </c>
      <c r="B1915" t="str">
        <f>""</f>
        <v/>
      </c>
      <c r="G1915" t="str">
        <f>""</f>
        <v/>
      </c>
      <c r="H1915" t="str">
        <f>""</f>
        <v/>
      </c>
      <c r="I1915" s="4">
        <v>25.8</v>
      </c>
      <c r="J1915" t="str">
        <f t="shared" si="59"/>
        <v>GUARDIAN</v>
      </c>
    </row>
    <row r="1916" spans="1:10" x14ac:dyDescent="0.25">
      <c r="A1916" t="str">
        <f>""</f>
        <v/>
      </c>
      <c r="B1916" t="str">
        <f>""</f>
        <v/>
      </c>
      <c r="G1916" t="str">
        <f>""</f>
        <v/>
      </c>
      <c r="H1916" t="str">
        <f>""</f>
        <v/>
      </c>
      <c r="I1916" s="4">
        <v>38.729999999999997</v>
      </c>
      <c r="J1916" t="str">
        <f t="shared" si="59"/>
        <v>GUARDIAN</v>
      </c>
    </row>
    <row r="1917" spans="1:10" x14ac:dyDescent="0.25">
      <c r="A1917" t="str">
        <f>""</f>
        <v/>
      </c>
      <c r="B1917" t="str">
        <f>""</f>
        <v/>
      </c>
      <c r="G1917" t="str">
        <f>""</f>
        <v/>
      </c>
      <c r="H1917" t="str">
        <f>""</f>
        <v/>
      </c>
      <c r="I1917" s="4">
        <v>2.15</v>
      </c>
      <c r="J1917" t="str">
        <f t="shared" si="59"/>
        <v>GUARDIAN</v>
      </c>
    </row>
    <row r="1918" spans="1:10" x14ac:dyDescent="0.25">
      <c r="A1918" t="str">
        <f>""</f>
        <v/>
      </c>
      <c r="B1918" t="str">
        <f>""</f>
        <v/>
      </c>
      <c r="G1918" t="str">
        <f>""</f>
        <v/>
      </c>
      <c r="H1918" t="str">
        <f>""</f>
        <v/>
      </c>
      <c r="I1918" s="4">
        <v>2.15</v>
      </c>
      <c r="J1918" t="str">
        <f t="shared" si="59"/>
        <v>GUARDIAN</v>
      </c>
    </row>
    <row r="1919" spans="1:10" x14ac:dyDescent="0.25">
      <c r="A1919" t="str">
        <f>""</f>
        <v/>
      </c>
      <c r="B1919" t="str">
        <f>""</f>
        <v/>
      </c>
      <c r="G1919" t="str">
        <f>""</f>
        <v/>
      </c>
      <c r="H1919" t="str">
        <f>""</f>
        <v/>
      </c>
      <c r="I1919" s="4">
        <v>2.15</v>
      </c>
      <c r="J1919" t="str">
        <f t="shared" si="59"/>
        <v>GUARDIAN</v>
      </c>
    </row>
    <row r="1920" spans="1:10" x14ac:dyDescent="0.25">
      <c r="A1920" t="str">
        <f>""</f>
        <v/>
      </c>
      <c r="B1920" t="str">
        <f>""</f>
        <v/>
      </c>
      <c r="G1920" t="str">
        <f>""</f>
        <v/>
      </c>
      <c r="H1920" t="str">
        <f>""</f>
        <v/>
      </c>
      <c r="I1920" s="4">
        <v>198.6</v>
      </c>
      <c r="J1920" t="str">
        <f t="shared" si="59"/>
        <v>GUARDIAN</v>
      </c>
    </row>
    <row r="1921" spans="1:10" x14ac:dyDescent="0.25">
      <c r="A1921" t="str">
        <f>""</f>
        <v/>
      </c>
      <c r="B1921" t="str">
        <f>""</f>
        <v/>
      </c>
      <c r="G1921" t="str">
        <f>""</f>
        <v/>
      </c>
      <c r="H1921" t="str">
        <f>""</f>
        <v/>
      </c>
      <c r="I1921" s="4">
        <v>8.35</v>
      </c>
      <c r="J1921" t="str">
        <f t="shared" si="59"/>
        <v>GUARDIAN</v>
      </c>
    </row>
    <row r="1922" spans="1:10" x14ac:dyDescent="0.25">
      <c r="A1922" t="str">
        <f>""</f>
        <v/>
      </c>
      <c r="B1922" t="str">
        <f>""</f>
        <v/>
      </c>
      <c r="G1922" t="str">
        <f>""</f>
        <v/>
      </c>
      <c r="H1922" t="str">
        <f>""</f>
        <v/>
      </c>
      <c r="I1922" s="4">
        <v>188.66</v>
      </c>
      <c r="J1922" t="str">
        <f t="shared" si="59"/>
        <v>GUARDIAN</v>
      </c>
    </row>
    <row r="1923" spans="1:10" x14ac:dyDescent="0.25">
      <c r="A1923" t="str">
        <f>""</f>
        <v/>
      </c>
      <c r="B1923" t="str">
        <f>""</f>
        <v/>
      </c>
      <c r="G1923" t="str">
        <f>""</f>
        <v/>
      </c>
      <c r="H1923" t="str">
        <f>""</f>
        <v/>
      </c>
      <c r="I1923" s="4">
        <v>45.15</v>
      </c>
      <c r="J1923" t="str">
        <f t="shared" si="59"/>
        <v>GUARDIAN</v>
      </c>
    </row>
    <row r="1924" spans="1:10" x14ac:dyDescent="0.25">
      <c r="A1924" t="str">
        <f>""</f>
        <v/>
      </c>
      <c r="B1924" t="str">
        <f>""</f>
        <v/>
      </c>
      <c r="G1924" t="str">
        <f>""</f>
        <v/>
      </c>
      <c r="H1924" t="str">
        <f>""</f>
        <v/>
      </c>
      <c r="I1924" s="4">
        <v>4.3</v>
      </c>
      <c r="J1924" t="str">
        <f t="shared" si="59"/>
        <v>GUARDIAN</v>
      </c>
    </row>
    <row r="1925" spans="1:10" x14ac:dyDescent="0.25">
      <c r="A1925" t="str">
        <f>""</f>
        <v/>
      </c>
      <c r="B1925" t="str">
        <f>""</f>
        <v/>
      </c>
      <c r="G1925" t="str">
        <f>""</f>
        <v/>
      </c>
      <c r="H1925" t="str">
        <f>""</f>
        <v/>
      </c>
      <c r="I1925" s="4">
        <v>10.75</v>
      </c>
      <c r="J1925" t="str">
        <f t="shared" si="59"/>
        <v>GUARDIAN</v>
      </c>
    </row>
    <row r="1926" spans="1:10" x14ac:dyDescent="0.25">
      <c r="A1926" t="str">
        <f>""</f>
        <v/>
      </c>
      <c r="B1926" t="str">
        <f>""</f>
        <v/>
      </c>
      <c r="G1926" t="str">
        <f>""</f>
        <v/>
      </c>
      <c r="H1926" t="str">
        <f>""</f>
        <v/>
      </c>
      <c r="I1926" s="4">
        <v>0.26</v>
      </c>
      <c r="J1926" t="str">
        <f t="shared" si="59"/>
        <v>GUARDIAN</v>
      </c>
    </row>
    <row r="1927" spans="1:10" x14ac:dyDescent="0.25">
      <c r="A1927" t="str">
        <f>""</f>
        <v/>
      </c>
      <c r="B1927" t="str">
        <f>""</f>
        <v/>
      </c>
      <c r="G1927" t="str">
        <f>""</f>
        <v/>
      </c>
      <c r="H1927" t="str">
        <f>""</f>
        <v/>
      </c>
      <c r="I1927" s="4">
        <v>4.3</v>
      </c>
      <c r="J1927" t="str">
        <f t="shared" si="59"/>
        <v>GUARDIAN</v>
      </c>
    </row>
    <row r="1928" spans="1:10" x14ac:dyDescent="0.25">
      <c r="A1928" t="str">
        <f>""</f>
        <v/>
      </c>
      <c r="B1928" t="str">
        <f>""</f>
        <v/>
      </c>
      <c r="G1928" t="str">
        <f>""</f>
        <v/>
      </c>
      <c r="H1928" t="str">
        <f>""</f>
        <v/>
      </c>
      <c r="I1928" s="4">
        <v>2.15</v>
      </c>
      <c r="J1928" t="str">
        <f t="shared" si="59"/>
        <v>GUARDIAN</v>
      </c>
    </row>
    <row r="1929" spans="1:10" x14ac:dyDescent="0.25">
      <c r="A1929" t="str">
        <f>""</f>
        <v/>
      </c>
      <c r="B1929" t="str">
        <f>""</f>
        <v/>
      </c>
      <c r="G1929" t="str">
        <f>""</f>
        <v/>
      </c>
      <c r="H1929" t="str">
        <f>""</f>
        <v/>
      </c>
      <c r="I1929" s="4">
        <v>12.9</v>
      </c>
      <c r="J1929" t="str">
        <f t="shared" si="59"/>
        <v>GUARDIAN</v>
      </c>
    </row>
    <row r="1930" spans="1:10" x14ac:dyDescent="0.25">
      <c r="A1930" t="str">
        <f>""</f>
        <v/>
      </c>
      <c r="B1930" t="str">
        <f>""</f>
        <v/>
      </c>
      <c r="G1930" t="str">
        <f>""</f>
        <v/>
      </c>
      <c r="H1930" t="str">
        <f>""</f>
        <v/>
      </c>
      <c r="I1930" s="4">
        <v>4.3</v>
      </c>
      <c r="J1930" t="str">
        <f t="shared" si="59"/>
        <v>GUARDIAN</v>
      </c>
    </row>
    <row r="1931" spans="1:10" x14ac:dyDescent="0.25">
      <c r="A1931" t="str">
        <f>""</f>
        <v/>
      </c>
      <c r="B1931" t="str">
        <f>""</f>
        <v/>
      </c>
      <c r="G1931" t="str">
        <f>""</f>
        <v/>
      </c>
      <c r="H1931" t="str">
        <f>""</f>
        <v/>
      </c>
      <c r="I1931" s="4">
        <v>2.41</v>
      </c>
      <c r="J1931" t="str">
        <f t="shared" si="59"/>
        <v>GUARDIAN</v>
      </c>
    </row>
    <row r="1932" spans="1:10" x14ac:dyDescent="0.25">
      <c r="A1932" t="str">
        <f>""</f>
        <v/>
      </c>
      <c r="B1932" t="str">
        <f>""</f>
        <v/>
      </c>
      <c r="G1932" t="str">
        <f>""</f>
        <v/>
      </c>
      <c r="H1932" t="str">
        <f>""</f>
        <v/>
      </c>
      <c r="I1932" s="4">
        <v>24.18</v>
      </c>
      <c r="J1932" t="str">
        <f t="shared" si="59"/>
        <v>GUARDIAN</v>
      </c>
    </row>
    <row r="1933" spans="1:10" x14ac:dyDescent="0.25">
      <c r="A1933" t="str">
        <f>""</f>
        <v/>
      </c>
      <c r="B1933" t="str">
        <f>""</f>
        <v/>
      </c>
      <c r="G1933" t="str">
        <f>""</f>
        <v/>
      </c>
      <c r="H1933" t="str">
        <f>""</f>
        <v/>
      </c>
      <c r="I1933" s="4">
        <v>29.69</v>
      </c>
      <c r="J1933" t="str">
        <f t="shared" si="59"/>
        <v>GUARDIAN</v>
      </c>
    </row>
    <row r="1934" spans="1:10" x14ac:dyDescent="0.25">
      <c r="A1934" t="str">
        <f>""</f>
        <v/>
      </c>
      <c r="B1934" t="str">
        <f>""</f>
        <v/>
      </c>
      <c r="G1934" t="str">
        <f>""</f>
        <v/>
      </c>
      <c r="H1934" t="str">
        <f>""</f>
        <v/>
      </c>
      <c r="I1934" s="4">
        <v>29.69</v>
      </c>
      <c r="J1934" t="str">
        <f t="shared" si="59"/>
        <v>GUARDIAN</v>
      </c>
    </row>
    <row r="1935" spans="1:10" x14ac:dyDescent="0.25">
      <c r="A1935" t="str">
        <f>""</f>
        <v/>
      </c>
      <c r="B1935" t="str">
        <f>""</f>
        <v/>
      </c>
      <c r="G1935" t="str">
        <f>""</f>
        <v/>
      </c>
      <c r="H1935" t="str">
        <f>""</f>
        <v/>
      </c>
      <c r="I1935" s="4">
        <v>28.48</v>
      </c>
      <c r="J1935" t="str">
        <f t="shared" si="59"/>
        <v>GUARDIAN</v>
      </c>
    </row>
    <row r="1936" spans="1:10" x14ac:dyDescent="0.25">
      <c r="A1936" t="str">
        <f>""</f>
        <v/>
      </c>
      <c r="B1936" t="str">
        <f>""</f>
        <v/>
      </c>
      <c r="G1936" t="str">
        <f>""</f>
        <v/>
      </c>
      <c r="H1936" t="str">
        <f>""</f>
        <v/>
      </c>
      <c r="I1936" s="4">
        <v>1.89</v>
      </c>
      <c r="J1936" t="str">
        <f t="shared" si="59"/>
        <v>GUARDIAN</v>
      </c>
    </row>
    <row r="1937" spans="1:10" x14ac:dyDescent="0.25">
      <c r="A1937" t="str">
        <f>""</f>
        <v/>
      </c>
      <c r="B1937" t="str">
        <f>""</f>
        <v/>
      </c>
      <c r="G1937" t="str">
        <f>""</f>
        <v/>
      </c>
      <c r="H1937" t="str">
        <f>""</f>
        <v/>
      </c>
      <c r="I1937" s="4">
        <v>0.06</v>
      </c>
      <c r="J1937" t="str">
        <f t="shared" si="59"/>
        <v>GUARDIAN</v>
      </c>
    </row>
    <row r="1938" spans="1:10" x14ac:dyDescent="0.25">
      <c r="A1938" t="str">
        <f>""</f>
        <v/>
      </c>
      <c r="B1938" t="str">
        <f>""</f>
        <v/>
      </c>
      <c r="G1938" t="str">
        <f>""</f>
        <v/>
      </c>
      <c r="H1938" t="str">
        <f>""</f>
        <v/>
      </c>
      <c r="I1938" s="4">
        <v>0.2</v>
      </c>
      <c r="J1938" t="str">
        <f t="shared" si="59"/>
        <v>GUARDIAN</v>
      </c>
    </row>
    <row r="1939" spans="1:10" x14ac:dyDescent="0.25">
      <c r="A1939" t="str">
        <f>""</f>
        <v/>
      </c>
      <c r="B1939" t="str">
        <f>""</f>
        <v/>
      </c>
      <c r="G1939" t="str">
        <f>""</f>
        <v/>
      </c>
      <c r="H1939" t="str">
        <f>""</f>
        <v/>
      </c>
      <c r="I1939" s="4">
        <v>0.31</v>
      </c>
      <c r="J1939" t="str">
        <f t="shared" si="59"/>
        <v>GUARDIAN</v>
      </c>
    </row>
    <row r="1940" spans="1:10" x14ac:dyDescent="0.25">
      <c r="A1940" t="str">
        <f>""</f>
        <v/>
      </c>
      <c r="B1940" t="str">
        <f>""</f>
        <v/>
      </c>
      <c r="G1940" t="str">
        <f>""</f>
        <v/>
      </c>
      <c r="H1940" t="str">
        <f>""</f>
        <v/>
      </c>
      <c r="I1940" s="4">
        <v>2.14</v>
      </c>
      <c r="J1940" t="str">
        <f t="shared" si="59"/>
        <v>GUARDIAN</v>
      </c>
    </row>
    <row r="1941" spans="1:10" x14ac:dyDescent="0.25">
      <c r="A1941" t="str">
        <f>""</f>
        <v/>
      </c>
      <c r="B1941" t="str">
        <f>""</f>
        <v/>
      </c>
      <c r="G1941" t="str">
        <f>""</f>
        <v/>
      </c>
      <c r="H1941" t="str">
        <f>""</f>
        <v/>
      </c>
      <c r="I1941" s="4">
        <v>2735.37</v>
      </c>
      <c r="J1941" t="str">
        <f t="shared" si="59"/>
        <v>GUARDIAN</v>
      </c>
    </row>
    <row r="1942" spans="1:10" x14ac:dyDescent="0.25">
      <c r="A1942" t="str">
        <f>""</f>
        <v/>
      </c>
      <c r="B1942" t="str">
        <f>""</f>
        <v/>
      </c>
      <c r="G1942" t="str">
        <f>"LIE202202028716"</f>
        <v>LIE202202028716</v>
      </c>
      <c r="H1942" t="str">
        <f>"GUARDIAN"</f>
        <v>GUARDIAN</v>
      </c>
      <c r="I1942" s="4">
        <v>30.1</v>
      </c>
      <c r="J1942" t="str">
        <f t="shared" si="59"/>
        <v>GUARDIAN</v>
      </c>
    </row>
    <row r="1943" spans="1:10" x14ac:dyDescent="0.25">
      <c r="A1943" t="str">
        <f>""</f>
        <v/>
      </c>
      <c r="B1943" t="str">
        <f>""</f>
        <v/>
      </c>
      <c r="G1943" t="str">
        <f>""</f>
        <v/>
      </c>
      <c r="H1943" t="str">
        <f>""</f>
        <v/>
      </c>
      <c r="I1943" s="4">
        <v>40</v>
      </c>
      <c r="J1943" t="str">
        <f t="shared" si="59"/>
        <v>GUARDIAN</v>
      </c>
    </row>
    <row r="1944" spans="1:10" x14ac:dyDescent="0.25">
      <c r="A1944" t="str">
        <f>""</f>
        <v/>
      </c>
      <c r="B1944" t="str">
        <f>""</f>
        <v/>
      </c>
      <c r="G1944" t="str">
        <f>"LIE202202169060"</f>
        <v>LIE202202169060</v>
      </c>
      <c r="H1944" t="str">
        <f>"GUARDIAN"</f>
        <v>GUARDIAN</v>
      </c>
      <c r="I1944" s="4">
        <v>4.3</v>
      </c>
      <c r="J1944" t="str">
        <f t="shared" si="59"/>
        <v>GUARDIAN</v>
      </c>
    </row>
    <row r="1945" spans="1:10" x14ac:dyDescent="0.25">
      <c r="A1945" t="str">
        <f>""</f>
        <v/>
      </c>
      <c r="B1945" t="str">
        <f>""</f>
        <v/>
      </c>
      <c r="G1945" t="str">
        <f>""</f>
        <v/>
      </c>
      <c r="H1945" t="str">
        <f>""</f>
        <v/>
      </c>
      <c r="I1945" s="4">
        <v>1.88</v>
      </c>
      <c r="J1945" t="str">
        <f t="shared" si="59"/>
        <v>GUARDIAN</v>
      </c>
    </row>
    <row r="1946" spans="1:10" x14ac:dyDescent="0.25">
      <c r="A1946" t="str">
        <f>""</f>
        <v/>
      </c>
      <c r="B1946" t="str">
        <f>""</f>
        <v/>
      </c>
      <c r="G1946" t="str">
        <f>""</f>
        <v/>
      </c>
      <c r="H1946" t="str">
        <f>""</f>
        <v/>
      </c>
      <c r="I1946" s="4">
        <v>13.8</v>
      </c>
      <c r="J1946" t="str">
        <f t="shared" si="59"/>
        <v>GUARDIAN</v>
      </c>
    </row>
    <row r="1947" spans="1:10" x14ac:dyDescent="0.25">
      <c r="A1947" t="str">
        <f>""</f>
        <v/>
      </c>
      <c r="B1947" t="str">
        <f>""</f>
        <v/>
      </c>
      <c r="G1947" t="str">
        <f>""</f>
        <v/>
      </c>
      <c r="H1947" t="str">
        <f>""</f>
        <v/>
      </c>
      <c r="I1947" s="4">
        <v>6.45</v>
      </c>
      <c r="J1947" t="str">
        <f t="shared" si="59"/>
        <v>GUARDIAN</v>
      </c>
    </row>
    <row r="1948" spans="1:10" x14ac:dyDescent="0.25">
      <c r="A1948" t="str">
        <f>""</f>
        <v/>
      </c>
      <c r="B1948" t="str">
        <f>""</f>
        <v/>
      </c>
      <c r="G1948" t="str">
        <f>""</f>
        <v/>
      </c>
      <c r="H1948" t="str">
        <f>""</f>
        <v/>
      </c>
      <c r="I1948" s="4">
        <v>4.3</v>
      </c>
      <c r="J1948" t="str">
        <f t="shared" si="59"/>
        <v>GUARDIAN</v>
      </c>
    </row>
    <row r="1949" spans="1:10" x14ac:dyDescent="0.25">
      <c r="A1949" t="str">
        <f>""</f>
        <v/>
      </c>
      <c r="B1949" t="str">
        <f>""</f>
        <v/>
      </c>
      <c r="G1949" t="str">
        <f>""</f>
        <v/>
      </c>
      <c r="H1949" t="str">
        <f>""</f>
        <v/>
      </c>
      <c r="I1949" s="4">
        <v>11.84</v>
      </c>
      <c r="J1949" t="str">
        <f t="shared" si="59"/>
        <v>GUARDIAN</v>
      </c>
    </row>
    <row r="1950" spans="1:10" x14ac:dyDescent="0.25">
      <c r="A1950" t="str">
        <f>""</f>
        <v/>
      </c>
      <c r="B1950" t="str">
        <f>""</f>
        <v/>
      </c>
      <c r="G1950" t="str">
        <f>""</f>
        <v/>
      </c>
      <c r="H1950" t="str">
        <f>""</f>
        <v/>
      </c>
      <c r="I1950" s="4">
        <v>43</v>
      </c>
      <c r="J1950" t="str">
        <f t="shared" si="59"/>
        <v>GUARDIAN</v>
      </c>
    </row>
    <row r="1951" spans="1:10" x14ac:dyDescent="0.25">
      <c r="A1951" t="str">
        <f>""</f>
        <v/>
      </c>
      <c r="B1951" t="str">
        <f>""</f>
        <v/>
      </c>
      <c r="G1951" t="str">
        <f>""</f>
        <v/>
      </c>
      <c r="H1951" t="str">
        <f>""</f>
        <v/>
      </c>
      <c r="I1951" s="4">
        <v>6.14</v>
      </c>
      <c r="J1951" t="str">
        <f t="shared" si="59"/>
        <v>GUARDIAN</v>
      </c>
    </row>
    <row r="1952" spans="1:10" x14ac:dyDescent="0.25">
      <c r="A1952" t="str">
        <f>""</f>
        <v/>
      </c>
      <c r="B1952" t="str">
        <f>""</f>
        <v/>
      </c>
      <c r="G1952" t="str">
        <f>""</f>
        <v/>
      </c>
      <c r="H1952" t="str">
        <f>""</f>
        <v/>
      </c>
      <c r="I1952" s="4">
        <v>9.51</v>
      </c>
      <c r="J1952" t="str">
        <f t="shared" si="59"/>
        <v>GUARDIAN</v>
      </c>
    </row>
    <row r="1953" spans="1:10" x14ac:dyDescent="0.25">
      <c r="A1953" t="str">
        <f>""</f>
        <v/>
      </c>
      <c r="B1953" t="str">
        <f>""</f>
        <v/>
      </c>
      <c r="G1953" t="str">
        <f>""</f>
        <v/>
      </c>
      <c r="H1953" t="str">
        <f>""</f>
        <v/>
      </c>
      <c r="I1953" s="4">
        <v>23.65</v>
      </c>
      <c r="J1953" t="str">
        <f t="shared" si="59"/>
        <v>GUARDIAN</v>
      </c>
    </row>
    <row r="1954" spans="1:10" x14ac:dyDescent="0.25">
      <c r="A1954" t="str">
        <f>""</f>
        <v/>
      </c>
      <c r="B1954" t="str">
        <f>""</f>
        <v/>
      </c>
      <c r="G1954" t="str">
        <f>""</f>
        <v/>
      </c>
      <c r="H1954" t="str">
        <f>""</f>
        <v/>
      </c>
      <c r="I1954" s="4">
        <v>8.6</v>
      </c>
      <c r="J1954" t="str">
        <f t="shared" si="59"/>
        <v>GUARDIAN</v>
      </c>
    </row>
    <row r="1955" spans="1:10" x14ac:dyDescent="0.25">
      <c r="A1955" t="str">
        <f>""</f>
        <v/>
      </c>
      <c r="B1955" t="str">
        <f>""</f>
        <v/>
      </c>
      <c r="G1955" t="str">
        <f>""</f>
        <v/>
      </c>
      <c r="H1955" t="str">
        <f>""</f>
        <v/>
      </c>
      <c r="I1955" s="4">
        <v>8.6</v>
      </c>
      <c r="J1955" t="str">
        <f t="shared" si="59"/>
        <v>GUARDIAN</v>
      </c>
    </row>
    <row r="1956" spans="1:10" x14ac:dyDescent="0.25">
      <c r="A1956" t="str">
        <f>""</f>
        <v/>
      </c>
      <c r="B1956" t="str">
        <f>""</f>
        <v/>
      </c>
      <c r="G1956" t="str">
        <f>""</f>
        <v/>
      </c>
      <c r="H1956" t="str">
        <f>""</f>
        <v/>
      </c>
      <c r="I1956" s="4">
        <v>6.45</v>
      </c>
      <c r="J1956" t="str">
        <f t="shared" si="59"/>
        <v>GUARDIAN</v>
      </c>
    </row>
    <row r="1957" spans="1:10" x14ac:dyDescent="0.25">
      <c r="A1957" t="str">
        <f>""</f>
        <v/>
      </c>
      <c r="B1957" t="str">
        <f>""</f>
        <v/>
      </c>
      <c r="G1957" t="str">
        <f>""</f>
        <v/>
      </c>
      <c r="H1957" t="str">
        <f>""</f>
        <v/>
      </c>
      <c r="I1957" s="4">
        <v>6.45</v>
      </c>
      <c r="J1957" t="str">
        <f t="shared" si="59"/>
        <v>GUARDIAN</v>
      </c>
    </row>
    <row r="1958" spans="1:10" x14ac:dyDescent="0.25">
      <c r="A1958" t="str">
        <f>""</f>
        <v/>
      </c>
      <c r="B1958" t="str">
        <f>""</f>
        <v/>
      </c>
      <c r="G1958" t="str">
        <f>""</f>
        <v/>
      </c>
      <c r="H1958" t="str">
        <f>""</f>
        <v/>
      </c>
      <c r="I1958" s="4">
        <v>4.3</v>
      </c>
      <c r="J1958" t="str">
        <f t="shared" si="59"/>
        <v>GUARDIAN</v>
      </c>
    </row>
    <row r="1959" spans="1:10" x14ac:dyDescent="0.25">
      <c r="A1959" t="str">
        <f>""</f>
        <v/>
      </c>
      <c r="B1959" t="str">
        <f>""</f>
        <v/>
      </c>
      <c r="G1959" t="str">
        <f>""</f>
        <v/>
      </c>
      <c r="H1959" t="str">
        <f>""</f>
        <v/>
      </c>
      <c r="I1959" s="4">
        <v>31.99</v>
      </c>
      <c r="J1959" t="str">
        <f t="shared" si="59"/>
        <v>GUARDIAN</v>
      </c>
    </row>
    <row r="1960" spans="1:10" x14ac:dyDescent="0.25">
      <c r="A1960" t="str">
        <f>""</f>
        <v/>
      </c>
      <c r="B1960" t="str">
        <f>""</f>
        <v/>
      </c>
      <c r="G1960" t="str">
        <f>""</f>
        <v/>
      </c>
      <c r="H1960" t="str">
        <f>""</f>
        <v/>
      </c>
      <c r="I1960" s="4">
        <v>15.05</v>
      </c>
      <c r="J1960" t="str">
        <f t="shared" si="59"/>
        <v>GUARDIAN</v>
      </c>
    </row>
    <row r="1961" spans="1:10" x14ac:dyDescent="0.25">
      <c r="A1961" t="str">
        <f>""</f>
        <v/>
      </c>
      <c r="B1961" t="str">
        <f>""</f>
        <v/>
      </c>
      <c r="G1961" t="str">
        <f>""</f>
        <v/>
      </c>
      <c r="H1961" t="str">
        <f>""</f>
        <v/>
      </c>
      <c r="I1961" s="4">
        <v>8.6</v>
      </c>
      <c r="J1961" t="str">
        <f t="shared" si="59"/>
        <v>GUARDIAN</v>
      </c>
    </row>
    <row r="1962" spans="1:10" x14ac:dyDescent="0.25">
      <c r="A1962" t="str">
        <f>""</f>
        <v/>
      </c>
      <c r="B1962" t="str">
        <f>""</f>
        <v/>
      </c>
      <c r="G1962" t="str">
        <f>""</f>
        <v/>
      </c>
      <c r="H1962" t="str">
        <f>""</f>
        <v/>
      </c>
      <c r="I1962" s="4">
        <v>8.6</v>
      </c>
      <c r="J1962" t="str">
        <f t="shared" si="59"/>
        <v>GUARDIAN</v>
      </c>
    </row>
    <row r="1963" spans="1:10" x14ac:dyDescent="0.25">
      <c r="A1963" t="str">
        <f>""</f>
        <v/>
      </c>
      <c r="B1963" t="str">
        <f>""</f>
        <v/>
      </c>
      <c r="G1963" t="str">
        <f>""</f>
        <v/>
      </c>
      <c r="H1963" t="str">
        <f>""</f>
        <v/>
      </c>
      <c r="I1963" s="4">
        <v>30.1</v>
      </c>
      <c r="J1963" t="str">
        <f t="shared" si="59"/>
        <v>GUARDIAN</v>
      </c>
    </row>
    <row r="1964" spans="1:10" x14ac:dyDescent="0.25">
      <c r="A1964" t="str">
        <f>""</f>
        <v/>
      </c>
      <c r="B1964" t="str">
        <f>""</f>
        <v/>
      </c>
      <c r="G1964" t="str">
        <f>""</f>
        <v/>
      </c>
      <c r="H1964" t="str">
        <f>""</f>
        <v/>
      </c>
      <c r="I1964" s="4">
        <v>12.9</v>
      </c>
      <c r="J1964" t="str">
        <f t="shared" si="59"/>
        <v>GUARDIAN</v>
      </c>
    </row>
    <row r="1965" spans="1:10" x14ac:dyDescent="0.25">
      <c r="A1965" t="str">
        <f>""</f>
        <v/>
      </c>
      <c r="B1965" t="str">
        <f>""</f>
        <v/>
      </c>
      <c r="G1965" t="str">
        <f>""</f>
        <v/>
      </c>
      <c r="H1965" t="str">
        <f>""</f>
        <v/>
      </c>
      <c r="I1965" s="4">
        <v>23.65</v>
      </c>
      <c r="J1965" t="str">
        <f t="shared" si="59"/>
        <v>GUARDIAN</v>
      </c>
    </row>
    <row r="1966" spans="1:10" x14ac:dyDescent="0.25">
      <c r="A1966" t="str">
        <f>""</f>
        <v/>
      </c>
      <c r="B1966" t="str">
        <f>""</f>
        <v/>
      </c>
      <c r="G1966" t="str">
        <f>""</f>
        <v/>
      </c>
      <c r="H1966" t="str">
        <f>""</f>
        <v/>
      </c>
      <c r="I1966" s="4">
        <v>25.8</v>
      </c>
      <c r="J1966" t="str">
        <f t="shared" si="59"/>
        <v>GUARDIAN</v>
      </c>
    </row>
    <row r="1967" spans="1:10" x14ac:dyDescent="0.25">
      <c r="A1967" t="str">
        <f>""</f>
        <v/>
      </c>
      <c r="B1967" t="str">
        <f>""</f>
        <v/>
      </c>
      <c r="G1967" t="str">
        <f>""</f>
        <v/>
      </c>
      <c r="H1967" t="str">
        <f>""</f>
        <v/>
      </c>
      <c r="I1967" s="4">
        <v>39.81</v>
      </c>
      <c r="J1967" t="str">
        <f t="shared" si="59"/>
        <v>GUARDIAN</v>
      </c>
    </row>
    <row r="1968" spans="1:10" x14ac:dyDescent="0.25">
      <c r="A1968" t="str">
        <f>""</f>
        <v/>
      </c>
      <c r="B1968" t="str">
        <f>""</f>
        <v/>
      </c>
      <c r="G1968" t="str">
        <f>""</f>
        <v/>
      </c>
      <c r="H1968" t="str">
        <f>""</f>
        <v/>
      </c>
      <c r="I1968" s="4">
        <v>2.15</v>
      </c>
      <c r="J1968" t="str">
        <f t="shared" si="59"/>
        <v>GUARDIAN</v>
      </c>
    </row>
    <row r="1969" spans="1:10" x14ac:dyDescent="0.25">
      <c r="A1969" t="str">
        <f>""</f>
        <v/>
      </c>
      <c r="B1969" t="str">
        <f>""</f>
        <v/>
      </c>
      <c r="G1969" t="str">
        <f>""</f>
        <v/>
      </c>
      <c r="H1969" t="str">
        <f>""</f>
        <v/>
      </c>
      <c r="I1969" s="4">
        <v>2.15</v>
      </c>
      <c r="J1969" t="str">
        <f t="shared" si="59"/>
        <v>GUARDIAN</v>
      </c>
    </row>
    <row r="1970" spans="1:10" x14ac:dyDescent="0.25">
      <c r="A1970" t="str">
        <f>""</f>
        <v/>
      </c>
      <c r="B1970" t="str">
        <f>""</f>
        <v/>
      </c>
      <c r="G1970" t="str">
        <f>""</f>
        <v/>
      </c>
      <c r="H1970" t="str">
        <f>""</f>
        <v/>
      </c>
      <c r="I1970" s="4">
        <v>2.15</v>
      </c>
      <c r="J1970" t="str">
        <f t="shared" si="59"/>
        <v>GUARDIAN</v>
      </c>
    </row>
    <row r="1971" spans="1:10" x14ac:dyDescent="0.25">
      <c r="A1971" t="str">
        <f>""</f>
        <v/>
      </c>
      <c r="B1971" t="str">
        <f>""</f>
        <v/>
      </c>
      <c r="G1971" t="str">
        <f>""</f>
        <v/>
      </c>
      <c r="H1971" t="str">
        <f>""</f>
        <v/>
      </c>
      <c r="I1971" s="4">
        <v>199.85</v>
      </c>
      <c r="J1971" t="str">
        <f t="shared" si="59"/>
        <v>GUARDIAN</v>
      </c>
    </row>
    <row r="1972" spans="1:10" x14ac:dyDescent="0.25">
      <c r="A1972" t="str">
        <f>""</f>
        <v/>
      </c>
      <c r="B1972" t="str">
        <f>""</f>
        <v/>
      </c>
      <c r="G1972" t="str">
        <f>""</f>
        <v/>
      </c>
      <c r="H1972" t="str">
        <f>""</f>
        <v/>
      </c>
      <c r="I1972" s="4">
        <v>7.84</v>
      </c>
      <c r="J1972" t="str">
        <f t="shared" si="59"/>
        <v>GUARDIAN</v>
      </c>
    </row>
    <row r="1973" spans="1:10" x14ac:dyDescent="0.25">
      <c r="A1973" t="str">
        <f>""</f>
        <v/>
      </c>
      <c r="B1973" t="str">
        <f>""</f>
        <v/>
      </c>
      <c r="G1973" t="str">
        <f>""</f>
        <v/>
      </c>
      <c r="H1973" t="str">
        <f>""</f>
        <v/>
      </c>
      <c r="I1973" s="4">
        <v>188.58</v>
      </c>
      <c r="J1973" t="str">
        <f t="shared" si="59"/>
        <v>GUARDIAN</v>
      </c>
    </row>
    <row r="1974" spans="1:10" x14ac:dyDescent="0.25">
      <c r="A1974" t="str">
        <f>""</f>
        <v/>
      </c>
      <c r="B1974" t="str">
        <f>""</f>
        <v/>
      </c>
      <c r="G1974" t="str">
        <f>""</f>
        <v/>
      </c>
      <c r="H1974" t="str">
        <f>""</f>
        <v/>
      </c>
      <c r="I1974" s="4">
        <v>45.15</v>
      </c>
      <c r="J1974" t="str">
        <f t="shared" si="59"/>
        <v>GUARDIAN</v>
      </c>
    </row>
    <row r="1975" spans="1:10" x14ac:dyDescent="0.25">
      <c r="A1975" t="str">
        <f>""</f>
        <v/>
      </c>
      <c r="B1975" t="str">
        <f>""</f>
        <v/>
      </c>
      <c r="G1975" t="str">
        <f>""</f>
        <v/>
      </c>
      <c r="H1975" t="str">
        <f>""</f>
        <v/>
      </c>
      <c r="I1975" s="4">
        <v>4.3</v>
      </c>
      <c r="J1975" t="str">
        <f t="shared" ref="J1975:J2000" si="60">"GUARDIAN"</f>
        <v>GUARDIAN</v>
      </c>
    </row>
    <row r="1976" spans="1:10" x14ac:dyDescent="0.25">
      <c r="A1976" t="str">
        <f>""</f>
        <v/>
      </c>
      <c r="B1976" t="str">
        <f>""</f>
        <v/>
      </c>
      <c r="G1976" t="str">
        <f>""</f>
        <v/>
      </c>
      <c r="H1976" t="str">
        <f>""</f>
        <v/>
      </c>
      <c r="I1976" s="4">
        <v>11.33</v>
      </c>
      <c r="J1976" t="str">
        <f t="shared" si="60"/>
        <v>GUARDIAN</v>
      </c>
    </row>
    <row r="1977" spans="1:10" x14ac:dyDescent="0.25">
      <c r="A1977" t="str">
        <f>""</f>
        <v/>
      </c>
      <c r="B1977" t="str">
        <f>""</f>
        <v/>
      </c>
      <c r="G1977" t="str">
        <f>""</f>
        <v/>
      </c>
      <c r="H1977" t="str">
        <f>""</f>
        <v/>
      </c>
      <c r="I1977" s="4">
        <v>0.26</v>
      </c>
      <c r="J1977" t="str">
        <f t="shared" si="60"/>
        <v>GUARDIAN</v>
      </c>
    </row>
    <row r="1978" spans="1:10" x14ac:dyDescent="0.25">
      <c r="A1978" t="str">
        <f>""</f>
        <v/>
      </c>
      <c r="B1978" t="str">
        <f>""</f>
        <v/>
      </c>
      <c r="G1978" t="str">
        <f>""</f>
        <v/>
      </c>
      <c r="H1978" t="str">
        <f>""</f>
        <v/>
      </c>
      <c r="I1978" s="4">
        <v>6.45</v>
      </c>
      <c r="J1978" t="str">
        <f t="shared" si="60"/>
        <v>GUARDIAN</v>
      </c>
    </row>
    <row r="1979" spans="1:10" x14ac:dyDescent="0.25">
      <c r="A1979" t="str">
        <f>""</f>
        <v/>
      </c>
      <c r="B1979" t="str">
        <f>""</f>
        <v/>
      </c>
      <c r="G1979" t="str">
        <f>""</f>
        <v/>
      </c>
      <c r="H1979" t="str">
        <f>""</f>
        <v/>
      </c>
      <c r="I1979" s="4">
        <v>2.15</v>
      </c>
      <c r="J1979" t="str">
        <f t="shared" si="60"/>
        <v>GUARDIAN</v>
      </c>
    </row>
    <row r="1980" spans="1:10" x14ac:dyDescent="0.25">
      <c r="A1980" t="str">
        <f>""</f>
        <v/>
      </c>
      <c r="B1980" t="str">
        <f>""</f>
        <v/>
      </c>
      <c r="G1980" t="str">
        <f>""</f>
        <v/>
      </c>
      <c r="H1980" t="str">
        <f>""</f>
        <v/>
      </c>
      <c r="I1980" s="4">
        <v>13.97</v>
      </c>
      <c r="J1980" t="str">
        <f t="shared" si="60"/>
        <v>GUARDIAN</v>
      </c>
    </row>
    <row r="1981" spans="1:10" x14ac:dyDescent="0.25">
      <c r="A1981" t="str">
        <f>""</f>
        <v/>
      </c>
      <c r="B1981" t="str">
        <f>""</f>
        <v/>
      </c>
      <c r="G1981" t="str">
        <f>""</f>
        <v/>
      </c>
      <c r="H1981" t="str">
        <f>""</f>
        <v/>
      </c>
      <c r="I1981" s="4">
        <v>4.3</v>
      </c>
      <c r="J1981" t="str">
        <f t="shared" si="60"/>
        <v>GUARDIAN</v>
      </c>
    </row>
    <row r="1982" spans="1:10" x14ac:dyDescent="0.25">
      <c r="A1982" t="str">
        <f>""</f>
        <v/>
      </c>
      <c r="B1982" t="str">
        <f>""</f>
        <v/>
      </c>
      <c r="G1982" t="str">
        <f>""</f>
        <v/>
      </c>
      <c r="H1982" t="str">
        <f>""</f>
        <v/>
      </c>
      <c r="I1982" s="4">
        <v>2.31</v>
      </c>
      <c r="J1982" t="str">
        <f t="shared" si="60"/>
        <v>GUARDIAN</v>
      </c>
    </row>
    <row r="1983" spans="1:10" x14ac:dyDescent="0.25">
      <c r="A1983" t="str">
        <f>""</f>
        <v/>
      </c>
      <c r="B1983" t="str">
        <f>""</f>
        <v/>
      </c>
      <c r="G1983" t="str">
        <f>""</f>
        <v/>
      </c>
      <c r="H1983" t="str">
        <f>""</f>
        <v/>
      </c>
      <c r="I1983" s="4">
        <v>24.18</v>
      </c>
      <c r="J1983" t="str">
        <f t="shared" si="60"/>
        <v>GUARDIAN</v>
      </c>
    </row>
    <row r="1984" spans="1:10" x14ac:dyDescent="0.25">
      <c r="A1984" t="str">
        <f>""</f>
        <v/>
      </c>
      <c r="B1984" t="str">
        <f>""</f>
        <v/>
      </c>
      <c r="G1984" t="str">
        <f>""</f>
        <v/>
      </c>
      <c r="H1984" t="str">
        <f>""</f>
        <v/>
      </c>
      <c r="I1984" s="4">
        <v>29.69</v>
      </c>
      <c r="J1984" t="str">
        <f t="shared" si="60"/>
        <v>GUARDIAN</v>
      </c>
    </row>
    <row r="1985" spans="1:10" x14ac:dyDescent="0.25">
      <c r="A1985" t="str">
        <f>""</f>
        <v/>
      </c>
      <c r="B1985" t="str">
        <f>""</f>
        <v/>
      </c>
      <c r="G1985" t="str">
        <f>""</f>
        <v/>
      </c>
      <c r="H1985" t="str">
        <f>""</f>
        <v/>
      </c>
      <c r="I1985" s="4">
        <v>29.69</v>
      </c>
      <c r="J1985" t="str">
        <f t="shared" si="60"/>
        <v>GUARDIAN</v>
      </c>
    </row>
    <row r="1986" spans="1:10" x14ac:dyDescent="0.25">
      <c r="A1986" t="str">
        <f>""</f>
        <v/>
      </c>
      <c r="B1986" t="str">
        <f>""</f>
        <v/>
      </c>
      <c r="G1986" t="str">
        <f>""</f>
        <v/>
      </c>
      <c r="H1986" t="str">
        <f>""</f>
        <v/>
      </c>
      <c r="I1986" s="4">
        <v>28.48</v>
      </c>
      <c r="J1986" t="str">
        <f t="shared" si="60"/>
        <v>GUARDIAN</v>
      </c>
    </row>
    <row r="1987" spans="1:10" x14ac:dyDescent="0.25">
      <c r="A1987" t="str">
        <f>""</f>
        <v/>
      </c>
      <c r="B1987" t="str">
        <f>""</f>
        <v/>
      </c>
      <c r="G1987" t="str">
        <f>""</f>
        <v/>
      </c>
      <c r="H1987" t="str">
        <f>""</f>
        <v/>
      </c>
      <c r="I1987" s="4">
        <v>1.89</v>
      </c>
      <c r="J1987" t="str">
        <f t="shared" si="60"/>
        <v>GUARDIAN</v>
      </c>
    </row>
    <row r="1988" spans="1:10" x14ac:dyDescent="0.25">
      <c r="A1988" t="str">
        <f>""</f>
        <v/>
      </c>
      <c r="B1988" t="str">
        <f>""</f>
        <v/>
      </c>
      <c r="G1988" t="str">
        <f>""</f>
        <v/>
      </c>
      <c r="H1988" t="str">
        <f>""</f>
        <v/>
      </c>
      <c r="I1988" s="4">
        <v>0.06</v>
      </c>
      <c r="J1988" t="str">
        <f t="shared" si="60"/>
        <v>GUARDIAN</v>
      </c>
    </row>
    <row r="1989" spans="1:10" x14ac:dyDescent="0.25">
      <c r="A1989" t="str">
        <f>""</f>
        <v/>
      </c>
      <c r="B1989" t="str">
        <f>""</f>
        <v/>
      </c>
      <c r="G1989" t="str">
        <f>""</f>
        <v/>
      </c>
      <c r="H1989" t="str">
        <f>""</f>
        <v/>
      </c>
      <c r="I1989" s="4">
        <v>0.2</v>
      </c>
      <c r="J1989" t="str">
        <f t="shared" si="60"/>
        <v>GUARDIAN</v>
      </c>
    </row>
    <row r="1990" spans="1:10" x14ac:dyDescent="0.25">
      <c r="A1990" t="str">
        <f>""</f>
        <v/>
      </c>
      <c r="B1990" t="str">
        <f>""</f>
        <v/>
      </c>
      <c r="G1990" t="str">
        <f>""</f>
        <v/>
      </c>
      <c r="H1990" t="str">
        <f>""</f>
        <v/>
      </c>
      <c r="I1990" s="4">
        <v>0.31</v>
      </c>
      <c r="J1990" t="str">
        <f t="shared" si="60"/>
        <v>GUARDIAN</v>
      </c>
    </row>
    <row r="1991" spans="1:10" x14ac:dyDescent="0.25">
      <c r="A1991" t="str">
        <f>""</f>
        <v/>
      </c>
      <c r="B1991" t="str">
        <f>""</f>
        <v/>
      </c>
      <c r="G1991" t="str">
        <f>""</f>
        <v/>
      </c>
      <c r="H1991" t="str">
        <f>""</f>
        <v/>
      </c>
      <c r="I1991" s="4">
        <v>2.14</v>
      </c>
      <c r="J1991" t="str">
        <f t="shared" si="60"/>
        <v>GUARDIAN</v>
      </c>
    </row>
    <row r="1992" spans="1:10" x14ac:dyDescent="0.25">
      <c r="A1992" t="str">
        <f>""</f>
        <v/>
      </c>
      <c r="B1992" t="str">
        <f>""</f>
        <v/>
      </c>
      <c r="G1992" t="str">
        <f>""</f>
        <v/>
      </c>
      <c r="H1992" t="str">
        <f>""</f>
        <v/>
      </c>
      <c r="I1992" s="4">
        <v>2735.37</v>
      </c>
      <c r="J1992" t="str">
        <f t="shared" si="60"/>
        <v>GUARDIAN</v>
      </c>
    </row>
    <row r="1993" spans="1:10" x14ac:dyDescent="0.25">
      <c r="A1993" t="str">
        <f>""</f>
        <v/>
      </c>
      <c r="B1993" t="str">
        <f>""</f>
        <v/>
      </c>
      <c r="G1993" t="str">
        <f>"LIE202202169062"</f>
        <v>LIE202202169062</v>
      </c>
      <c r="H1993" t="str">
        <f>"GUARDIAN"</f>
        <v>GUARDIAN</v>
      </c>
      <c r="I1993" s="4">
        <v>27.95</v>
      </c>
      <c r="J1993" t="str">
        <f t="shared" si="60"/>
        <v>GUARDIAN</v>
      </c>
    </row>
    <row r="1994" spans="1:10" x14ac:dyDescent="0.25">
      <c r="A1994" t="str">
        <f>""</f>
        <v/>
      </c>
      <c r="B1994" t="str">
        <f>""</f>
        <v/>
      </c>
      <c r="G1994" t="str">
        <f>""</f>
        <v/>
      </c>
      <c r="H1994" t="str">
        <f>""</f>
        <v/>
      </c>
      <c r="I1994" s="4">
        <v>40</v>
      </c>
      <c r="J1994" t="str">
        <f t="shared" si="60"/>
        <v>GUARDIAN</v>
      </c>
    </row>
    <row r="1995" spans="1:10" x14ac:dyDescent="0.25">
      <c r="A1995" t="str">
        <f>""</f>
        <v/>
      </c>
      <c r="B1995" t="str">
        <f>""</f>
        <v/>
      </c>
      <c r="G1995" t="str">
        <f>"LIS202202028715"</f>
        <v>LIS202202028715</v>
      </c>
      <c r="H1995" t="str">
        <f t="shared" ref="H1995:H2000" si="61">"GUARDIAN"</f>
        <v>GUARDIAN</v>
      </c>
      <c r="I1995" s="4">
        <v>514.22</v>
      </c>
      <c r="J1995" t="str">
        <f t="shared" si="60"/>
        <v>GUARDIAN</v>
      </c>
    </row>
    <row r="1996" spans="1:10" x14ac:dyDescent="0.25">
      <c r="A1996" t="str">
        <f>""</f>
        <v/>
      </c>
      <c r="B1996" t="str">
        <f>""</f>
        <v/>
      </c>
      <c r="G1996" t="str">
        <f>"LIS202202028716"</f>
        <v>LIS202202028716</v>
      </c>
      <c r="H1996" t="str">
        <f t="shared" si="61"/>
        <v>GUARDIAN</v>
      </c>
      <c r="I1996" s="4">
        <v>36.75</v>
      </c>
      <c r="J1996" t="str">
        <f t="shared" si="60"/>
        <v>GUARDIAN</v>
      </c>
    </row>
    <row r="1997" spans="1:10" x14ac:dyDescent="0.25">
      <c r="A1997" t="str">
        <f>""</f>
        <v/>
      </c>
      <c r="B1997" t="str">
        <f>""</f>
        <v/>
      </c>
      <c r="G1997" t="str">
        <f>"LIS202202169060"</f>
        <v>LIS202202169060</v>
      </c>
      <c r="H1997" t="str">
        <f t="shared" si="61"/>
        <v>GUARDIAN</v>
      </c>
      <c r="I1997" s="4">
        <v>514.22</v>
      </c>
      <c r="J1997" t="str">
        <f t="shared" si="60"/>
        <v>GUARDIAN</v>
      </c>
    </row>
    <row r="1998" spans="1:10" x14ac:dyDescent="0.25">
      <c r="A1998" t="str">
        <f>""</f>
        <v/>
      </c>
      <c r="B1998" t="str">
        <f>""</f>
        <v/>
      </c>
      <c r="G1998" t="str">
        <f>"LIS202202169062"</f>
        <v>LIS202202169062</v>
      </c>
      <c r="H1998" t="str">
        <f t="shared" si="61"/>
        <v>GUARDIAN</v>
      </c>
      <c r="I1998" s="4">
        <v>36.75</v>
      </c>
      <c r="J1998" t="str">
        <f t="shared" si="60"/>
        <v>GUARDIAN</v>
      </c>
    </row>
    <row r="1999" spans="1:10" x14ac:dyDescent="0.25">
      <c r="A1999" t="str">
        <f>""</f>
        <v/>
      </c>
      <c r="B1999" t="str">
        <f>""</f>
        <v/>
      </c>
      <c r="G1999" t="str">
        <f>"LTD202202028715"</f>
        <v>LTD202202028715</v>
      </c>
      <c r="H1999" t="str">
        <f t="shared" si="61"/>
        <v>GUARDIAN</v>
      </c>
      <c r="I1999" s="4">
        <v>970.67</v>
      </c>
      <c r="J1999" t="str">
        <f t="shared" si="60"/>
        <v>GUARDIAN</v>
      </c>
    </row>
    <row r="2000" spans="1:10" x14ac:dyDescent="0.25">
      <c r="A2000" t="str">
        <f>""</f>
        <v/>
      </c>
      <c r="B2000" t="str">
        <f>""</f>
        <v/>
      </c>
      <c r="G2000" t="str">
        <f>"LTD202202169060"</f>
        <v>LTD202202169060</v>
      </c>
      <c r="H2000" t="str">
        <f t="shared" si="61"/>
        <v>GUARDIAN</v>
      </c>
      <c r="I2000" s="4">
        <v>970.67</v>
      </c>
      <c r="J2000" t="str">
        <f t="shared" si="60"/>
        <v>GUARDIAN</v>
      </c>
    </row>
    <row r="2001" spans="1:10" x14ac:dyDescent="0.25">
      <c r="A2001" t="str">
        <f>"01"</f>
        <v>01</v>
      </c>
      <c r="B2001" t="str">
        <f>"GUARDI"</f>
        <v>GUARDI</v>
      </c>
      <c r="C2001" t="s">
        <v>515</v>
      </c>
      <c r="D2001">
        <v>1653</v>
      </c>
      <c r="E2001" s="4">
        <v>78.78</v>
      </c>
      <c r="F2001" s="5">
        <v>44616</v>
      </c>
      <c r="G2001" t="str">
        <f>"202202249354"</f>
        <v>202202249354</v>
      </c>
      <c r="H2001" t="str">
        <f>"ROUNDING - FEBRUARY 2022"</f>
        <v>ROUNDING - FEBRUARY 2022</v>
      </c>
      <c r="I2001" s="4">
        <v>-0.06</v>
      </c>
      <c r="J2001" t="str">
        <f>"ROUNDING - FEBRUARY 2022"</f>
        <v>ROUNDING - FEBRUARY 2022</v>
      </c>
    </row>
    <row r="2002" spans="1:10" x14ac:dyDescent="0.25">
      <c r="A2002" t="str">
        <f>""</f>
        <v/>
      </c>
      <c r="B2002" t="str">
        <f>""</f>
        <v/>
      </c>
      <c r="G2002" t="str">
        <f>"AEG202202028715"</f>
        <v>AEG202202028715</v>
      </c>
      <c r="H2002" t="str">
        <f>"GUARDIAN"</f>
        <v>GUARDIAN</v>
      </c>
      <c r="I2002" s="4">
        <v>12.48</v>
      </c>
      <c r="J2002" t="str">
        <f>"GUARDIAN"</f>
        <v>GUARDIAN</v>
      </c>
    </row>
    <row r="2003" spans="1:10" x14ac:dyDescent="0.25">
      <c r="A2003" t="str">
        <f>""</f>
        <v/>
      </c>
      <c r="B2003" t="str">
        <f>""</f>
        <v/>
      </c>
      <c r="G2003" t="str">
        <f>"AEG202202169060"</f>
        <v>AEG202202169060</v>
      </c>
      <c r="H2003" t="str">
        <f>"GUARDIAN"</f>
        <v>GUARDIAN</v>
      </c>
      <c r="I2003" s="4">
        <v>12.48</v>
      </c>
      <c r="J2003" t="str">
        <f>"GUARDIAN"</f>
        <v>GUARDIAN</v>
      </c>
    </row>
    <row r="2004" spans="1:10" x14ac:dyDescent="0.25">
      <c r="A2004" t="str">
        <f>""</f>
        <v/>
      </c>
      <c r="B2004" t="str">
        <f>""</f>
        <v/>
      </c>
      <c r="G2004" t="str">
        <f>"AFG202202028715"</f>
        <v>AFG202202028715</v>
      </c>
      <c r="H2004" t="str">
        <f>"GUARDIAN"</f>
        <v>GUARDIAN</v>
      </c>
      <c r="I2004" s="4">
        <v>26.94</v>
      </c>
      <c r="J2004" t="str">
        <f>"GUARDIAN"</f>
        <v>GUARDIAN</v>
      </c>
    </row>
    <row r="2005" spans="1:10" x14ac:dyDescent="0.25">
      <c r="A2005" t="str">
        <f>""</f>
        <v/>
      </c>
      <c r="B2005" t="str">
        <f>""</f>
        <v/>
      </c>
      <c r="G2005" t="str">
        <f>"AFG202202169060"</f>
        <v>AFG202202169060</v>
      </c>
      <c r="H2005" t="str">
        <f>"GUARDIAN"</f>
        <v>GUARDIAN</v>
      </c>
      <c r="I2005" s="4">
        <v>26.94</v>
      </c>
      <c r="J2005" t="str">
        <f>"GUARDIAN"</f>
        <v>GUARDIAN</v>
      </c>
    </row>
    <row r="2006" spans="1:10" x14ac:dyDescent="0.25">
      <c r="A2006" t="str">
        <f>"01"</f>
        <v>01</v>
      </c>
      <c r="B2006" t="str">
        <f>"INSCCU"</f>
        <v>INSCCU</v>
      </c>
      <c r="C2006" t="s">
        <v>516</v>
      </c>
      <c r="D2006">
        <v>1595</v>
      </c>
      <c r="E2006" s="4">
        <v>390</v>
      </c>
      <c r="F2006" s="5">
        <v>44596</v>
      </c>
      <c r="G2006" t="str">
        <f>"C97202202028715"</f>
        <v>C97202202028715</v>
      </c>
      <c r="H2006" t="str">
        <f>"0008314890"</f>
        <v>0008314890</v>
      </c>
      <c r="I2006" s="4">
        <v>390</v>
      </c>
      <c r="J2006" t="str">
        <f>"0008314890"</f>
        <v>0008314890</v>
      </c>
    </row>
    <row r="2007" spans="1:10" x14ac:dyDescent="0.25">
      <c r="A2007" t="str">
        <f>"01"</f>
        <v>01</v>
      </c>
      <c r="B2007" t="str">
        <f>"INSCCU"</f>
        <v>INSCCU</v>
      </c>
      <c r="C2007" t="s">
        <v>516</v>
      </c>
      <c r="D2007">
        <v>1605</v>
      </c>
      <c r="E2007" s="4">
        <v>390</v>
      </c>
      <c r="F2007" s="5">
        <v>44610</v>
      </c>
      <c r="G2007" t="str">
        <f>"C97202202169060"</f>
        <v>C97202202169060</v>
      </c>
      <c r="H2007" t="str">
        <f>"0008314890"</f>
        <v>0008314890</v>
      </c>
      <c r="I2007" s="4">
        <v>390</v>
      </c>
      <c r="J2007" t="str">
        <f>"0008314890"</f>
        <v>0008314890</v>
      </c>
    </row>
    <row r="2008" spans="1:10" x14ac:dyDescent="0.25">
      <c r="A2008" t="str">
        <f>"01"</f>
        <v>01</v>
      </c>
      <c r="B2008" t="str">
        <f>"IRSPY"</f>
        <v>IRSPY</v>
      </c>
      <c r="C2008" t="s">
        <v>517</v>
      </c>
      <c r="D2008">
        <v>1596</v>
      </c>
      <c r="E2008" s="4">
        <v>244473</v>
      </c>
      <c r="F2008" s="5">
        <v>44596</v>
      </c>
      <c r="G2008" t="str">
        <f>"T1 202202028715"</f>
        <v>T1 202202028715</v>
      </c>
      <c r="H2008" t="str">
        <f>"FEDERAL WITHHOLDING"</f>
        <v>FEDERAL WITHHOLDING</v>
      </c>
      <c r="I2008" s="4">
        <v>79011.570000000007</v>
      </c>
      <c r="J2008" t="str">
        <f>"FEDERAL WITHHOLDING"</f>
        <v>FEDERAL WITHHOLDING</v>
      </c>
    </row>
    <row r="2009" spans="1:10" x14ac:dyDescent="0.25">
      <c r="A2009" t="str">
        <f>""</f>
        <v/>
      </c>
      <c r="B2009" t="str">
        <f>""</f>
        <v/>
      </c>
      <c r="G2009" t="str">
        <f>"T1 202202028716"</f>
        <v>T1 202202028716</v>
      </c>
      <c r="H2009" t="str">
        <f>"FEDERAL WITHHOLDING"</f>
        <v>FEDERAL WITHHOLDING</v>
      </c>
      <c r="I2009" s="4">
        <v>2890</v>
      </c>
      <c r="J2009" t="str">
        <f>"FEDERAL WITHHOLDING"</f>
        <v>FEDERAL WITHHOLDING</v>
      </c>
    </row>
    <row r="2010" spans="1:10" x14ac:dyDescent="0.25">
      <c r="A2010" t="str">
        <f>""</f>
        <v/>
      </c>
      <c r="B2010" t="str">
        <f>""</f>
        <v/>
      </c>
      <c r="G2010" t="str">
        <f>"T1 202202028717"</f>
        <v>T1 202202028717</v>
      </c>
      <c r="H2010" t="str">
        <f>"FEDERAL WITHHOLDING"</f>
        <v>FEDERAL WITHHOLDING</v>
      </c>
      <c r="I2010" s="4">
        <v>2775.85</v>
      </c>
      <c r="J2010" t="str">
        <f>"FEDERAL WITHHOLDING"</f>
        <v>FEDERAL WITHHOLDING</v>
      </c>
    </row>
    <row r="2011" spans="1:10" x14ac:dyDescent="0.25">
      <c r="A2011" t="str">
        <f>""</f>
        <v/>
      </c>
      <c r="B2011" t="str">
        <f>""</f>
        <v/>
      </c>
      <c r="G2011" t="str">
        <f>"T3 202202028715"</f>
        <v>T3 202202028715</v>
      </c>
      <c r="H2011" t="str">
        <f>"SOCIAL SECURITY TAXES"</f>
        <v>SOCIAL SECURITY TAXES</v>
      </c>
      <c r="I2011" s="4">
        <v>531.22</v>
      </c>
      <c r="J2011" t="str">
        <f t="shared" ref="J2011:J2065" si="62">"SOCIAL SECURITY TAXES"</f>
        <v>SOCIAL SECURITY TAXES</v>
      </c>
    </row>
    <row r="2012" spans="1:10" x14ac:dyDescent="0.25">
      <c r="A2012" t="str">
        <f>""</f>
        <v/>
      </c>
      <c r="B2012" t="str">
        <f>""</f>
        <v/>
      </c>
      <c r="G2012" t="str">
        <f>""</f>
        <v/>
      </c>
      <c r="H2012" t="str">
        <f>""</f>
        <v/>
      </c>
      <c r="I2012" s="4">
        <v>385.58</v>
      </c>
      <c r="J2012" t="str">
        <f t="shared" si="62"/>
        <v>SOCIAL SECURITY TAXES</v>
      </c>
    </row>
    <row r="2013" spans="1:10" x14ac:dyDescent="0.25">
      <c r="A2013" t="str">
        <f>""</f>
        <v/>
      </c>
      <c r="B2013" t="str">
        <f>""</f>
        <v/>
      </c>
      <c r="G2013" t="str">
        <f>""</f>
        <v/>
      </c>
      <c r="H2013" t="str">
        <f>""</f>
        <v/>
      </c>
      <c r="I2013" s="4">
        <v>975.75</v>
      </c>
      <c r="J2013" t="str">
        <f t="shared" si="62"/>
        <v>SOCIAL SECURITY TAXES</v>
      </c>
    </row>
    <row r="2014" spans="1:10" x14ac:dyDescent="0.25">
      <c r="A2014" t="str">
        <f>""</f>
        <v/>
      </c>
      <c r="B2014" t="str">
        <f>""</f>
        <v/>
      </c>
      <c r="G2014" t="str">
        <f>""</f>
        <v/>
      </c>
      <c r="H2014" t="str">
        <f>""</f>
        <v/>
      </c>
      <c r="I2014" s="4">
        <v>413.29</v>
      </c>
      <c r="J2014" t="str">
        <f t="shared" si="62"/>
        <v>SOCIAL SECURITY TAXES</v>
      </c>
    </row>
    <row r="2015" spans="1:10" x14ac:dyDescent="0.25">
      <c r="A2015" t="str">
        <f>""</f>
        <v/>
      </c>
      <c r="B2015" t="str">
        <f>""</f>
        <v/>
      </c>
      <c r="G2015" t="str">
        <f>""</f>
        <v/>
      </c>
      <c r="H2015" t="str">
        <f>""</f>
        <v/>
      </c>
      <c r="I2015" s="4">
        <v>219.78</v>
      </c>
      <c r="J2015" t="str">
        <f t="shared" si="62"/>
        <v>SOCIAL SECURITY TAXES</v>
      </c>
    </row>
    <row r="2016" spans="1:10" x14ac:dyDescent="0.25">
      <c r="A2016" t="str">
        <f>""</f>
        <v/>
      </c>
      <c r="B2016" t="str">
        <f>""</f>
        <v/>
      </c>
      <c r="G2016" t="str">
        <f>""</f>
        <v/>
      </c>
      <c r="H2016" t="str">
        <f>""</f>
        <v/>
      </c>
      <c r="I2016" s="4">
        <v>738.11</v>
      </c>
      <c r="J2016" t="str">
        <f t="shared" si="62"/>
        <v>SOCIAL SECURITY TAXES</v>
      </c>
    </row>
    <row r="2017" spans="1:10" x14ac:dyDescent="0.25">
      <c r="A2017" t="str">
        <f>""</f>
        <v/>
      </c>
      <c r="B2017" t="str">
        <f>""</f>
        <v/>
      </c>
      <c r="G2017" t="str">
        <f>""</f>
        <v/>
      </c>
      <c r="H2017" t="str">
        <f>""</f>
        <v/>
      </c>
      <c r="I2017" s="4">
        <v>2388.9899999999998</v>
      </c>
      <c r="J2017" t="str">
        <f t="shared" si="62"/>
        <v>SOCIAL SECURITY TAXES</v>
      </c>
    </row>
    <row r="2018" spans="1:10" x14ac:dyDescent="0.25">
      <c r="A2018" t="str">
        <f>""</f>
        <v/>
      </c>
      <c r="B2018" t="str">
        <f>""</f>
        <v/>
      </c>
      <c r="G2018" t="str">
        <f>""</f>
        <v/>
      </c>
      <c r="H2018" t="str">
        <f>""</f>
        <v/>
      </c>
      <c r="I2018" s="4">
        <v>832.33</v>
      </c>
      <c r="J2018" t="str">
        <f t="shared" si="62"/>
        <v>SOCIAL SECURITY TAXES</v>
      </c>
    </row>
    <row r="2019" spans="1:10" x14ac:dyDescent="0.25">
      <c r="A2019" t="str">
        <f>""</f>
        <v/>
      </c>
      <c r="B2019" t="str">
        <f>""</f>
        <v/>
      </c>
      <c r="G2019" t="str">
        <f>""</f>
        <v/>
      </c>
      <c r="H2019" t="str">
        <f>""</f>
        <v/>
      </c>
      <c r="I2019" s="4">
        <v>847.35</v>
      </c>
      <c r="J2019" t="str">
        <f t="shared" si="62"/>
        <v>SOCIAL SECURITY TAXES</v>
      </c>
    </row>
    <row r="2020" spans="1:10" x14ac:dyDescent="0.25">
      <c r="A2020" t="str">
        <f>""</f>
        <v/>
      </c>
      <c r="B2020" t="str">
        <f>""</f>
        <v/>
      </c>
      <c r="G2020" t="str">
        <f>""</f>
        <v/>
      </c>
      <c r="H2020" t="str">
        <f>""</f>
        <v/>
      </c>
      <c r="I2020" s="4">
        <v>1519.77</v>
      </c>
      <c r="J2020" t="str">
        <f t="shared" si="62"/>
        <v>SOCIAL SECURITY TAXES</v>
      </c>
    </row>
    <row r="2021" spans="1:10" x14ac:dyDescent="0.25">
      <c r="A2021" t="str">
        <f>""</f>
        <v/>
      </c>
      <c r="B2021" t="str">
        <f>""</f>
        <v/>
      </c>
      <c r="G2021" t="str">
        <f>""</f>
        <v/>
      </c>
      <c r="H2021" t="str">
        <f>""</f>
        <v/>
      </c>
      <c r="I2021" s="4">
        <v>455.1</v>
      </c>
      <c r="J2021" t="str">
        <f t="shared" si="62"/>
        <v>SOCIAL SECURITY TAXES</v>
      </c>
    </row>
    <row r="2022" spans="1:10" x14ac:dyDescent="0.25">
      <c r="A2022" t="str">
        <f>""</f>
        <v/>
      </c>
      <c r="B2022" t="str">
        <f>""</f>
        <v/>
      </c>
      <c r="G2022" t="str">
        <f>""</f>
        <v/>
      </c>
      <c r="H2022" t="str">
        <f>""</f>
        <v/>
      </c>
      <c r="I2022" s="4">
        <v>469.52</v>
      </c>
      <c r="J2022" t="str">
        <f t="shared" si="62"/>
        <v>SOCIAL SECURITY TAXES</v>
      </c>
    </row>
    <row r="2023" spans="1:10" x14ac:dyDescent="0.25">
      <c r="A2023" t="str">
        <f>""</f>
        <v/>
      </c>
      <c r="B2023" t="str">
        <f>""</f>
        <v/>
      </c>
      <c r="G2023" t="str">
        <f>""</f>
        <v/>
      </c>
      <c r="H2023" t="str">
        <f>""</f>
        <v/>
      </c>
      <c r="I2023" s="4">
        <v>393.38</v>
      </c>
      <c r="J2023" t="str">
        <f t="shared" si="62"/>
        <v>SOCIAL SECURITY TAXES</v>
      </c>
    </row>
    <row r="2024" spans="1:10" x14ac:dyDescent="0.25">
      <c r="A2024" t="str">
        <f>""</f>
        <v/>
      </c>
      <c r="B2024" t="str">
        <f>""</f>
        <v/>
      </c>
      <c r="G2024" t="str">
        <f>""</f>
        <v/>
      </c>
      <c r="H2024" t="str">
        <f>""</f>
        <v/>
      </c>
      <c r="I2024" s="4">
        <v>409.09</v>
      </c>
      <c r="J2024" t="str">
        <f t="shared" si="62"/>
        <v>SOCIAL SECURITY TAXES</v>
      </c>
    </row>
    <row r="2025" spans="1:10" x14ac:dyDescent="0.25">
      <c r="A2025" t="str">
        <f>""</f>
        <v/>
      </c>
      <c r="B2025" t="str">
        <f>""</f>
        <v/>
      </c>
      <c r="G2025" t="str">
        <f>""</f>
        <v/>
      </c>
      <c r="H2025" t="str">
        <f>""</f>
        <v/>
      </c>
      <c r="I2025" s="4">
        <v>225.39</v>
      </c>
      <c r="J2025" t="str">
        <f t="shared" si="62"/>
        <v>SOCIAL SECURITY TAXES</v>
      </c>
    </row>
    <row r="2026" spans="1:10" x14ac:dyDescent="0.25">
      <c r="A2026" t="str">
        <f>""</f>
        <v/>
      </c>
      <c r="B2026" t="str">
        <f>""</f>
        <v/>
      </c>
      <c r="G2026" t="str">
        <f>""</f>
        <v/>
      </c>
      <c r="H2026" t="str">
        <f>""</f>
        <v/>
      </c>
      <c r="I2026" s="4">
        <v>2664.16</v>
      </c>
      <c r="J2026" t="str">
        <f t="shared" si="62"/>
        <v>SOCIAL SECURITY TAXES</v>
      </c>
    </row>
    <row r="2027" spans="1:10" x14ac:dyDescent="0.25">
      <c r="A2027" t="str">
        <f>""</f>
        <v/>
      </c>
      <c r="B2027" t="str">
        <f>""</f>
        <v/>
      </c>
      <c r="G2027" t="str">
        <f>""</f>
        <v/>
      </c>
      <c r="H2027" t="str">
        <f>""</f>
        <v/>
      </c>
      <c r="I2027" s="4">
        <v>1076.6099999999999</v>
      </c>
      <c r="J2027" t="str">
        <f t="shared" si="62"/>
        <v>SOCIAL SECURITY TAXES</v>
      </c>
    </row>
    <row r="2028" spans="1:10" x14ac:dyDescent="0.25">
      <c r="A2028" t="str">
        <f>""</f>
        <v/>
      </c>
      <c r="B2028" t="str">
        <f>""</f>
        <v/>
      </c>
      <c r="G2028" t="str">
        <f>""</f>
        <v/>
      </c>
      <c r="H2028" t="str">
        <f>""</f>
        <v/>
      </c>
      <c r="I2028" s="4">
        <v>497.27</v>
      </c>
      <c r="J2028" t="str">
        <f t="shared" si="62"/>
        <v>SOCIAL SECURITY TAXES</v>
      </c>
    </row>
    <row r="2029" spans="1:10" x14ac:dyDescent="0.25">
      <c r="A2029" t="str">
        <f>""</f>
        <v/>
      </c>
      <c r="B2029" t="str">
        <f>""</f>
        <v/>
      </c>
      <c r="G2029" t="str">
        <f>""</f>
        <v/>
      </c>
      <c r="H2029" t="str">
        <f>""</f>
        <v/>
      </c>
      <c r="I2029" s="4">
        <v>485.22</v>
      </c>
      <c r="J2029" t="str">
        <f t="shared" si="62"/>
        <v>SOCIAL SECURITY TAXES</v>
      </c>
    </row>
    <row r="2030" spans="1:10" x14ac:dyDescent="0.25">
      <c r="A2030" t="str">
        <f>""</f>
        <v/>
      </c>
      <c r="B2030" t="str">
        <f>""</f>
        <v/>
      </c>
      <c r="G2030" t="str">
        <f>""</f>
        <v/>
      </c>
      <c r="H2030" t="str">
        <f>""</f>
        <v/>
      </c>
      <c r="I2030" s="4">
        <v>1596.11</v>
      </c>
      <c r="J2030" t="str">
        <f t="shared" si="62"/>
        <v>SOCIAL SECURITY TAXES</v>
      </c>
    </row>
    <row r="2031" spans="1:10" x14ac:dyDescent="0.25">
      <c r="A2031" t="str">
        <f>""</f>
        <v/>
      </c>
      <c r="B2031" t="str">
        <f>""</f>
        <v/>
      </c>
      <c r="G2031" t="str">
        <f>""</f>
        <v/>
      </c>
      <c r="H2031" t="str">
        <f>""</f>
        <v/>
      </c>
      <c r="I2031" s="4">
        <v>715.84</v>
      </c>
      <c r="J2031" t="str">
        <f t="shared" si="62"/>
        <v>SOCIAL SECURITY TAXES</v>
      </c>
    </row>
    <row r="2032" spans="1:10" x14ac:dyDescent="0.25">
      <c r="A2032" t="str">
        <f>""</f>
        <v/>
      </c>
      <c r="B2032" t="str">
        <f>""</f>
        <v/>
      </c>
      <c r="G2032" t="str">
        <f>""</f>
        <v/>
      </c>
      <c r="H2032" t="str">
        <f>""</f>
        <v/>
      </c>
      <c r="I2032" s="4">
        <v>1814.12</v>
      </c>
      <c r="J2032" t="str">
        <f t="shared" si="62"/>
        <v>SOCIAL SECURITY TAXES</v>
      </c>
    </row>
    <row r="2033" spans="1:10" x14ac:dyDescent="0.25">
      <c r="A2033" t="str">
        <f>""</f>
        <v/>
      </c>
      <c r="B2033" t="str">
        <f>""</f>
        <v/>
      </c>
      <c r="G2033" t="str">
        <f>""</f>
        <v/>
      </c>
      <c r="H2033" t="str">
        <f>""</f>
        <v/>
      </c>
      <c r="I2033" s="4">
        <v>1224.1600000000001</v>
      </c>
      <c r="J2033" t="str">
        <f t="shared" si="62"/>
        <v>SOCIAL SECURITY TAXES</v>
      </c>
    </row>
    <row r="2034" spans="1:10" x14ac:dyDescent="0.25">
      <c r="A2034" t="str">
        <f>""</f>
        <v/>
      </c>
      <c r="B2034" t="str">
        <f>""</f>
        <v/>
      </c>
      <c r="G2034" t="str">
        <f>""</f>
        <v/>
      </c>
      <c r="H2034" t="str">
        <f>""</f>
        <v/>
      </c>
      <c r="I2034" s="4">
        <v>2374.8200000000002</v>
      </c>
      <c r="J2034" t="str">
        <f t="shared" si="62"/>
        <v>SOCIAL SECURITY TAXES</v>
      </c>
    </row>
    <row r="2035" spans="1:10" x14ac:dyDescent="0.25">
      <c r="A2035" t="str">
        <f>""</f>
        <v/>
      </c>
      <c r="B2035" t="str">
        <f>""</f>
        <v/>
      </c>
      <c r="G2035" t="str">
        <f>""</f>
        <v/>
      </c>
      <c r="H2035" t="str">
        <f>""</f>
        <v/>
      </c>
      <c r="I2035" s="4">
        <v>127.07</v>
      </c>
      <c r="J2035" t="str">
        <f t="shared" si="62"/>
        <v>SOCIAL SECURITY TAXES</v>
      </c>
    </row>
    <row r="2036" spans="1:10" x14ac:dyDescent="0.25">
      <c r="A2036" t="str">
        <f>""</f>
        <v/>
      </c>
      <c r="B2036" t="str">
        <f>""</f>
        <v/>
      </c>
      <c r="G2036" t="str">
        <f>""</f>
        <v/>
      </c>
      <c r="H2036" t="str">
        <f>""</f>
        <v/>
      </c>
      <c r="I2036" s="4">
        <v>140.62</v>
      </c>
      <c r="J2036" t="str">
        <f t="shared" si="62"/>
        <v>SOCIAL SECURITY TAXES</v>
      </c>
    </row>
    <row r="2037" spans="1:10" x14ac:dyDescent="0.25">
      <c r="A2037" t="str">
        <f>""</f>
        <v/>
      </c>
      <c r="B2037" t="str">
        <f>""</f>
        <v/>
      </c>
      <c r="G2037" t="str">
        <f>""</f>
        <v/>
      </c>
      <c r="H2037" t="str">
        <f>""</f>
        <v/>
      </c>
      <c r="I2037" s="4">
        <v>133.58000000000001</v>
      </c>
      <c r="J2037" t="str">
        <f t="shared" si="62"/>
        <v>SOCIAL SECURITY TAXES</v>
      </c>
    </row>
    <row r="2038" spans="1:10" x14ac:dyDescent="0.25">
      <c r="A2038" t="str">
        <f>""</f>
        <v/>
      </c>
      <c r="B2038" t="str">
        <f>""</f>
        <v/>
      </c>
      <c r="G2038" t="str">
        <f>""</f>
        <v/>
      </c>
      <c r="H2038" t="str">
        <f>""</f>
        <v/>
      </c>
      <c r="I2038" s="4">
        <v>129.66</v>
      </c>
      <c r="J2038" t="str">
        <f t="shared" si="62"/>
        <v>SOCIAL SECURITY TAXES</v>
      </c>
    </row>
    <row r="2039" spans="1:10" x14ac:dyDescent="0.25">
      <c r="A2039" t="str">
        <f>""</f>
        <v/>
      </c>
      <c r="B2039" t="str">
        <f>""</f>
        <v/>
      </c>
      <c r="G2039" t="str">
        <f>""</f>
        <v/>
      </c>
      <c r="H2039" t="str">
        <f>""</f>
        <v/>
      </c>
      <c r="I2039" s="4">
        <v>13613.58</v>
      </c>
      <c r="J2039" t="str">
        <f t="shared" si="62"/>
        <v>SOCIAL SECURITY TAXES</v>
      </c>
    </row>
    <row r="2040" spans="1:10" x14ac:dyDescent="0.25">
      <c r="A2040" t="str">
        <f>""</f>
        <v/>
      </c>
      <c r="B2040" t="str">
        <f>""</f>
        <v/>
      </c>
      <c r="G2040" t="str">
        <f>""</f>
        <v/>
      </c>
      <c r="H2040" t="str">
        <f>""</f>
        <v/>
      </c>
      <c r="I2040" s="4">
        <v>613.55999999999995</v>
      </c>
      <c r="J2040" t="str">
        <f t="shared" si="62"/>
        <v>SOCIAL SECURITY TAXES</v>
      </c>
    </row>
    <row r="2041" spans="1:10" x14ac:dyDescent="0.25">
      <c r="A2041" t="str">
        <f>""</f>
        <v/>
      </c>
      <c r="B2041" t="str">
        <f>""</f>
        <v/>
      </c>
      <c r="G2041" t="str">
        <f>""</f>
        <v/>
      </c>
      <c r="H2041" t="str">
        <f>""</f>
        <v/>
      </c>
      <c r="I2041" s="4">
        <v>11058.61</v>
      </c>
      <c r="J2041" t="str">
        <f t="shared" si="62"/>
        <v>SOCIAL SECURITY TAXES</v>
      </c>
    </row>
    <row r="2042" spans="1:10" x14ac:dyDescent="0.25">
      <c r="A2042" t="str">
        <f>""</f>
        <v/>
      </c>
      <c r="B2042" t="str">
        <f>""</f>
        <v/>
      </c>
      <c r="G2042" t="str">
        <f>""</f>
        <v/>
      </c>
      <c r="H2042" t="str">
        <f>""</f>
        <v/>
      </c>
      <c r="I2042" s="4">
        <v>1813.53</v>
      </c>
      <c r="J2042" t="str">
        <f t="shared" si="62"/>
        <v>SOCIAL SECURITY TAXES</v>
      </c>
    </row>
    <row r="2043" spans="1:10" x14ac:dyDescent="0.25">
      <c r="A2043" t="str">
        <f>""</f>
        <v/>
      </c>
      <c r="B2043" t="str">
        <f>""</f>
        <v/>
      </c>
      <c r="G2043" t="str">
        <f>""</f>
        <v/>
      </c>
      <c r="H2043" t="str">
        <f>""</f>
        <v/>
      </c>
      <c r="I2043" s="4">
        <v>224.67</v>
      </c>
      <c r="J2043" t="str">
        <f t="shared" si="62"/>
        <v>SOCIAL SECURITY TAXES</v>
      </c>
    </row>
    <row r="2044" spans="1:10" x14ac:dyDescent="0.25">
      <c r="A2044" t="str">
        <f>""</f>
        <v/>
      </c>
      <c r="B2044" t="str">
        <f>""</f>
        <v/>
      </c>
      <c r="G2044" t="str">
        <f>""</f>
        <v/>
      </c>
      <c r="H2044" t="str">
        <f>""</f>
        <v/>
      </c>
      <c r="I2044" s="4">
        <v>506.44</v>
      </c>
      <c r="J2044" t="str">
        <f t="shared" si="62"/>
        <v>SOCIAL SECURITY TAXES</v>
      </c>
    </row>
    <row r="2045" spans="1:10" x14ac:dyDescent="0.25">
      <c r="A2045" t="str">
        <f>""</f>
        <v/>
      </c>
      <c r="B2045" t="str">
        <f>""</f>
        <v/>
      </c>
      <c r="G2045" t="str">
        <f>""</f>
        <v/>
      </c>
      <c r="H2045" t="str">
        <f>""</f>
        <v/>
      </c>
      <c r="I2045" s="4">
        <v>34.619999999999997</v>
      </c>
      <c r="J2045" t="str">
        <f t="shared" si="62"/>
        <v>SOCIAL SECURITY TAXES</v>
      </c>
    </row>
    <row r="2046" spans="1:10" x14ac:dyDescent="0.25">
      <c r="A2046" t="str">
        <f>""</f>
        <v/>
      </c>
      <c r="B2046" t="str">
        <f>""</f>
        <v/>
      </c>
      <c r="G2046" t="str">
        <f>""</f>
        <v/>
      </c>
      <c r="H2046" t="str">
        <f>""</f>
        <v/>
      </c>
      <c r="I2046" s="4">
        <v>221.05</v>
      </c>
      <c r="J2046" t="str">
        <f t="shared" si="62"/>
        <v>SOCIAL SECURITY TAXES</v>
      </c>
    </row>
    <row r="2047" spans="1:10" x14ac:dyDescent="0.25">
      <c r="A2047" t="str">
        <f>""</f>
        <v/>
      </c>
      <c r="B2047" t="str">
        <f>""</f>
        <v/>
      </c>
      <c r="G2047" t="str">
        <f>""</f>
        <v/>
      </c>
      <c r="H2047" t="str">
        <f>""</f>
        <v/>
      </c>
      <c r="I2047" s="4">
        <v>118.44</v>
      </c>
      <c r="J2047" t="str">
        <f t="shared" si="62"/>
        <v>SOCIAL SECURITY TAXES</v>
      </c>
    </row>
    <row r="2048" spans="1:10" x14ac:dyDescent="0.25">
      <c r="A2048" t="str">
        <f>""</f>
        <v/>
      </c>
      <c r="B2048" t="str">
        <f>""</f>
        <v/>
      </c>
      <c r="G2048" t="str">
        <f>""</f>
        <v/>
      </c>
      <c r="H2048" t="str">
        <f>""</f>
        <v/>
      </c>
      <c r="I2048" s="4">
        <v>658.14</v>
      </c>
      <c r="J2048" t="str">
        <f t="shared" si="62"/>
        <v>SOCIAL SECURITY TAXES</v>
      </c>
    </row>
    <row r="2049" spans="1:10" x14ac:dyDescent="0.25">
      <c r="A2049" t="str">
        <f>""</f>
        <v/>
      </c>
      <c r="B2049" t="str">
        <f>""</f>
        <v/>
      </c>
      <c r="G2049" t="str">
        <f>""</f>
        <v/>
      </c>
      <c r="H2049" t="str">
        <f>""</f>
        <v/>
      </c>
      <c r="I2049" s="4">
        <v>306.87</v>
      </c>
      <c r="J2049" t="str">
        <f t="shared" si="62"/>
        <v>SOCIAL SECURITY TAXES</v>
      </c>
    </row>
    <row r="2050" spans="1:10" x14ac:dyDescent="0.25">
      <c r="A2050" t="str">
        <f>""</f>
        <v/>
      </c>
      <c r="B2050" t="str">
        <f>""</f>
        <v/>
      </c>
      <c r="G2050" t="str">
        <f>""</f>
        <v/>
      </c>
      <c r="H2050" t="str">
        <f>""</f>
        <v/>
      </c>
      <c r="I2050" s="4">
        <v>57.38</v>
      </c>
      <c r="J2050" t="str">
        <f t="shared" si="62"/>
        <v>SOCIAL SECURITY TAXES</v>
      </c>
    </row>
    <row r="2051" spans="1:10" x14ac:dyDescent="0.25">
      <c r="A2051" t="str">
        <f>""</f>
        <v/>
      </c>
      <c r="B2051" t="str">
        <f>""</f>
        <v/>
      </c>
      <c r="G2051" t="str">
        <f>""</f>
        <v/>
      </c>
      <c r="H2051" t="str">
        <f>""</f>
        <v/>
      </c>
      <c r="I2051" s="4">
        <v>1417.32</v>
      </c>
      <c r="J2051" t="str">
        <f t="shared" si="62"/>
        <v>SOCIAL SECURITY TAXES</v>
      </c>
    </row>
    <row r="2052" spans="1:10" x14ac:dyDescent="0.25">
      <c r="A2052" t="str">
        <f>""</f>
        <v/>
      </c>
      <c r="B2052" t="str">
        <f>""</f>
        <v/>
      </c>
      <c r="G2052" t="str">
        <f>""</f>
        <v/>
      </c>
      <c r="H2052" t="str">
        <f>""</f>
        <v/>
      </c>
      <c r="I2052" s="4">
        <v>1739.81</v>
      </c>
      <c r="J2052" t="str">
        <f t="shared" si="62"/>
        <v>SOCIAL SECURITY TAXES</v>
      </c>
    </row>
    <row r="2053" spans="1:10" x14ac:dyDescent="0.25">
      <c r="A2053" t="str">
        <f>""</f>
        <v/>
      </c>
      <c r="B2053" t="str">
        <f>""</f>
        <v/>
      </c>
      <c r="G2053" t="str">
        <f>""</f>
        <v/>
      </c>
      <c r="H2053" t="str">
        <f>""</f>
        <v/>
      </c>
      <c r="I2053" s="4">
        <v>1703.02</v>
      </c>
      <c r="J2053" t="str">
        <f t="shared" si="62"/>
        <v>SOCIAL SECURITY TAXES</v>
      </c>
    </row>
    <row r="2054" spans="1:10" x14ac:dyDescent="0.25">
      <c r="A2054" t="str">
        <f>""</f>
        <v/>
      </c>
      <c r="B2054" t="str">
        <f>""</f>
        <v/>
      </c>
      <c r="G2054" t="str">
        <f>""</f>
        <v/>
      </c>
      <c r="H2054" t="str">
        <f>""</f>
        <v/>
      </c>
      <c r="I2054" s="4">
        <v>1939.65</v>
      </c>
      <c r="J2054" t="str">
        <f t="shared" si="62"/>
        <v>SOCIAL SECURITY TAXES</v>
      </c>
    </row>
    <row r="2055" spans="1:10" x14ac:dyDescent="0.25">
      <c r="A2055" t="str">
        <f>""</f>
        <v/>
      </c>
      <c r="B2055" t="str">
        <f>""</f>
        <v/>
      </c>
      <c r="G2055" t="str">
        <f>""</f>
        <v/>
      </c>
      <c r="H2055" t="str">
        <f>""</f>
        <v/>
      </c>
      <c r="I2055" s="4">
        <v>232.98</v>
      </c>
      <c r="J2055" t="str">
        <f t="shared" si="62"/>
        <v>SOCIAL SECURITY TAXES</v>
      </c>
    </row>
    <row r="2056" spans="1:10" x14ac:dyDescent="0.25">
      <c r="A2056" t="str">
        <f>""</f>
        <v/>
      </c>
      <c r="B2056" t="str">
        <f>""</f>
        <v/>
      </c>
      <c r="G2056" t="str">
        <f>""</f>
        <v/>
      </c>
      <c r="H2056" t="str">
        <f>""</f>
        <v/>
      </c>
      <c r="I2056" s="4">
        <v>14.9</v>
      </c>
      <c r="J2056" t="str">
        <f t="shared" si="62"/>
        <v>SOCIAL SECURITY TAXES</v>
      </c>
    </row>
    <row r="2057" spans="1:10" x14ac:dyDescent="0.25">
      <c r="A2057" t="str">
        <f>""</f>
        <v/>
      </c>
      <c r="B2057" t="str">
        <f>""</f>
        <v/>
      </c>
      <c r="G2057" t="str">
        <f>""</f>
        <v/>
      </c>
      <c r="H2057" t="str">
        <f>""</f>
        <v/>
      </c>
      <c r="I2057" s="4">
        <v>4.8</v>
      </c>
      <c r="J2057" t="str">
        <f t="shared" si="62"/>
        <v>SOCIAL SECURITY TAXES</v>
      </c>
    </row>
    <row r="2058" spans="1:10" x14ac:dyDescent="0.25">
      <c r="A2058" t="str">
        <f>""</f>
        <v/>
      </c>
      <c r="B2058" t="str">
        <f>""</f>
        <v/>
      </c>
      <c r="G2058" t="str">
        <f>""</f>
        <v/>
      </c>
      <c r="H2058" t="str">
        <f>""</f>
        <v/>
      </c>
      <c r="I2058" s="4">
        <v>17.39</v>
      </c>
      <c r="J2058" t="str">
        <f t="shared" si="62"/>
        <v>SOCIAL SECURITY TAXES</v>
      </c>
    </row>
    <row r="2059" spans="1:10" x14ac:dyDescent="0.25">
      <c r="A2059" t="str">
        <f>""</f>
        <v/>
      </c>
      <c r="B2059" t="str">
        <f>""</f>
        <v/>
      </c>
      <c r="G2059" t="str">
        <f>""</f>
        <v/>
      </c>
      <c r="H2059" t="str">
        <f>""</f>
        <v/>
      </c>
      <c r="I2059" s="4">
        <v>20.71</v>
      </c>
      <c r="J2059" t="str">
        <f t="shared" si="62"/>
        <v>SOCIAL SECURITY TAXES</v>
      </c>
    </row>
    <row r="2060" spans="1:10" x14ac:dyDescent="0.25">
      <c r="A2060" t="str">
        <f>""</f>
        <v/>
      </c>
      <c r="B2060" t="str">
        <f>""</f>
        <v/>
      </c>
      <c r="G2060" t="str">
        <f>""</f>
        <v/>
      </c>
      <c r="H2060" t="str">
        <f>""</f>
        <v/>
      </c>
      <c r="I2060" s="4">
        <v>377.6</v>
      </c>
      <c r="J2060" t="str">
        <f t="shared" si="62"/>
        <v>SOCIAL SECURITY TAXES</v>
      </c>
    </row>
    <row r="2061" spans="1:10" x14ac:dyDescent="0.25">
      <c r="A2061" t="str">
        <f>""</f>
        <v/>
      </c>
      <c r="B2061" t="str">
        <f>""</f>
        <v/>
      </c>
      <c r="G2061" t="str">
        <f>""</f>
        <v/>
      </c>
      <c r="H2061" t="str">
        <f>""</f>
        <v/>
      </c>
      <c r="I2061" s="4">
        <v>60478.96</v>
      </c>
      <c r="J2061" t="str">
        <f t="shared" si="62"/>
        <v>SOCIAL SECURITY TAXES</v>
      </c>
    </row>
    <row r="2062" spans="1:10" x14ac:dyDescent="0.25">
      <c r="A2062" t="str">
        <f>""</f>
        <v/>
      </c>
      <c r="B2062" t="str">
        <f>""</f>
        <v/>
      </c>
      <c r="G2062" t="str">
        <f>"T3 202202028716"</f>
        <v>T3 202202028716</v>
      </c>
      <c r="H2062" t="str">
        <f>"SOCIAL SECURITY TAXES"</f>
        <v>SOCIAL SECURITY TAXES</v>
      </c>
      <c r="I2062" s="4">
        <v>2090.4899999999998</v>
      </c>
      <c r="J2062" t="str">
        <f t="shared" si="62"/>
        <v>SOCIAL SECURITY TAXES</v>
      </c>
    </row>
    <row r="2063" spans="1:10" x14ac:dyDescent="0.25">
      <c r="A2063" t="str">
        <f>""</f>
        <v/>
      </c>
      <c r="B2063" t="str">
        <f>""</f>
        <v/>
      </c>
      <c r="G2063" t="str">
        <f>""</f>
        <v/>
      </c>
      <c r="H2063" t="str">
        <f>""</f>
        <v/>
      </c>
      <c r="I2063" s="4">
        <v>2090.4899999999998</v>
      </c>
      <c r="J2063" t="str">
        <f t="shared" si="62"/>
        <v>SOCIAL SECURITY TAXES</v>
      </c>
    </row>
    <row r="2064" spans="1:10" x14ac:dyDescent="0.25">
      <c r="A2064" t="str">
        <f>""</f>
        <v/>
      </c>
      <c r="B2064" t="str">
        <f>""</f>
        <v/>
      </c>
      <c r="G2064" t="str">
        <f>"T3 202202028717"</f>
        <v>T3 202202028717</v>
      </c>
      <c r="H2064" t="str">
        <f>"SOCIAL SECURITY TAXES"</f>
        <v>SOCIAL SECURITY TAXES</v>
      </c>
      <c r="I2064" s="4">
        <v>2184.2399999999998</v>
      </c>
      <c r="J2064" t="str">
        <f t="shared" si="62"/>
        <v>SOCIAL SECURITY TAXES</v>
      </c>
    </row>
    <row r="2065" spans="1:10" x14ac:dyDescent="0.25">
      <c r="A2065" t="str">
        <f>""</f>
        <v/>
      </c>
      <c r="B2065" t="str">
        <f>""</f>
        <v/>
      </c>
      <c r="G2065" t="str">
        <f>""</f>
        <v/>
      </c>
      <c r="H2065" t="str">
        <f>""</f>
        <v/>
      </c>
      <c r="I2065" s="4">
        <v>2184.2399999999998</v>
      </c>
      <c r="J2065" t="str">
        <f t="shared" si="62"/>
        <v>SOCIAL SECURITY TAXES</v>
      </c>
    </row>
    <row r="2066" spans="1:10" x14ac:dyDescent="0.25">
      <c r="A2066" t="str">
        <f>""</f>
        <v/>
      </c>
      <c r="B2066" t="str">
        <f>""</f>
        <v/>
      </c>
      <c r="G2066" t="str">
        <f>"T4 202202028715"</f>
        <v>T4 202202028715</v>
      </c>
      <c r="H2066" t="str">
        <f>"MEDICARE TAXES"</f>
        <v>MEDICARE TAXES</v>
      </c>
      <c r="I2066" s="4">
        <v>124.24</v>
      </c>
      <c r="J2066" t="str">
        <f t="shared" ref="J2066:J2120" si="63">"MEDICARE TAXES"</f>
        <v>MEDICARE TAXES</v>
      </c>
    </row>
    <row r="2067" spans="1:10" x14ac:dyDescent="0.25">
      <c r="A2067" t="str">
        <f>""</f>
        <v/>
      </c>
      <c r="B2067" t="str">
        <f>""</f>
        <v/>
      </c>
      <c r="G2067" t="str">
        <f>""</f>
        <v/>
      </c>
      <c r="H2067" t="str">
        <f>""</f>
        <v/>
      </c>
      <c r="I2067" s="4">
        <v>90.19</v>
      </c>
      <c r="J2067" t="str">
        <f t="shared" si="63"/>
        <v>MEDICARE TAXES</v>
      </c>
    </row>
    <row r="2068" spans="1:10" x14ac:dyDescent="0.25">
      <c r="A2068" t="str">
        <f>""</f>
        <v/>
      </c>
      <c r="B2068" t="str">
        <f>""</f>
        <v/>
      </c>
      <c r="G2068" t="str">
        <f>""</f>
        <v/>
      </c>
      <c r="H2068" t="str">
        <f>""</f>
        <v/>
      </c>
      <c r="I2068" s="4">
        <v>228.19</v>
      </c>
      <c r="J2068" t="str">
        <f t="shared" si="63"/>
        <v>MEDICARE TAXES</v>
      </c>
    </row>
    <row r="2069" spans="1:10" x14ac:dyDescent="0.25">
      <c r="A2069" t="str">
        <f>""</f>
        <v/>
      </c>
      <c r="B2069" t="str">
        <f>""</f>
        <v/>
      </c>
      <c r="G2069" t="str">
        <f>""</f>
        <v/>
      </c>
      <c r="H2069" t="str">
        <f>""</f>
        <v/>
      </c>
      <c r="I2069" s="4">
        <v>96.66</v>
      </c>
      <c r="J2069" t="str">
        <f t="shared" si="63"/>
        <v>MEDICARE TAXES</v>
      </c>
    </row>
    <row r="2070" spans="1:10" x14ac:dyDescent="0.25">
      <c r="A2070" t="str">
        <f>""</f>
        <v/>
      </c>
      <c r="B2070" t="str">
        <f>""</f>
        <v/>
      </c>
      <c r="G2070" t="str">
        <f>""</f>
        <v/>
      </c>
      <c r="H2070" t="str">
        <f>""</f>
        <v/>
      </c>
      <c r="I2070" s="4">
        <v>51.4</v>
      </c>
      <c r="J2070" t="str">
        <f t="shared" si="63"/>
        <v>MEDICARE TAXES</v>
      </c>
    </row>
    <row r="2071" spans="1:10" x14ac:dyDescent="0.25">
      <c r="A2071" t="str">
        <f>""</f>
        <v/>
      </c>
      <c r="B2071" t="str">
        <f>""</f>
        <v/>
      </c>
      <c r="G2071" t="str">
        <f>""</f>
        <v/>
      </c>
      <c r="H2071" t="str">
        <f>""</f>
        <v/>
      </c>
      <c r="I2071" s="4">
        <v>172.63</v>
      </c>
      <c r="J2071" t="str">
        <f t="shared" si="63"/>
        <v>MEDICARE TAXES</v>
      </c>
    </row>
    <row r="2072" spans="1:10" x14ac:dyDescent="0.25">
      <c r="A2072" t="str">
        <f>""</f>
        <v/>
      </c>
      <c r="B2072" t="str">
        <f>""</f>
        <v/>
      </c>
      <c r="G2072" t="str">
        <f>""</f>
        <v/>
      </c>
      <c r="H2072" t="str">
        <f>""</f>
        <v/>
      </c>
      <c r="I2072" s="4">
        <v>558.72</v>
      </c>
      <c r="J2072" t="str">
        <f t="shared" si="63"/>
        <v>MEDICARE TAXES</v>
      </c>
    </row>
    <row r="2073" spans="1:10" x14ac:dyDescent="0.25">
      <c r="A2073" t="str">
        <f>""</f>
        <v/>
      </c>
      <c r="B2073" t="str">
        <f>""</f>
        <v/>
      </c>
      <c r="G2073" t="str">
        <f>""</f>
        <v/>
      </c>
      <c r="H2073" t="str">
        <f>""</f>
        <v/>
      </c>
      <c r="I2073" s="4">
        <v>194.66</v>
      </c>
      <c r="J2073" t="str">
        <f t="shared" si="63"/>
        <v>MEDICARE TAXES</v>
      </c>
    </row>
    <row r="2074" spans="1:10" x14ac:dyDescent="0.25">
      <c r="A2074" t="str">
        <f>""</f>
        <v/>
      </c>
      <c r="B2074" t="str">
        <f>""</f>
        <v/>
      </c>
      <c r="G2074" t="str">
        <f>""</f>
        <v/>
      </c>
      <c r="H2074" t="str">
        <f>""</f>
        <v/>
      </c>
      <c r="I2074" s="4">
        <v>198.17</v>
      </c>
      <c r="J2074" t="str">
        <f t="shared" si="63"/>
        <v>MEDICARE TAXES</v>
      </c>
    </row>
    <row r="2075" spans="1:10" x14ac:dyDescent="0.25">
      <c r="A2075" t="str">
        <f>""</f>
        <v/>
      </c>
      <c r="B2075" t="str">
        <f>""</f>
        <v/>
      </c>
      <c r="G2075" t="str">
        <f>""</f>
        <v/>
      </c>
      <c r="H2075" t="str">
        <f>""</f>
        <v/>
      </c>
      <c r="I2075" s="4">
        <v>355.42</v>
      </c>
      <c r="J2075" t="str">
        <f t="shared" si="63"/>
        <v>MEDICARE TAXES</v>
      </c>
    </row>
    <row r="2076" spans="1:10" x14ac:dyDescent="0.25">
      <c r="A2076" t="str">
        <f>""</f>
        <v/>
      </c>
      <c r="B2076" t="str">
        <f>""</f>
        <v/>
      </c>
      <c r="G2076" t="str">
        <f>""</f>
        <v/>
      </c>
      <c r="H2076" t="str">
        <f>""</f>
        <v/>
      </c>
      <c r="I2076" s="4">
        <v>106.44</v>
      </c>
      <c r="J2076" t="str">
        <f t="shared" si="63"/>
        <v>MEDICARE TAXES</v>
      </c>
    </row>
    <row r="2077" spans="1:10" x14ac:dyDescent="0.25">
      <c r="A2077" t="str">
        <f>""</f>
        <v/>
      </c>
      <c r="B2077" t="str">
        <f>""</f>
        <v/>
      </c>
      <c r="G2077" t="str">
        <f>""</f>
        <v/>
      </c>
      <c r="H2077" t="str">
        <f>""</f>
        <v/>
      </c>
      <c r="I2077" s="4">
        <v>109.8</v>
      </c>
      <c r="J2077" t="str">
        <f t="shared" si="63"/>
        <v>MEDICARE TAXES</v>
      </c>
    </row>
    <row r="2078" spans="1:10" x14ac:dyDescent="0.25">
      <c r="A2078" t="str">
        <f>""</f>
        <v/>
      </c>
      <c r="B2078" t="str">
        <f>""</f>
        <v/>
      </c>
      <c r="G2078" t="str">
        <f>""</f>
        <v/>
      </c>
      <c r="H2078" t="str">
        <f>""</f>
        <v/>
      </c>
      <c r="I2078" s="4">
        <v>92.01</v>
      </c>
      <c r="J2078" t="str">
        <f t="shared" si="63"/>
        <v>MEDICARE TAXES</v>
      </c>
    </row>
    <row r="2079" spans="1:10" x14ac:dyDescent="0.25">
      <c r="A2079" t="str">
        <f>""</f>
        <v/>
      </c>
      <c r="B2079" t="str">
        <f>""</f>
        <v/>
      </c>
      <c r="G2079" t="str">
        <f>""</f>
        <v/>
      </c>
      <c r="H2079" t="str">
        <f>""</f>
        <v/>
      </c>
      <c r="I2079" s="4">
        <v>95.67</v>
      </c>
      <c r="J2079" t="str">
        <f t="shared" si="63"/>
        <v>MEDICARE TAXES</v>
      </c>
    </row>
    <row r="2080" spans="1:10" x14ac:dyDescent="0.25">
      <c r="A2080" t="str">
        <f>""</f>
        <v/>
      </c>
      <c r="B2080" t="str">
        <f>""</f>
        <v/>
      </c>
      <c r="G2080" t="str">
        <f>""</f>
        <v/>
      </c>
      <c r="H2080" t="str">
        <f>""</f>
        <v/>
      </c>
      <c r="I2080" s="4">
        <v>52.72</v>
      </c>
      <c r="J2080" t="str">
        <f t="shared" si="63"/>
        <v>MEDICARE TAXES</v>
      </c>
    </row>
    <row r="2081" spans="1:10" x14ac:dyDescent="0.25">
      <c r="A2081" t="str">
        <f>""</f>
        <v/>
      </c>
      <c r="B2081" t="str">
        <f>""</f>
        <v/>
      </c>
      <c r="G2081" t="str">
        <f>""</f>
        <v/>
      </c>
      <c r="H2081" t="str">
        <f>""</f>
        <v/>
      </c>
      <c r="I2081" s="4">
        <v>623.09</v>
      </c>
      <c r="J2081" t="str">
        <f t="shared" si="63"/>
        <v>MEDICARE TAXES</v>
      </c>
    </row>
    <row r="2082" spans="1:10" x14ac:dyDescent="0.25">
      <c r="A2082" t="str">
        <f>""</f>
        <v/>
      </c>
      <c r="B2082" t="str">
        <f>""</f>
        <v/>
      </c>
      <c r="G2082" t="str">
        <f>""</f>
        <v/>
      </c>
      <c r="H2082" t="str">
        <f>""</f>
        <v/>
      </c>
      <c r="I2082" s="4">
        <v>251.8</v>
      </c>
      <c r="J2082" t="str">
        <f t="shared" si="63"/>
        <v>MEDICARE TAXES</v>
      </c>
    </row>
    <row r="2083" spans="1:10" x14ac:dyDescent="0.25">
      <c r="A2083" t="str">
        <f>""</f>
        <v/>
      </c>
      <c r="B2083" t="str">
        <f>""</f>
        <v/>
      </c>
      <c r="G2083" t="str">
        <f>""</f>
        <v/>
      </c>
      <c r="H2083" t="str">
        <f>""</f>
        <v/>
      </c>
      <c r="I2083" s="4">
        <v>116.29</v>
      </c>
      <c r="J2083" t="str">
        <f t="shared" si="63"/>
        <v>MEDICARE TAXES</v>
      </c>
    </row>
    <row r="2084" spans="1:10" x14ac:dyDescent="0.25">
      <c r="A2084" t="str">
        <f>""</f>
        <v/>
      </c>
      <c r="B2084" t="str">
        <f>""</f>
        <v/>
      </c>
      <c r="G2084" t="str">
        <f>""</f>
        <v/>
      </c>
      <c r="H2084" t="str">
        <f>""</f>
        <v/>
      </c>
      <c r="I2084" s="4">
        <v>113.48</v>
      </c>
      <c r="J2084" t="str">
        <f t="shared" si="63"/>
        <v>MEDICARE TAXES</v>
      </c>
    </row>
    <row r="2085" spans="1:10" x14ac:dyDescent="0.25">
      <c r="A2085" t="str">
        <f>""</f>
        <v/>
      </c>
      <c r="B2085" t="str">
        <f>""</f>
        <v/>
      </c>
      <c r="G2085" t="str">
        <f>""</f>
        <v/>
      </c>
      <c r="H2085" t="str">
        <f>""</f>
        <v/>
      </c>
      <c r="I2085" s="4">
        <v>373.28</v>
      </c>
      <c r="J2085" t="str">
        <f t="shared" si="63"/>
        <v>MEDICARE TAXES</v>
      </c>
    </row>
    <row r="2086" spans="1:10" x14ac:dyDescent="0.25">
      <c r="A2086" t="str">
        <f>""</f>
        <v/>
      </c>
      <c r="B2086" t="str">
        <f>""</f>
        <v/>
      </c>
      <c r="G2086" t="str">
        <f>""</f>
        <v/>
      </c>
      <c r="H2086" t="str">
        <f>""</f>
        <v/>
      </c>
      <c r="I2086" s="4">
        <v>167.41</v>
      </c>
      <c r="J2086" t="str">
        <f t="shared" si="63"/>
        <v>MEDICARE TAXES</v>
      </c>
    </row>
    <row r="2087" spans="1:10" x14ac:dyDescent="0.25">
      <c r="A2087" t="str">
        <f>""</f>
        <v/>
      </c>
      <c r="B2087" t="str">
        <f>""</f>
        <v/>
      </c>
      <c r="G2087" t="str">
        <f>""</f>
        <v/>
      </c>
      <c r="H2087" t="str">
        <f>""</f>
        <v/>
      </c>
      <c r="I2087" s="4">
        <v>424.28</v>
      </c>
      <c r="J2087" t="str">
        <f t="shared" si="63"/>
        <v>MEDICARE TAXES</v>
      </c>
    </row>
    <row r="2088" spans="1:10" x14ac:dyDescent="0.25">
      <c r="A2088" t="str">
        <f>""</f>
        <v/>
      </c>
      <c r="B2088" t="str">
        <f>""</f>
        <v/>
      </c>
      <c r="G2088" t="str">
        <f>""</f>
        <v/>
      </c>
      <c r="H2088" t="str">
        <f>""</f>
        <v/>
      </c>
      <c r="I2088" s="4">
        <v>286.3</v>
      </c>
      <c r="J2088" t="str">
        <f t="shared" si="63"/>
        <v>MEDICARE TAXES</v>
      </c>
    </row>
    <row r="2089" spans="1:10" x14ac:dyDescent="0.25">
      <c r="A2089" t="str">
        <f>""</f>
        <v/>
      </c>
      <c r="B2089" t="str">
        <f>""</f>
        <v/>
      </c>
      <c r="G2089" t="str">
        <f>""</f>
        <v/>
      </c>
      <c r="H2089" t="str">
        <f>""</f>
        <v/>
      </c>
      <c r="I2089" s="4">
        <v>555.39</v>
      </c>
      <c r="J2089" t="str">
        <f t="shared" si="63"/>
        <v>MEDICARE TAXES</v>
      </c>
    </row>
    <row r="2090" spans="1:10" x14ac:dyDescent="0.25">
      <c r="A2090" t="str">
        <f>""</f>
        <v/>
      </c>
      <c r="B2090" t="str">
        <f>""</f>
        <v/>
      </c>
      <c r="G2090" t="str">
        <f>""</f>
        <v/>
      </c>
      <c r="H2090" t="str">
        <f>""</f>
        <v/>
      </c>
      <c r="I2090" s="4">
        <v>29.72</v>
      </c>
      <c r="J2090" t="str">
        <f t="shared" si="63"/>
        <v>MEDICARE TAXES</v>
      </c>
    </row>
    <row r="2091" spans="1:10" x14ac:dyDescent="0.25">
      <c r="A2091" t="str">
        <f>""</f>
        <v/>
      </c>
      <c r="B2091" t="str">
        <f>""</f>
        <v/>
      </c>
      <c r="G2091" t="str">
        <f>""</f>
        <v/>
      </c>
      <c r="H2091" t="str">
        <f>""</f>
        <v/>
      </c>
      <c r="I2091" s="4">
        <v>32.89</v>
      </c>
      <c r="J2091" t="str">
        <f t="shared" si="63"/>
        <v>MEDICARE TAXES</v>
      </c>
    </row>
    <row r="2092" spans="1:10" x14ac:dyDescent="0.25">
      <c r="A2092" t="str">
        <f>""</f>
        <v/>
      </c>
      <c r="B2092" t="str">
        <f>""</f>
        <v/>
      </c>
      <c r="G2092" t="str">
        <f>""</f>
        <v/>
      </c>
      <c r="H2092" t="str">
        <f>""</f>
        <v/>
      </c>
      <c r="I2092" s="4">
        <v>31.24</v>
      </c>
      <c r="J2092" t="str">
        <f t="shared" si="63"/>
        <v>MEDICARE TAXES</v>
      </c>
    </row>
    <row r="2093" spans="1:10" x14ac:dyDescent="0.25">
      <c r="A2093" t="str">
        <f>""</f>
        <v/>
      </c>
      <c r="B2093" t="str">
        <f>""</f>
        <v/>
      </c>
      <c r="G2093" t="str">
        <f>""</f>
        <v/>
      </c>
      <c r="H2093" t="str">
        <f>""</f>
        <v/>
      </c>
      <c r="I2093" s="4">
        <v>30.32</v>
      </c>
      <c r="J2093" t="str">
        <f t="shared" si="63"/>
        <v>MEDICARE TAXES</v>
      </c>
    </row>
    <row r="2094" spans="1:10" x14ac:dyDescent="0.25">
      <c r="A2094" t="str">
        <f>""</f>
        <v/>
      </c>
      <c r="B2094" t="str">
        <f>""</f>
        <v/>
      </c>
      <c r="G2094" t="str">
        <f>""</f>
        <v/>
      </c>
      <c r="H2094" t="str">
        <f>""</f>
        <v/>
      </c>
      <c r="I2094" s="4">
        <v>3183.74</v>
      </c>
      <c r="J2094" t="str">
        <f t="shared" si="63"/>
        <v>MEDICARE TAXES</v>
      </c>
    </row>
    <row r="2095" spans="1:10" x14ac:dyDescent="0.25">
      <c r="A2095" t="str">
        <f>""</f>
        <v/>
      </c>
      <c r="B2095" t="str">
        <f>""</f>
        <v/>
      </c>
      <c r="G2095" t="str">
        <f>""</f>
        <v/>
      </c>
      <c r="H2095" t="str">
        <f>""</f>
        <v/>
      </c>
      <c r="I2095" s="4">
        <v>143.47999999999999</v>
      </c>
      <c r="J2095" t="str">
        <f t="shared" si="63"/>
        <v>MEDICARE TAXES</v>
      </c>
    </row>
    <row r="2096" spans="1:10" x14ac:dyDescent="0.25">
      <c r="A2096" t="str">
        <f>""</f>
        <v/>
      </c>
      <c r="B2096" t="str">
        <f>""</f>
        <v/>
      </c>
      <c r="G2096" t="str">
        <f>""</f>
        <v/>
      </c>
      <c r="H2096" t="str">
        <f>""</f>
        <v/>
      </c>
      <c r="I2096" s="4">
        <v>2586.42</v>
      </c>
      <c r="J2096" t="str">
        <f t="shared" si="63"/>
        <v>MEDICARE TAXES</v>
      </c>
    </row>
    <row r="2097" spans="1:10" x14ac:dyDescent="0.25">
      <c r="A2097" t="str">
        <f>""</f>
        <v/>
      </c>
      <c r="B2097" t="str">
        <f>""</f>
        <v/>
      </c>
      <c r="G2097" t="str">
        <f>""</f>
        <v/>
      </c>
      <c r="H2097" t="str">
        <f>""</f>
        <v/>
      </c>
      <c r="I2097" s="4">
        <v>424.14</v>
      </c>
      <c r="J2097" t="str">
        <f t="shared" si="63"/>
        <v>MEDICARE TAXES</v>
      </c>
    </row>
    <row r="2098" spans="1:10" x14ac:dyDescent="0.25">
      <c r="A2098" t="str">
        <f>""</f>
        <v/>
      </c>
      <c r="B2098" t="str">
        <f>""</f>
        <v/>
      </c>
      <c r="G2098" t="str">
        <f>""</f>
        <v/>
      </c>
      <c r="H2098" t="str">
        <f>""</f>
        <v/>
      </c>
      <c r="I2098" s="4">
        <v>52.54</v>
      </c>
      <c r="J2098" t="str">
        <f t="shared" si="63"/>
        <v>MEDICARE TAXES</v>
      </c>
    </row>
    <row r="2099" spans="1:10" x14ac:dyDescent="0.25">
      <c r="A2099" t="str">
        <f>""</f>
        <v/>
      </c>
      <c r="B2099" t="str">
        <f>""</f>
        <v/>
      </c>
      <c r="G2099" t="str">
        <f>""</f>
        <v/>
      </c>
      <c r="H2099" t="str">
        <f>""</f>
        <v/>
      </c>
      <c r="I2099" s="4">
        <v>118.43</v>
      </c>
      <c r="J2099" t="str">
        <f t="shared" si="63"/>
        <v>MEDICARE TAXES</v>
      </c>
    </row>
    <row r="2100" spans="1:10" x14ac:dyDescent="0.25">
      <c r="A2100" t="str">
        <f>""</f>
        <v/>
      </c>
      <c r="B2100" t="str">
        <f>""</f>
        <v/>
      </c>
      <c r="G2100" t="str">
        <f>""</f>
        <v/>
      </c>
      <c r="H2100" t="str">
        <f>""</f>
        <v/>
      </c>
      <c r="I2100" s="4">
        <v>8.09</v>
      </c>
      <c r="J2100" t="str">
        <f t="shared" si="63"/>
        <v>MEDICARE TAXES</v>
      </c>
    </row>
    <row r="2101" spans="1:10" x14ac:dyDescent="0.25">
      <c r="A2101" t="str">
        <f>""</f>
        <v/>
      </c>
      <c r="B2101" t="str">
        <f>""</f>
        <v/>
      </c>
      <c r="G2101" t="str">
        <f>""</f>
        <v/>
      </c>
      <c r="H2101" t="str">
        <f>""</f>
        <v/>
      </c>
      <c r="I2101" s="4">
        <v>51.7</v>
      </c>
      <c r="J2101" t="str">
        <f t="shared" si="63"/>
        <v>MEDICARE TAXES</v>
      </c>
    </row>
    <row r="2102" spans="1:10" x14ac:dyDescent="0.25">
      <c r="A2102" t="str">
        <f>""</f>
        <v/>
      </c>
      <c r="B2102" t="str">
        <f>""</f>
        <v/>
      </c>
      <c r="G2102" t="str">
        <f>""</f>
        <v/>
      </c>
      <c r="H2102" t="str">
        <f>""</f>
        <v/>
      </c>
      <c r="I2102" s="4">
        <v>27.7</v>
      </c>
      <c r="J2102" t="str">
        <f t="shared" si="63"/>
        <v>MEDICARE TAXES</v>
      </c>
    </row>
    <row r="2103" spans="1:10" x14ac:dyDescent="0.25">
      <c r="A2103" t="str">
        <f>""</f>
        <v/>
      </c>
      <c r="B2103" t="str">
        <f>""</f>
        <v/>
      </c>
      <c r="G2103" t="str">
        <f>""</f>
        <v/>
      </c>
      <c r="H2103" t="str">
        <f>""</f>
        <v/>
      </c>
      <c r="I2103" s="4">
        <v>153.93</v>
      </c>
      <c r="J2103" t="str">
        <f t="shared" si="63"/>
        <v>MEDICARE TAXES</v>
      </c>
    </row>
    <row r="2104" spans="1:10" x14ac:dyDescent="0.25">
      <c r="A2104" t="str">
        <f>""</f>
        <v/>
      </c>
      <c r="B2104" t="str">
        <f>""</f>
        <v/>
      </c>
      <c r="G2104" t="str">
        <f>""</f>
        <v/>
      </c>
      <c r="H2104" t="str">
        <f>""</f>
        <v/>
      </c>
      <c r="I2104" s="4">
        <v>71.77</v>
      </c>
      <c r="J2104" t="str">
        <f t="shared" si="63"/>
        <v>MEDICARE TAXES</v>
      </c>
    </row>
    <row r="2105" spans="1:10" x14ac:dyDescent="0.25">
      <c r="A2105" t="str">
        <f>""</f>
        <v/>
      </c>
      <c r="B2105" t="str">
        <f>""</f>
        <v/>
      </c>
      <c r="G2105" t="str">
        <f>""</f>
        <v/>
      </c>
      <c r="H2105" t="str">
        <f>""</f>
        <v/>
      </c>
      <c r="I2105" s="4">
        <v>13.43</v>
      </c>
      <c r="J2105" t="str">
        <f t="shared" si="63"/>
        <v>MEDICARE TAXES</v>
      </c>
    </row>
    <row r="2106" spans="1:10" x14ac:dyDescent="0.25">
      <c r="A2106" t="str">
        <f>""</f>
        <v/>
      </c>
      <c r="B2106" t="str">
        <f>""</f>
        <v/>
      </c>
      <c r="G2106" t="str">
        <f>""</f>
        <v/>
      </c>
      <c r="H2106" t="str">
        <f>""</f>
        <v/>
      </c>
      <c r="I2106" s="4">
        <v>331.47</v>
      </c>
      <c r="J2106" t="str">
        <f t="shared" si="63"/>
        <v>MEDICARE TAXES</v>
      </c>
    </row>
    <row r="2107" spans="1:10" x14ac:dyDescent="0.25">
      <c r="A2107" t="str">
        <f>""</f>
        <v/>
      </c>
      <c r="B2107" t="str">
        <f>""</f>
        <v/>
      </c>
      <c r="G2107" t="str">
        <f>""</f>
        <v/>
      </c>
      <c r="H2107" t="str">
        <f>""</f>
        <v/>
      </c>
      <c r="I2107" s="4">
        <v>406.9</v>
      </c>
      <c r="J2107" t="str">
        <f t="shared" si="63"/>
        <v>MEDICARE TAXES</v>
      </c>
    </row>
    <row r="2108" spans="1:10" x14ac:dyDescent="0.25">
      <c r="A2108" t="str">
        <f>""</f>
        <v/>
      </c>
      <c r="B2108" t="str">
        <f>""</f>
        <v/>
      </c>
      <c r="G2108" t="str">
        <f>""</f>
        <v/>
      </c>
      <c r="H2108" t="str">
        <f>""</f>
        <v/>
      </c>
      <c r="I2108" s="4">
        <v>398.27</v>
      </c>
      <c r="J2108" t="str">
        <f t="shared" si="63"/>
        <v>MEDICARE TAXES</v>
      </c>
    </row>
    <row r="2109" spans="1:10" x14ac:dyDescent="0.25">
      <c r="A2109" t="str">
        <f>""</f>
        <v/>
      </c>
      <c r="B2109" t="str">
        <f>""</f>
        <v/>
      </c>
      <c r="G2109" t="str">
        <f>""</f>
        <v/>
      </c>
      <c r="H2109" t="str">
        <f>""</f>
        <v/>
      </c>
      <c r="I2109" s="4">
        <v>453.62</v>
      </c>
      <c r="J2109" t="str">
        <f t="shared" si="63"/>
        <v>MEDICARE TAXES</v>
      </c>
    </row>
    <row r="2110" spans="1:10" x14ac:dyDescent="0.25">
      <c r="A2110" t="str">
        <f>""</f>
        <v/>
      </c>
      <c r="B2110" t="str">
        <f>""</f>
        <v/>
      </c>
      <c r="G2110" t="str">
        <f>""</f>
        <v/>
      </c>
      <c r="H2110" t="str">
        <f>""</f>
        <v/>
      </c>
      <c r="I2110" s="4">
        <v>54.5</v>
      </c>
      <c r="J2110" t="str">
        <f t="shared" si="63"/>
        <v>MEDICARE TAXES</v>
      </c>
    </row>
    <row r="2111" spans="1:10" x14ac:dyDescent="0.25">
      <c r="A2111" t="str">
        <f>""</f>
        <v/>
      </c>
      <c r="B2111" t="str">
        <f>""</f>
        <v/>
      </c>
      <c r="G2111" t="str">
        <f>""</f>
        <v/>
      </c>
      <c r="H2111" t="str">
        <f>""</f>
        <v/>
      </c>
      <c r="I2111" s="4">
        <v>3.48</v>
      </c>
      <c r="J2111" t="str">
        <f t="shared" si="63"/>
        <v>MEDICARE TAXES</v>
      </c>
    </row>
    <row r="2112" spans="1:10" x14ac:dyDescent="0.25">
      <c r="A2112" t="str">
        <f>""</f>
        <v/>
      </c>
      <c r="B2112" t="str">
        <f>""</f>
        <v/>
      </c>
      <c r="G2112" t="str">
        <f>""</f>
        <v/>
      </c>
      <c r="H2112" t="str">
        <f>""</f>
        <v/>
      </c>
      <c r="I2112" s="4">
        <v>1.1200000000000001</v>
      </c>
      <c r="J2112" t="str">
        <f t="shared" si="63"/>
        <v>MEDICARE TAXES</v>
      </c>
    </row>
    <row r="2113" spans="1:10" x14ac:dyDescent="0.25">
      <c r="A2113" t="str">
        <f>""</f>
        <v/>
      </c>
      <c r="B2113" t="str">
        <f>""</f>
        <v/>
      </c>
      <c r="G2113" t="str">
        <f>""</f>
        <v/>
      </c>
      <c r="H2113" t="str">
        <f>""</f>
        <v/>
      </c>
      <c r="I2113" s="4">
        <v>4.07</v>
      </c>
      <c r="J2113" t="str">
        <f t="shared" si="63"/>
        <v>MEDICARE TAXES</v>
      </c>
    </row>
    <row r="2114" spans="1:10" x14ac:dyDescent="0.25">
      <c r="A2114" t="str">
        <f>""</f>
        <v/>
      </c>
      <c r="B2114" t="str">
        <f>""</f>
        <v/>
      </c>
      <c r="G2114" t="str">
        <f>""</f>
        <v/>
      </c>
      <c r="H2114" t="str">
        <f>""</f>
        <v/>
      </c>
      <c r="I2114" s="4">
        <v>4.84</v>
      </c>
      <c r="J2114" t="str">
        <f t="shared" si="63"/>
        <v>MEDICARE TAXES</v>
      </c>
    </row>
    <row r="2115" spans="1:10" x14ac:dyDescent="0.25">
      <c r="A2115" t="str">
        <f>""</f>
        <v/>
      </c>
      <c r="B2115" t="str">
        <f>""</f>
        <v/>
      </c>
      <c r="G2115" t="str">
        <f>""</f>
        <v/>
      </c>
      <c r="H2115" t="str">
        <f>""</f>
        <v/>
      </c>
      <c r="I2115" s="4">
        <v>88.31</v>
      </c>
      <c r="J2115" t="str">
        <f t="shared" si="63"/>
        <v>MEDICARE TAXES</v>
      </c>
    </row>
    <row r="2116" spans="1:10" x14ac:dyDescent="0.25">
      <c r="A2116" t="str">
        <f>""</f>
        <v/>
      </c>
      <c r="B2116" t="str">
        <f>""</f>
        <v/>
      </c>
      <c r="G2116" t="str">
        <f>""</f>
        <v/>
      </c>
      <c r="H2116" t="str">
        <f>""</f>
        <v/>
      </c>
      <c r="I2116" s="4">
        <v>14144.36</v>
      </c>
      <c r="J2116" t="str">
        <f t="shared" si="63"/>
        <v>MEDICARE TAXES</v>
      </c>
    </row>
    <row r="2117" spans="1:10" x14ac:dyDescent="0.25">
      <c r="A2117" t="str">
        <f>""</f>
        <v/>
      </c>
      <c r="B2117" t="str">
        <f>""</f>
        <v/>
      </c>
      <c r="G2117" t="str">
        <f>"T4 202202028716"</f>
        <v>T4 202202028716</v>
      </c>
      <c r="H2117" t="str">
        <f>"MEDICARE TAXES"</f>
        <v>MEDICARE TAXES</v>
      </c>
      <c r="I2117" s="4">
        <v>488.91</v>
      </c>
      <c r="J2117" t="str">
        <f t="shared" si="63"/>
        <v>MEDICARE TAXES</v>
      </c>
    </row>
    <row r="2118" spans="1:10" x14ac:dyDescent="0.25">
      <c r="A2118" t="str">
        <f>""</f>
        <v/>
      </c>
      <c r="B2118" t="str">
        <f>""</f>
        <v/>
      </c>
      <c r="G2118" t="str">
        <f>""</f>
        <v/>
      </c>
      <c r="H2118" t="str">
        <f>""</f>
        <v/>
      </c>
      <c r="I2118" s="4">
        <v>488.91</v>
      </c>
      <c r="J2118" t="str">
        <f t="shared" si="63"/>
        <v>MEDICARE TAXES</v>
      </c>
    </row>
    <row r="2119" spans="1:10" x14ac:dyDescent="0.25">
      <c r="A2119" t="str">
        <f>""</f>
        <v/>
      </c>
      <c r="B2119" t="str">
        <f>""</f>
        <v/>
      </c>
      <c r="G2119" t="str">
        <f>"T4 202202028717"</f>
        <v>T4 202202028717</v>
      </c>
      <c r="H2119" t="str">
        <f>"MEDICARE TAXES"</f>
        <v>MEDICARE TAXES</v>
      </c>
      <c r="I2119" s="4">
        <v>510.83</v>
      </c>
      <c r="J2119" t="str">
        <f t="shared" si="63"/>
        <v>MEDICARE TAXES</v>
      </c>
    </row>
    <row r="2120" spans="1:10" x14ac:dyDescent="0.25">
      <c r="A2120" t="str">
        <f>""</f>
        <v/>
      </c>
      <c r="B2120" t="str">
        <f>""</f>
        <v/>
      </c>
      <c r="G2120" t="str">
        <f>""</f>
        <v/>
      </c>
      <c r="H2120" t="str">
        <f>""</f>
        <v/>
      </c>
      <c r="I2120" s="4">
        <v>510.83</v>
      </c>
      <c r="J2120" t="str">
        <f t="shared" si="63"/>
        <v>MEDICARE TAXES</v>
      </c>
    </row>
    <row r="2121" spans="1:10" x14ac:dyDescent="0.25">
      <c r="A2121" t="str">
        <f>"01"</f>
        <v>01</v>
      </c>
      <c r="B2121" t="str">
        <f>"IRSPY"</f>
        <v>IRSPY</v>
      </c>
      <c r="C2121" t="s">
        <v>517</v>
      </c>
      <c r="D2121">
        <v>1606</v>
      </c>
      <c r="E2121" s="4">
        <v>246070.62</v>
      </c>
      <c r="F2121" s="5">
        <v>44610</v>
      </c>
      <c r="G2121" t="str">
        <f>"T1 202202169060"</f>
        <v>T1 202202169060</v>
      </c>
      <c r="H2121" t="str">
        <f>"FEDERAL WITHHOLDING"</f>
        <v>FEDERAL WITHHOLDING</v>
      </c>
      <c r="I2121" s="4">
        <v>79494.36</v>
      </c>
      <c r="J2121" t="str">
        <f>"FEDERAL WITHHOLDING"</f>
        <v>FEDERAL WITHHOLDING</v>
      </c>
    </row>
    <row r="2122" spans="1:10" x14ac:dyDescent="0.25">
      <c r="A2122" t="str">
        <f>""</f>
        <v/>
      </c>
      <c r="B2122" t="str">
        <f>""</f>
        <v/>
      </c>
      <c r="G2122" t="str">
        <f>"T1 202202169062"</f>
        <v>T1 202202169062</v>
      </c>
      <c r="H2122" t="str">
        <f>"FEDERAL WITHHOLDING"</f>
        <v>FEDERAL WITHHOLDING</v>
      </c>
      <c r="I2122" s="4">
        <v>2867.08</v>
      </c>
      <c r="J2122" t="str">
        <f>"FEDERAL WITHHOLDING"</f>
        <v>FEDERAL WITHHOLDING</v>
      </c>
    </row>
    <row r="2123" spans="1:10" x14ac:dyDescent="0.25">
      <c r="A2123" t="str">
        <f>""</f>
        <v/>
      </c>
      <c r="B2123" t="str">
        <f>""</f>
        <v/>
      </c>
      <c r="G2123" t="str">
        <f>"T1 202202169063"</f>
        <v>T1 202202169063</v>
      </c>
      <c r="H2123" t="str">
        <f>"FEDERAL WITHHOLDING"</f>
        <v>FEDERAL WITHHOLDING</v>
      </c>
      <c r="I2123" s="4">
        <v>2725.04</v>
      </c>
      <c r="J2123" t="str">
        <f>"FEDERAL WITHHOLDING"</f>
        <v>FEDERAL WITHHOLDING</v>
      </c>
    </row>
    <row r="2124" spans="1:10" x14ac:dyDescent="0.25">
      <c r="A2124" t="str">
        <f>""</f>
        <v/>
      </c>
      <c r="B2124" t="str">
        <f>""</f>
        <v/>
      </c>
      <c r="G2124" t="str">
        <f>"T3 202202169060"</f>
        <v>T3 202202169060</v>
      </c>
      <c r="H2124" t="str">
        <f>"SOCIAL SECURITY TAXES"</f>
        <v>SOCIAL SECURITY TAXES</v>
      </c>
      <c r="I2124" s="4">
        <v>531.22</v>
      </c>
      <c r="J2124" t="str">
        <f t="shared" ref="J2124:J2178" si="64">"SOCIAL SECURITY TAXES"</f>
        <v>SOCIAL SECURITY TAXES</v>
      </c>
    </row>
    <row r="2125" spans="1:10" x14ac:dyDescent="0.25">
      <c r="A2125" t="str">
        <f>""</f>
        <v/>
      </c>
      <c r="B2125" t="str">
        <f>""</f>
        <v/>
      </c>
      <c r="G2125" t="str">
        <f>""</f>
        <v/>
      </c>
      <c r="H2125" t="str">
        <f>""</f>
        <v/>
      </c>
      <c r="I2125" s="4">
        <v>385.58</v>
      </c>
      <c r="J2125" t="str">
        <f t="shared" si="64"/>
        <v>SOCIAL SECURITY TAXES</v>
      </c>
    </row>
    <row r="2126" spans="1:10" x14ac:dyDescent="0.25">
      <c r="A2126" t="str">
        <f>""</f>
        <v/>
      </c>
      <c r="B2126" t="str">
        <f>""</f>
        <v/>
      </c>
      <c r="G2126" t="str">
        <f>""</f>
        <v/>
      </c>
      <c r="H2126" t="str">
        <f>""</f>
        <v/>
      </c>
      <c r="I2126" s="4">
        <v>978.62</v>
      </c>
      <c r="J2126" t="str">
        <f t="shared" si="64"/>
        <v>SOCIAL SECURITY TAXES</v>
      </c>
    </row>
    <row r="2127" spans="1:10" x14ac:dyDescent="0.25">
      <c r="A2127" t="str">
        <f>""</f>
        <v/>
      </c>
      <c r="B2127" t="str">
        <f>""</f>
        <v/>
      </c>
      <c r="G2127" t="str">
        <f>""</f>
        <v/>
      </c>
      <c r="H2127" t="str">
        <f>""</f>
        <v/>
      </c>
      <c r="I2127" s="4">
        <v>413.29</v>
      </c>
      <c r="J2127" t="str">
        <f t="shared" si="64"/>
        <v>SOCIAL SECURITY TAXES</v>
      </c>
    </row>
    <row r="2128" spans="1:10" x14ac:dyDescent="0.25">
      <c r="A2128" t="str">
        <f>""</f>
        <v/>
      </c>
      <c r="B2128" t="str">
        <f>""</f>
        <v/>
      </c>
      <c r="G2128" t="str">
        <f>""</f>
        <v/>
      </c>
      <c r="H2128" t="str">
        <f>""</f>
        <v/>
      </c>
      <c r="I2128" s="4">
        <v>219.78</v>
      </c>
      <c r="J2128" t="str">
        <f t="shared" si="64"/>
        <v>SOCIAL SECURITY TAXES</v>
      </c>
    </row>
    <row r="2129" spans="1:10" x14ac:dyDescent="0.25">
      <c r="A2129" t="str">
        <f>""</f>
        <v/>
      </c>
      <c r="B2129" t="str">
        <f>""</f>
        <v/>
      </c>
      <c r="G2129" t="str">
        <f>""</f>
        <v/>
      </c>
      <c r="H2129" t="str">
        <f>""</f>
        <v/>
      </c>
      <c r="I2129" s="4">
        <v>682.04</v>
      </c>
      <c r="J2129" t="str">
        <f t="shared" si="64"/>
        <v>SOCIAL SECURITY TAXES</v>
      </c>
    </row>
    <row r="2130" spans="1:10" x14ac:dyDescent="0.25">
      <c r="A2130" t="str">
        <f>""</f>
        <v/>
      </c>
      <c r="B2130" t="str">
        <f>""</f>
        <v/>
      </c>
      <c r="G2130" t="str">
        <f>""</f>
        <v/>
      </c>
      <c r="H2130" t="str">
        <f>""</f>
        <v/>
      </c>
      <c r="I2130" s="4">
        <v>2334.52</v>
      </c>
      <c r="J2130" t="str">
        <f t="shared" si="64"/>
        <v>SOCIAL SECURITY TAXES</v>
      </c>
    </row>
    <row r="2131" spans="1:10" x14ac:dyDescent="0.25">
      <c r="A2131" t="str">
        <f>""</f>
        <v/>
      </c>
      <c r="B2131" t="str">
        <f>""</f>
        <v/>
      </c>
      <c r="G2131" t="str">
        <f>""</f>
        <v/>
      </c>
      <c r="H2131" t="str">
        <f>""</f>
        <v/>
      </c>
      <c r="I2131" s="4">
        <v>832.33</v>
      </c>
      <c r="J2131" t="str">
        <f t="shared" si="64"/>
        <v>SOCIAL SECURITY TAXES</v>
      </c>
    </row>
    <row r="2132" spans="1:10" x14ac:dyDescent="0.25">
      <c r="A2132" t="str">
        <f>""</f>
        <v/>
      </c>
      <c r="B2132" t="str">
        <f>""</f>
        <v/>
      </c>
      <c r="G2132" t="str">
        <f>""</f>
        <v/>
      </c>
      <c r="H2132" t="str">
        <f>""</f>
        <v/>
      </c>
      <c r="I2132" s="4">
        <v>791.89</v>
      </c>
      <c r="J2132" t="str">
        <f t="shared" si="64"/>
        <v>SOCIAL SECURITY TAXES</v>
      </c>
    </row>
    <row r="2133" spans="1:10" x14ac:dyDescent="0.25">
      <c r="A2133" t="str">
        <f>""</f>
        <v/>
      </c>
      <c r="B2133" t="str">
        <f>""</f>
        <v/>
      </c>
      <c r="G2133" t="str">
        <f>""</f>
        <v/>
      </c>
      <c r="H2133" t="str">
        <f>""</f>
        <v/>
      </c>
      <c r="I2133" s="4">
        <v>1519.77</v>
      </c>
      <c r="J2133" t="str">
        <f t="shared" si="64"/>
        <v>SOCIAL SECURITY TAXES</v>
      </c>
    </row>
    <row r="2134" spans="1:10" x14ac:dyDescent="0.25">
      <c r="A2134" t="str">
        <f>""</f>
        <v/>
      </c>
      <c r="B2134" t="str">
        <f>""</f>
        <v/>
      </c>
      <c r="G2134" t="str">
        <f>""</f>
        <v/>
      </c>
      <c r="H2134" t="str">
        <f>""</f>
        <v/>
      </c>
      <c r="I2134" s="4">
        <v>455.1</v>
      </c>
      <c r="J2134" t="str">
        <f t="shared" si="64"/>
        <v>SOCIAL SECURITY TAXES</v>
      </c>
    </row>
    <row r="2135" spans="1:10" x14ac:dyDescent="0.25">
      <c r="A2135" t="str">
        <f>""</f>
        <v/>
      </c>
      <c r="B2135" t="str">
        <f>""</f>
        <v/>
      </c>
      <c r="G2135" t="str">
        <f>""</f>
        <v/>
      </c>
      <c r="H2135" t="str">
        <f>""</f>
        <v/>
      </c>
      <c r="I2135" s="4">
        <v>469.52</v>
      </c>
      <c r="J2135" t="str">
        <f t="shared" si="64"/>
        <v>SOCIAL SECURITY TAXES</v>
      </c>
    </row>
    <row r="2136" spans="1:10" x14ac:dyDescent="0.25">
      <c r="A2136" t="str">
        <f>""</f>
        <v/>
      </c>
      <c r="B2136" t="str">
        <f>""</f>
        <v/>
      </c>
      <c r="G2136" t="str">
        <f>""</f>
        <v/>
      </c>
      <c r="H2136" t="str">
        <f>""</f>
        <v/>
      </c>
      <c r="I2136" s="4">
        <v>393.38</v>
      </c>
      <c r="J2136" t="str">
        <f t="shared" si="64"/>
        <v>SOCIAL SECURITY TAXES</v>
      </c>
    </row>
    <row r="2137" spans="1:10" x14ac:dyDescent="0.25">
      <c r="A2137" t="str">
        <f>""</f>
        <v/>
      </c>
      <c r="B2137" t="str">
        <f>""</f>
        <v/>
      </c>
      <c r="G2137" t="str">
        <f>""</f>
        <v/>
      </c>
      <c r="H2137" t="str">
        <f>""</f>
        <v/>
      </c>
      <c r="I2137" s="4">
        <v>409.09</v>
      </c>
      <c r="J2137" t="str">
        <f t="shared" si="64"/>
        <v>SOCIAL SECURITY TAXES</v>
      </c>
    </row>
    <row r="2138" spans="1:10" x14ac:dyDescent="0.25">
      <c r="A2138" t="str">
        <f>""</f>
        <v/>
      </c>
      <c r="B2138" t="str">
        <f>""</f>
        <v/>
      </c>
      <c r="G2138" t="str">
        <f>""</f>
        <v/>
      </c>
      <c r="H2138" t="str">
        <f>""</f>
        <v/>
      </c>
      <c r="I2138" s="4">
        <v>225.39</v>
      </c>
      <c r="J2138" t="str">
        <f t="shared" si="64"/>
        <v>SOCIAL SECURITY TAXES</v>
      </c>
    </row>
    <row r="2139" spans="1:10" x14ac:dyDescent="0.25">
      <c r="A2139" t="str">
        <f>""</f>
        <v/>
      </c>
      <c r="B2139" t="str">
        <f>""</f>
        <v/>
      </c>
      <c r="G2139" t="str">
        <f>""</f>
        <v/>
      </c>
      <c r="H2139" t="str">
        <f>""</f>
        <v/>
      </c>
      <c r="I2139" s="4">
        <v>2665.47</v>
      </c>
      <c r="J2139" t="str">
        <f t="shared" si="64"/>
        <v>SOCIAL SECURITY TAXES</v>
      </c>
    </row>
    <row r="2140" spans="1:10" x14ac:dyDescent="0.25">
      <c r="A2140" t="str">
        <f>""</f>
        <v/>
      </c>
      <c r="B2140" t="str">
        <f>""</f>
        <v/>
      </c>
      <c r="G2140" t="str">
        <f>""</f>
        <v/>
      </c>
      <c r="H2140" t="str">
        <f>""</f>
        <v/>
      </c>
      <c r="I2140" s="4">
        <v>1076.6099999999999</v>
      </c>
      <c r="J2140" t="str">
        <f t="shared" si="64"/>
        <v>SOCIAL SECURITY TAXES</v>
      </c>
    </row>
    <row r="2141" spans="1:10" x14ac:dyDescent="0.25">
      <c r="A2141" t="str">
        <f>""</f>
        <v/>
      </c>
      <c r="B2141" t="str">
        <f>""</f>
        <v/>
      </c>
      <c r="G2141" t="str">
        <f>""</f>
        <v/>
      </c>
      <c r="H2141" t="str">
        <f>""</f>
        <v/>
      </c>
      <c r="I2141" s="4">
        <v>497.27</v>
      </c>
      <c r="J2141" t="str">
        <f t="shared" si="64"/>
        <v>SOCIAL SECURITY TAXES</v>
      </c>
    </row>
    <row r="2142" spans="1:10" x14ac:dyDescent="0.25">
      <c r="A2142" t="str">
        <f>""</f>
        <v/>
      </c>
      <c r="B2142" t="str">
        <f>""</f>
        <v/>
      </c>
      <c r="G2142" t="str">
        <f>""</f>
        <v/>
      </c>
      <c r="H2142" t="str">
        <f>""</f>
        <v/>
      </c>
      <c r="I2142" s="4">
        <v>485.22</v>
      </c>
      <c r="J2142" t="str">
        <f t="shared" si="64"/>
        <v>SOCIAL SECURITY TAXES</v>
      </c>
    </row>
    <row r="2143" spans="1:10" x14ac:dyDescent="0.25">
      <c r="A2143" t="str">
        <f>""</f>
        <v/>
      </c>
      <c r="B2143" t="str">
        <f>""</f>
        <v/>
      </c>
      <c r="G2143" t="str">
        <f>""</f>
        <v/>
      </c>
      <c r="H2143" t="str">
        <f>""</f>
        <v/>
      </c>
      <c r="I2143" s="4">
        <v>1635.18</v>
      </c>
      <c r="J2143" t="str">
        <f t="shared" si="64"/>
        <v>SOCIAL SECURITY TAXES</v>
      </c>
    </row>
    <row r="2144" spans="1:10" x14ac:dyDescent="0.25">
      <c r="A2144" t="str">
        <f>""</f>
        <v/>
      </c>
      <c r="B2144" t="str">
        <f>""</f>
        <v/>
      </c>
      <c r="G2144" t="str">
        <f>""</f>
        <v/>
      </c>
      <c r="H2144" t="str">
        <f>""</f>
        <v/>
      </c>
      <c r="I2144" s="4">
        <v>748.03</v>
      </c>
      <c r="J2144" t="str">
        <f t="shared" si="64"/>
        <v>SOCIAL SECURITY TAXES</v>
      </c>
    </row>
    <row r="2145" spans="1:10" x14ac:dyDescent="0.25">
      <c r="A2145" t="str">
        <f>""</f>
        <v/>
      </c>
      <c r="B2145" t="str">
        <f>""</f>
        <v/>
      </c>
      <c r="G2145" t="str">
        <f>""</f>
        <v/>
      </c>
      <c r="H2145" t="str">
        <f>""</f>
        <v/>
      </c>
      <c r="I2145" s="4">
        <v>1802.08</v>
      </c>
      <c r="J2145" t="str">
        <f t="shared" si="64"/>
        <v>SOCIAL SECURITY TAXES</v>
      </c>
    </row>
    <row r="2146" spans="1:10" x14ac:dyDescent="0.25">
      <c r="A2146" t="str">
        <f>""</f>
        <v/>
      </c>
      <c r="B2146" t="str">
        <f>""</f>
        <v/>
      </c>
      <c r="G2146" t="str">
        <f>""</f>
        <v/>
      </c>
      <c r="H2146" t="str">
        <f>""</f>
        <v/>
      </c>
      <c r="I2146" s="4">
        <v>1224.1600000000001</v>
      </c>
      <c r="J2146" t="str">
        <f t="shared" si="64"/>
        <v>SOCIAL SECURITY TAXES</v>
      </c>
    </row>
    <row r="2147" spans="1:10" x14ac:dyDescent="0.25">
      <c r="A2147" t="str">
        <f>""</f>
        <v/>
      </c>
      <c r="B2147" t="str">
        <f>""</f>
        <v/>
      </c>
      <c r="G2147" t="str">
        <f>""</f>
        <v/>
      </c>
      <c r="H2147" t="str">
        <f>""</f>
        <v/>
      </c>
      <c r="I2147" s="4">
        <v>2442.85</v>
      </c>
      <c r="J2147" t="str">
        <f t="shared" si="64"/>
        <v>SOCIAL SECURITY TAXES</v>
      </c>
    </row>
    <row r="2148" spans="1:10" x14ac:dyDescent="0.25">
      <c r="A2148" t="str">
        <f>""</f>
        <v/>
      </c>
      <c r="B2148" t="str">
        <f>""</f>
        <v/>
      </c>
      <c r="G2148" t="str">
        <f>""</f>
        <v/>
      </c>
      <c r="H2148" t="str">
        <f>""</f>
        <v/>
      </c>
      <c r="I2148" s="4">
        <v>127.07</v>
      </c>
      <c r="J2148" t="str">
        <f t="shared" si="64"/>
        <v>SOCIAL SECURITY TAXES</v>
      </c>
    </row>
    <row r="2149" spans="1:10" x14ac:dyDescent="0.25">
      <c r="A2149" t="str">
        <f>""</f>
        <v/>
      </c>
      <c r="B2149" t="str">
        <f>""</f>
        <v/>
      </c>
      <c r="G2149" t="str">
        <f>""</f>
        <v/>
      </c>
      <c r="H2149" t="str">
        <f>""</f>
        <v/>
      </c>
      <c r="I2149" s="4">
        <v>140.62</v>
      </c>
      <c r="J2149" t="str">
        <f t="shared" si="64"/>
        <v>SOCIAL SECURITY TAXES</v>
      </c>
    </row>
    <row r="2150" spans="1:10" x14ac:dyDescent="0.25">
      <c r="A2150" t="str">
        <f>""</f>
        <v/>
      </c>
      <c r="B2150" t="str">
        <f>""</f>
        <v/>
      </c>
      <c r="G2150" t="str">
        <f>""</f>
        <v/>
      </c>
      <c r="H2150" t="str">
        <f>""</f>
        <v/>
      </c>
      <c r="I2150" s="4">
        <v>133.58000000000001</v>
      </c>
      <c r="J2150" t="str">
        <f t="shared" si="64"/>
        <v>SOCIAL SECURITY TAXES</v>
      </c>
    </row>
    <row r="2151" spans="1:10" x14ac:dyDescent="0.25">
      <c r="A2151" t="str">
        <f>""</f>
        <v/>
      </c>
      <c r="B2151" t="str">
        <f>""</f>
        <v/>
      </c>
      <c r="G2151" t="str">
        <f>""</f>
        <v/>
      </c>
      <c r="H2151" t="str">
        <f>""</f>
        <v/>
      </c>
      <c r="I2151" s="4">
        <v>129.66</v>
      </c>
      <c r="J2151" t="str">
        <f t="shared" si="64"/>
        <v>SOCIAL SECURITY TAXES</v>
      </c>
    </row>
    <row r="2152" spans="1:10" x14ac:dyDescent="0.25">
      <c r="A2152" t="str">
        <f>""</f>
        <v/>
      </c>
      <c r="B2152" t="str">
        <f>""</f>
        <v/>
      </c>
      <c r="G2152" t="str">
        <f>""</f>
        <v/>
      </c>
      <c r="H2152" t="str">
        <f>""</f>
        <v/>
      </c>
      <c r="I2152" s="4">
        <v>14119.24</v>
      </c>
      <c r="J2152" t="str">
        <f t="shared" si="64"/>
        <v>SOCIAL SECURITY TAXES</v>
      </c>
    </row>
    <row r="2153" spans="1:10" x14ac:dyDescent="0.25">
      <c r="A2153" t="str">
        <f>""</f>
        <v/>
      </c>
      <c r="B2153" t="str">
        <f>""</f>
        <v/>
      </c>
      <c r="G2153" t="str">
        <f>""</f>
        <v/>
      </c>
      <c r="H2153" t="str">
        <f>""</f>
        <v/>
      </c>
      <c r="I2153" s="4">
        <v>614.69000000000005</v>
      </c>
      <c r="J2153" t="str">
        <f t="shared" si="64"/>
        <v>SOCIAL SECURITY TAXES</v>
      </c>
    </row>
    <row r="2154" spans="1:10" x14ac:dyDescent="0.25">
      <c r="A2154" t="str">
        <f>""</f>
        <v/>
      </c>
      <c r="B2154" t="str">
        <f>""</f>
        <v/>
      </c>
      <c r="G2154" t="str">
        <f>""</f>
        <v/>
      </c>
      <c r="H2154" t="str">
        <f>""</f>
        <v/>
      </c>
      <c r="I2154" s="4">
        <v>10789.03</v>
      </c>
      <c r="J2154" t="str">
        <f t="shared" si="64"/>
        <v>SOCIAL SECURITY TAXES</v>
      </c>
    </row>
    <row r="2155" spans="1:10" x14ac:dyDescent="0.25">
      <c r="A2155" t="str">
        <f>""</f>
        <v/>
      </c>
      <c r="B2155" t="str">
        <f>""</f>
        <v/>
      </c>
      <c r="G2155" t="str">
        <f>""</f>
        <v/>
      </c>
      <c r="H2155" t="str">
        <f>""</f>
        <v/>
      </c>
      <c r="I2155" s="4">
        <v>1813.52</v>
      </c>
      <c r="J2155" t="str">
        <f t="shared" si="64"/>
        <v>SOCIAL SECURITY TAXES</v>
      </c>
    </row>
    <row r="2156" spans="1:10" x14ac:dyDescent="0.25">
      <c r="A2156" t="str">
        <f>""</f>
        <v/>
      </c>
      <c r="B2156" t="str">
        <f>""</f>
        <v/>
      </c>
      <c r="G2156" t="str">
        <f>""</f>
        <v/>
      </c>
      <c r="H2156" t="str">
        <f>""</f>
        <v/>
      </c>
      <c r="I2156" s="4">
        <v>224.67</v>
      </c>
      <c r="J2156" t="str">
        <f t="shared" si="64"/>
        <v>SOCIAL SECURITY TAXES</v>
      </c>
    </row>
    <row r="2157" spans="1:10" x14ac:dyDescent="0.25">
      <c r="A2157" t="str">
        <f>""</f>
        <v/>
      </c>
      <c r="B2157" t="str">
        <f>""</f>
        <v/>
      </c>
      <c r="G2157" t="str">
        <f>""</f>
        <v/>
      </c>
      <c r="H2157" t="str">
        <f>""</f>
        <v/>
      </c>
      <c r="I2157" s="4">
        <v>547.70000000000005</v>
      </c>
      <c r="J2157" t="str">
        <f t="shared" si="64"/>
        <v>SOCIAL SECURITY TAXES</v>
      </c>
    </row>
    <row r="2158" spans="1:10" x14ac:dyDescent="0.25">
      <c r="A2158" t="str">
        <f>""</f>
        <v/>
      </c>
      <c r="B2158" t="str">
        <f>""</f>
        <v/>
      </c>
      <c r="G2158" t="str">
        <f>""</f>
        <v/>
      </c>
      <c r="H2158" t="str">
        <f>""</f>
        <v/>
      </c>
      <c r="I2158" s="4">
        <v>34.619999999999997</v>
      </c>
      <c r="J2158" t="str">
        <f t="shared" si="64"/>
        <v>SOCIAL SECURITY TAXES</v>
      </c>
    </row>
    <row r="2159" spans="1:10" x14ac:dyDescent="0.25">
      <c r="A2159" t="str">
        <f>""</f>
        <v/>
      </c>
      <c r="B2159" t="str">
        <f>""</f>
        <v/>
      </c>
      <c r="G2159" t="str">
        <f>""</f>
        <v/>
      </c>
      <c r="H2159" t="str">
        <f>""</f>
        <v/>
      </c>
      <c r="I2159" s="4">
        <v>326.58999999999997</v>
      </c>
      <c r="J2159" t="str">
        <f t="shared" si="64"/>
        <v>SOCIAL SECURITY TAXES</v>
      </c>
    </row>
    <row r="2160" spans="1:10" x14ac:dyDescent="0.25">
      <c r="A2160" t="str">
        <f>""</f>
        <v/>
      </c>
      <c r="B2160" t="str">
        <f>""</f>
        <v/>
      </c>
      <c r="G2160" t="str">
        <f>""</f>
        <v/>
      </c>
      <c r="H2160" t="str">
        <f>""</f>
        <v/>
      </c>
      <c r="I2160" s="4">
        <v>118.44</v>
      </c>
      <c r="J2160" t="str">
        <f t="shared" si="64"/>
        <v>SOCIAL SECURITY TAXES</v>
      </c>
    </row>
    <row r="2161" spans="1:10" x14ac:dyDescent="0.25">
      <c r="A2161" t="str">
        <f>""</f>
        <v/>
      </c>
      <c r="B2161" t="str">
        <f>""</f>
        <v/>
      </c>
      <c r="G2161" t="str">
        <f>""</f>
        <v/>
      </c>
      <c r="H2161" t="str">
        <f>""</f>
        <v/>
      </c>
      <c r="I2161" s="4">
        <v>703.33</v>
      </c>
      <c r="J2161" t="str">
        <f t="shared" si="64"/>
        <v>SOCIAL SECURITY TAXES</v>
      </c>
    </row>
    <row r="2162" spans="1:10" x14ac:dyDescent="0.25">
      <c r="A2162" t="str">
        <f>""</f>
        <v/>
      </c>
      <c r="B2162" t="str">
        <f>""</f>
        <v/>
      </c>
      <c r="G2162" t="str">
        <f>""</f>
        <v/>
      </c>
      <c r="H2162" t="str">
        <f>""</f>
        <v/>
      </c>
      <c r="I2162" s="4">
        <v>306.87</v>
      </c>
      <c r="J2162" t="str">
        <f t="shared" si="64"/>
        <v>SOCIAL SECURITY TAXES</v>
      </c>
    </row>
    <row r="2163" spans="1:10" x14ac:dyDescent="0.25">
      <c r="A2163" t="str">
        <f>""</f>
        <v/>
      </c>
      <c r="B2163" t="str">
        <f>""</f>
        <v/>
      </c>
      <c r="G2163" t="str">
        <f>""</f>
        <v/>
      </c>
      <c r="H2163" t="str">
        <f>""</f>
        <v/>
      </c>
      <c r="I2163" s="4">
        <v>52.68</v>
      </c>
      <c r="J2163" t="str">
        <f t="shared" si="64"/>
        <v>SOCIAL SECURITY TAXES</v>
      </c>
    </row>
    <row r="2164" spans="1:10" x14ac:dyDescent="0.25">
      <c r="A2164" t="str">
        <f>""</f>
        <v/>
      </c>
      <c r="B2164" t="str">
        <f>""</f>
        <v/>
      </c>
      <c r="G2164" t="str">
        <f>""</f>
        <v/>
      </c>
      <c r="H2164" t="str">
        <f>""</f>
        <v/>
      </c>
      <c r="I2164" s="4">
        <v>1396.41</v>
      </c>
      <c r="J2164" t="str">
        <f t="shared" si="64"/>
        <v>SOCIAL SECURITY TAXES</v>
      </c>
    </row>
    <row r="2165" spans="1:10" x14ac:dyDescent="0.25">
      <c r="A2165" t="str">
        <f>""</f>
        <v/>
      </c>
      <c r="B2165" t="str">
        <f>""</f>
        <v/>
      </c>
      <c r="G2165" t="str">
        <f>""</f>
        <v/>
      </c>
      <c r="H2165" t="str">
        <f>""</f>
        <v/>
      </c>
      <c r="I2165" s="4">
        <v>1786.97</v>
      </c>
      <c r="J2165" t="str">
        <f t="shared" si="64"/>
        <v>SOCIAL SECURITY TAXES</v>
      </c>
    </row>
    <row r="2166" spans="1:10" x14ac:dyDescent="0.25">
      <c r="A2166" t="str">
        <f>""</f>
        <v/>
      </c>
      <c r="B2166" t="str">
        <f>""</f>
        <v/>
      </c>
      <c r="G2166" t="str">
        <f>""</f>
        <v/>
      </c>
      <c r="H2166" t="str">
        <f>""</f>
        <v/>
      </c>
      <c r="I2166" s="4">
        <v>1711.48</v>
      </c>
      <c r="J2166" t="str">
        <f t="shared" si="64"/>
        <v>SOCIAL SECURITY TAXES</v>
      </c>
    </row>
    <row r="2167" spans="1:10" x14ac:dyDescent="0.25">
      <c r="A2167" t="str">
        <f>""</f>
        <v/>
      </c>
      <c r="B2167" t="str">
        <f>""</f>
        <v/>
      </c>
      <c r="G2167" t="str">
        <f>""</f>
        <v/>
      </c>
      <c r="H2167" t="str">
        <f>""</f>
        <v/>
      </c>
      <c r="I2167" s="4">
        <v>2009.85</v>
      </c>
      <c r="J2167" t="str">
        <f t="shared" si="64"/>
        <v>SOCIAL SECURITY TAXES</v>
      </c>
    </row>
    <row r="2168" spans="1:10" x14ac:dyDescent="0.25">
      <c r="A2168" t="str">
        <f>""</f>
        <v/>
      </c>
      <c r="B2168" t="str">
        <f>""</f>
        <v/>
      </c>
      <c r="G2168" t="str">
        <f>""</f>
        <v/>
      </c>
      <c r="H2168" t="str">
        <f>""</f>
        <v/>
      </c>
      <c r="I2168" s="4">
        <v>232.98</v>
      </c>
      <c r="J2168" t="str">
        <f t="shared" si="64"/>
        <v>SOCIAL SECURITY TAXES</v>
      </c>
    </row>
    <row r="2169" spans="1:10" x14ac:dyDescent="0.25">
      <c r="A2169" t="str">
        <f>""</f>
        <v/>
      </c>
      <c r="B2169" t="str">
        <f>""</f>
        <v/>
      </c>
      <c r="G2169" t="str">
        <f>""</f>
        <v/>
      </c>
      <c r="H2169" t="str">
        <f>""</f>
        <v/>
      </c>
      <c r="I2169" s="4">
        <v>14.9</v>
      </c>
      <c r="J2169" t="str">
        <f t="shared" si="64"/>
        <v>SOCIAL SECURITY TAXES</v>
      </c>
    </row>
    <row r="2170" spans="1:10" x14ac:dyDescent="0.25">
      <c r="A2170" t="str">
        <f>""</f>
        <v/>
      </c>
      <c r="B2170" t="str">
        <f>""</f>
        <v/>
      </c>
      <c r="G2170" t="str">
        <f>""</f>
        <v/>
      </c>
      <c r="H2170" t="str">
        <f>""</f>
        <v/>
      </c>
      <c r="I2170" s="4">
        <v>4.8</v>
      </c>
      <c r="J2170" t="str">
        <f t="shared" si="64"/>
        <v>SOCIAL SECURITY TAXES</v>
      </c>
    </row>
    <row r="2171" spans="1:10" x14ac:dyDescent="0.25">
      <c r="A2171" t="str">
        <f>""</f>
        <v/>
      </c>
      <c r="B2171" t="str">
        <f>""</f>
        <v/>
      </c>
      <c r="G2171" t="str">
        <f>""</f>
        <v/>
      </c>
      <c r="H2171" t="str">
        <f>""</f>
        <v/>
      </c>
      <c r="I2171" s="4">
        <v>17.39</v>
      </c>
      <c r="J2171" t="str">
        <f t="shared" si="64"/>
        <v>SOCIAL SECURITY TAXES</v>
      </c>
    </row>
    <row r="2172" spans="1:10" x14ac:dyDescent="0.25">
      <c r="A2172" t="str">
        <f>""</f>
        <v/>
      </c>
      <c r="B2172" t="str">
        <f>""</f>
        <v/>
      </c>
      <c r="G2172" t="str">
        <f>""</f>
        <v/>
      </c>
      <c r="H2172" t="str">
        <f>""</f>
        <v/>
      </c>
      <c r="I2172" s="4">
        <v>20.71</v>
      </c>
      <c r="J2172" t="str">
        <f t="shared" si="64"/>
        <v>SOCIAL SECURITY TAXES</v>
      </c>
    </row>
    <row r="2173" spans="1:10" x14ac:dyDescent="0.25">
      <c r="A2173" t="str">
        <f>""</f>
        <v/>
      </c>
      <c r="B2173" t="str">
        <f>""</f>
        <v/>
      </c>
      <c r="G2173" t="str">
        <f>""</f>
        <v/>
      </c>
      <c r="H2173" t="str">
        <f>""</f>
        <v/>
      </c>
      <c r="I2173" s="4">
        <v>377.6</v>
      </c>
      <c r="J2173" t="str">
        <f t="shared" si="64"/>
        <v>SOCIAL SECURITY TAXES</v>
      </c>
    </row>
    <row r="2174" spans="1:10" x14ac:dyDescent="0.25">
      <c r="A2174" t="str">
        <f>""</f>
        <v/>
      </c>
      <c r="B2174" t="str">
        <f>""</f>
        <v/>
      </c>
      <c r="G2174" t="str">
        <f>""</f>
        <v/>
      </c>
      <c r="H2174" t="str">
        <f>""</f>
        <v/>
      </c>
      <c r="I2174" s="4">
        <v>60973.79</v>
      </c>
      <c r="J2174" t="str">
        <f t="shared" si="64"/>
        <v>SOCIAL SECURITY TAXES</v>
      </c>
    </row>
    <row r="2175" spans="1:10" x14ac:dyDescent="0.25">
      <c r="A2175" t="str">
        <f>""</f>
        <v/>
      </c>
      <c r="B2175" t="str">
        <f>""</f>
        <v/>
      </c>
      <c r="G2175" t="str">
        <f>"T3 202202169062"</f>
        <v>T3 202202169062</v>
      </c>
      <c r="H2175" t="str">
        <f>"SOCIAL SECURITY TAXES"</f>
        <v>SOCIAL SECURITY TAXES</v>
      </c>
      <c r="I2175" s="4">
        <v>2006.21</v>
      </c>
      <c r="J2175" t="str">
        <f t="shared" si="64"/>
        <v>SOCIAL SECURITY TAXES</v>
      </c>
    </row>
    <row r="2176" spans="1:10" x14ac:dyDescent="0.25">
      <c r="A2176" t="str">
        <f>""</f>
        <v/>
      </c>
      <c r="B2176" t="str">
        <f>""</f>
        <v/>
      </c>
      <c r="G2176" t="str">
        <f>""</f>
        <v/>
      </c>
      <c r="H2176" t="str">
        <f>""</f>
        <v/>
      </c>
      <c r="I2176" s="4">
        <v>2006.21</v>
      </c>
      <c r="J2176" t="str">
        <f t="shared" si="64"/>
        <v>SOCIAL SECURITY TAXES</v>
      </c>
    </row>
    <row r="2177" spans="1:10" x14ac:dyDescent="0.25">
      <c r="A2177" t="str">
        <f>""</f>
        <v/>
      </c>
      <c r="B2177" t="str">
        <f>""</f>
        <v/>
      </c>
      <c r="G2177" t="str">
        <f>"T3 202202169063"</f>
        <v>T3 202202169063</v>
      </c>
      <c r="H2177" t="str">
        <f>"SOCIAL SECURITY TAXES"</f>
        <v>SOCIAL SECURITY TAXES</v>
      </c>
      <c r="I2177" s="4">
        <v>2255.33</v>
      </c>
      <c r="J2177" t="str">
        <f t="shared" si="64"/>
        <v>SOCIAL SECURITY TAXES</v>
      </c>
    </row>
    <row r="2178" spans="1:10" x14ac:dyDescent="0.25">
      <c r="A2178" t="str">
        <f>""</f>
        <v/>
      </c>
      <c r="B2178" t="str">
        <f>""</f>
        <v/>
      </c>
      <c r="G2178" t="str">
        <f>""</f>
        <v/>
      </c>
      <c r="H2178" t="str">
        <f>""</f>
        <v/>
      </c>
      <c r="I2178" s="4">
        <v>2255.33</v>
      </c>
      <c r="J2178" t="str">
        <f t="shared" si="64"/>
        <v>SOCIAL SECURITY TAXES</v>
      </c>
    </row>
    <row r="2179" spans="1:10" x14ac:dyDescent="0.25">
      <c r="A2179" t="str">
        <f>""</f>
        <v/>
      </c>
      <c r="B2179" t="str">
        <f>""</f>
        <v/>
      </c>
      <c r="G2179" t="str">
        <f>"T4 202202169060"</f>
        <v>T4 202202169060</v>
      </c>
      <c r="H2179" t="str">
        <f>"MEDICARE TAXES"</f>
        <v>MEDICARE TAXES</v>
      </c>
      <c r="I2179" s="4">
        <v>124.24</v>
      </c>
      <c r="J2179" t="str">
        <f t="shared" ref="J2179:J2233" si="65">"MEDICARE TAXES"</f>
        <v>MEDICARE TAXES</v>
      </c>
    </row>
    <row r="2180" spans="1:10" x14ac:dyDescent="0.25">
      <c r="A2180" t="str">
        <f>""</f>
        <v/>
      </c>
      <c r="B2180" t="str">
        <f>""</f>
        <v/>
      </c>
      <c r="G2180" t="str">
        <f>""</f>
        <v/>
      </c>
      <c r="H2180" t="str">
        <f>""</f>
        <v/>
      </c>
      <c r="I2180" s="4">
        <v>90.19</v>
      </c>
      <c r="J2180" t="str">
        <f t="shared" si="65"/>
        <v>MEDICARE TAXES</v>
      </c>
    </row>
    <row r="2181" spans="1:10" x14ac:dyDescent="0.25">
      <c r="A2181" t="str">
        <f>""</f>
        <v/>
      </c>
      <c r="B2181" t="str">
        <f>""</f>
        <v/>
      </c>
      <c r="G2181" t="str">
        <f>""</f>
        <v/>
      </c>
      <c r="H2181" t="str">
        <f>""</f>
        <v/>
      </c>
      <c r="I2181" s="4">
        <v>228.86</v>
      </c>
      <c r="J2181" t="str">
        <f t="shared" si="65"/>
        <v>MEDICARE TAXES</v>
      </c>
    </row>
    <row r="2182" spans="1:10" x14ac:dyDescent="0.25">
      <c r="A2182" t="str">
        <f>""</f>
        <v/>
      </c>
      <c r="B2182" t="str">
        <f>""</f>
        <v/>
      </c>
      <c r="G2182" t="str">
        <f>""</f>
        <v/>
      </c>
      <c r="H2182" t="str">
        <f>""</f>
        <v/>
      </c>
      <c r="I2182" s="4">
        <v>96.66</v>
      </c>
      <c r="J2182" t="str">
        <f t="shared" si="65"/>
        <v>MEDICARE TAXES</v>
      </c>
    </row>
    <row r="2183" spans="1:10" x14ac:dyDescent="0.25">
      <c r="A2183" t="str">
        <f>""</f>
        <v/>
      </c>
      <c r="B2183" t="str">
        <f>""</f>
        <v/>
      </c>
      <c r="G2183" t="str">
        <f>""</f>
        <v/>
      </c>
      <c r="H2183" t="str">
        <f>""</f>
        <v/>
      </c>
      <c r="I2183" s="4">
        <v>51.4</v>
      </c>
      <c r="J2183" t="str">
        <f t="shared" si="65"/>
        <v>MEDICARE TAXES</v>
      </c>
    </row>
    <row r="2184" spans="1:10" x14ac:dyDescent="0.25">
      <c r="A2184" t="str">
        <f>""</f>
        <v/>
      </c>
      <c r="B2184" t="str">
        <f>""</f>
        <v/>
      </c>
      <c r="G2184" t="str">
        <f>""</f>
        <v/>
      </c>
      <c r="H2184" t="str">
        <f>""</f>
        <v/>
      </c>
      <c r="I2184" s="4">
        <v>159.51</v>
      </c>
      <c r="J2184" t="str">
        <f t="shared" si="65"/>
        <v>MEDICARE TAXES</v>
      </c>
    </row>
    <row r="2185" spans="1:10" x14ac:dyDescent="0.25">
      <c r="A2185" t="str">
        <f>""</f>
        <v/>
      </c>
      <c r="B2185" t="str">
        <f>""</f>
        <v/>
      </c>
      <c r="G2185" t="str">
        <f>""</f>
        <v/>
      </c>
      <c r="H2185" t="str">
        <f>""</f>
        <v/>
      </c>
      <c r="I2185" s="4">
        <v>545.98</v>
      </c>
      <c r="J2185" t="str">
        <f t="shared" si="65"/>
        <v>MEDICARE TAXES</v>
      </c>
    </row>
    <row r="2186" spans="1:10" x14ac:dyDescent="0.25">
      <c r="A2186" t="str">
        <f>""</f>
        <v/>
      </c>
      <c r="B2186" t="str">
        <f>""</f>
        <v/>
      </c>
      <c r="G2186" t="str">
        <f>""</f>
        <v/>
      </c>
      <c r="H2186" t="str">
        <f>""</f>
        <v/>
      </c>
      <c r="I2186" s="4">
        <v>194.66</v>
      </c>
      <c r="J2186" t="str">
        <f t="shared" si="65"/>
        <v>MEDICARE TAXES</v>
      </c>
    </row>
    <row r="2187" spans="1:10" x14ac:dyDescent="0.25">
      <c r="A2187" t="str">
        <f>""</f>
        <v/>
      </c>
      <c r="B2187" t="str">
        <f>""</f>
        <v/>
      </c>
      <c r="G2187" t="str">
        <f>""</f>
        <v/>
      </c>
      <c r="H2187" t="str">
        <f>""</f>
        <v/>
      </c>
      <c r="I2187" s="4">
        <v>185.2</v>
      </c>
      <c r="J2187" t="str">
        <f t="shared" si="65"/>
        <v>MEDICARE TAXES</v>
      </c>
    </row>
    <row r="2188" spans="1:10" x14ac:dyDescent="0.25">
      <c r="A2188" t="str">
        <f>""</f>
        <v/>
      </c>
      <c r="B2188" t="str">
        <f>""</f>
        <v/>
      </c>
      <c r="G2188" t="str">
        <f>""</f>
        <v/>
      </c>
      <c r="H2188" t="str">
        <f>""</f>
        <v/>
      </c>
      <c r="I2188" s="4">
        <v>355.42</v>
      </c>
      <c r="J2188" t="str">
        <f t="shared" si="65"/>
        <v>MEDICARE TAXES</v>
      </c>
    </row>
    <row r="2189" spans="1:10" x14ac:dyDescent="0.25">
      <c r="A2189" t="str">
        <f>""</f>
        <v/>
      </c>
      <c r="B2189" t="str">
        <f>""</f>
        <v/>
      </c>
      <c r="G2189" t="str">
        <f>""</f>
        <v/>
      </c>
      <c r="H2189" t="str">
        <f>""</f>
        <v/>
      </c>
      <c r="I2189" s="4">
        <v>106.44</v>
      </c>
      <c r="J2189" t="str">
        <f t="shared" si="65"/>
        <v>MEDICARE TAXES</v>
      </c>
    </row>
    <row r="2190" spans="1:10" x14ac:dyDescent="0.25">
      <c r="A2190" t="str">
        <f>""</f>
        <v/>
      </c>
      <c r="B2190" t="str">
        <f>""</f>
        <v/>
      </c>
      <c r="G2190" t="str">
        <f>""</f>
        <v/>
      </c>
      <c r="H2190" t="str">
        <f>""</f>
        <v/>
      </c>
      <c r="I2190" s="4">
        <v>109.8</v>
      </c>
      <c r="J2190" t="str">
        <f t="shared" si="65"/>
        <v>MEDICARE TAXES</v>
      </c>
    </row>
    <row r="2191" spans="1:10" x14ac:dyDescent="0.25">
      <c r="A2191" t="str">
        <f>""</f>
        <v/>
      </c>
      <c r="B2191" t="str">
        <f>""</f>
        <v/>
      </c>
      <c r="G2191" t="str">
        <f>""</f>
        <v/>
      </c>
      <c r="H2191" t="str">
        <f>""</f>
        <v/>
      </c>
      <c r="I2191" s="4">
        <v>92.01</v>
      </c>
      <c r="J2191" t="str">
        <f t="shared" si="65"/>
        <v>MEDICARE TAXES</v>
      </c>
    </row>
    <row r="2192" spans="1:10" x14ac:dyDescent="0.25">
      <c r="A2192" t="str">
        <f>""</f>
        <v/>
      </c>
      <c r="B2192" t="str">
        <f>""</f>
        <v/>
      </c>
      <c r="G2192" t="str">
        <f>""</f>
        <v/>
      </c>
      <c r="H2192" t="str">
        <f>""</f>
        <v/>
      </c>
      <c r="I2192" s="4">
        <v>95.67</v>
      </c>
      <c r="J2192" t="str">
        <f t="shared" si="65"/>
        <v>MEDICARE TAXES</v>
      </c>
    </row>
    <row r="2193" spans="1:10" x14ac:dyDescent="0.25">
      <c r="A2193" t="str">
        <f>""</f>
        <v/>
      </c>
      <c r="B2193" t="str">
        <f>""</f>
        <v/>
      </c>
      <c r="G2193" t="str">
        <f>""</f>
        <v/>
      </c>
      <c r="H2193" t="str">
        <f>""</f>
        <v/>
      </c>
      <c r="I2193" s="4">
        <v>52.72</v>
      </c>
      <c r="J2193" t="str">
        <f t="shared" si="65"/>
        <v>MEDICARE TAXES</v>
      </c>
    </row>
    <row r="2194" spans="1:10" x14ac:dyDescent="0.25">
      <c r="A2194" t="str">
        <f>""</f>
        <v/>
      </c>
      <c r="B2194" t="str">
        <f>""</f>
        <v/>
      </c>
      <c r="G2194" t="str">
        <f>""</f>
        <v/>
      </c>
      <c r="H2194" t="str">
        <f>""</f>
        <v/>
      </c>
      <c r="I2194" s="4">
        <v>623.4</v>
      </c>
      <c r="J2194" t="str">
        <f t="shared" si="65"/>
        <v>MEDICARE TAXES</v>
      </c>
    </row>
    <row r="2195" spans="1:10" x14ac:dyDescent="0.25">
      <c r="A2195" t="str">
        <f>""</f>
        <v/>
      </c>
      <c r="B2195" t="str">
        <f>""</f>
        <v/>
      </c>
      <c r="G2195" t="str">
        <f>""</f>
        <v/>
      </c>
      <c r="H2195" t="str">
        <f>""</f>
        <v/>
      </c>
      <c r="I2195" s="4">
        <v>251.8</v>
      </c>
      <c r="J2195" t="str">
        <f t="shared" si="65"/>
        <v>MEDICARE TAXES</v>
      </c>
    </row>
    <row r="2196" spans="1:10" x14ac:dyDescent="0.25">
      <c r="A2196" t="str">
        <f>""</f>
        <v/>
      </c>
      <c r="B2196" t="str">
        <f>""</f>
        <v/>
      </c>
      <c r="G2196" t="str">
        <f>""</f>
        <v/>
      </c>
      <c r="H2196" t="str">
        <f>""</f>
        <v/>
      </c>
      <c r="I2196" s="4">
        <v>116.29</v>
      </c>
      <c r="J2196" t="str">
        <f t="shared" si="65"/>
        <v>MEDICARE TAXES</v>
      </c>
    </row>
    <row r="2197" spans="1:10" x14ac:dyDescent="0.25">
      <c r="A2197" t="str">
        <f>""</f>
        <v/>
      </c>
      <c r="B2197" t="str">
        <f>""</f>
        <v/>
      </c>
      <c r="G2197" t="str">
        <f>""</f>
        <v/>
      </c>
      <c r="H2197" t="str">
        <f>""</f>
        <v/>
      </c>
      <c r="I2197" s="4">
        <v>113.48</v>
      </c>
      <c r="J2197" t="str">
        <f t="shared" si="65"/>
        <v>MEDICARE TAXES</v>
      </c>
    </row>
    <row r="2198" spans="1:10" x14ac:dyDescent="0.25">
      <c r="A2198" t="str">
        <f>""</f>
        <v/>
      </c>
      <c r="B2198" t="str">
        <f>""</f>
        <v/>
      </c>
      <c r="G2198" t="str">
        <f>""</f>
        <v/>
      </c>
      <c r="H2198" t="str">
        <f>""</f>
        <v/>
      </c>
      <c r="I2198" s="4">
        <v>382.42</v>
      </c>
      <c r="J2198" t="str">
        <f t="shared" si="65"/>
        <v>MEDICARE TAXES</v>
      </c>
    </row>
    <row r="2199" spans="1:10" x14ac:dyDescent="0.25">
      <c r="A2199" t="str">
        <f>""</f>
        <v/>
      </c>
      <c r="B2199" t="str">
        <f>""</f>
        <v/>
      </c>
      <c r="G2199" t="str">
        <f>""</f>
        <v/>
      </c>
      <c r="H2199" t="str">
        <f>""</f>
        <v/>
      </c>
      <c r="I2199" s="4">
        <v>174.94</v>
      </c>
      <c r="J2199" t="str">
        <f t="shared" si="65"/>
        <v>MEDICARE TAXES</v>
      </c>
    </row>
    <row r="2200" spans="1:10" x14ac:dyDescent="0.25">
      <c r="A2200" t="str">
        <f>""</f>
        <v/>
      </c>
      <c r="B2200" t="str">
        <f>""</f>
        <v/>
      </c>
      <c r="G2200" t="str">
        <f>""</f>
        <v/>
      </c>
      <c r="H2200" t="str">
        <f>""</f>
        <v/>
      </c>
      <c r="I2200" s="4">
        <v>421.46</v>
      </c>
      <c r="J2200" t="str">
        <f t="shared" si="65"/>
        <v>MEDICARE TAXES</v>
      </c>
    </row>
    <row r="2201" spans="1:10" x14ac:dyDescent="0.25">
      <c r="A2201" t="str">
        <f>""</f>
        <v/>
      </c>
      <c r="B2201" t="str">
        <f>""</f>
        <v/>
      </c>
      <c r="G2201" t="str">
        <f>""</f>
        <v/>
      </c>
      <c r="H2201" t="str">
        <f>""</f>
        <v/>
      </c>
      <c r="I2201" s="4">
        <v>286.3</v>
      </c>
      <c r="J2201" t="str">
        <f t="shared" si="65"/>
        <v>MEDICARE TAXES</v>
      </c>
    </row>
    <row r="2202" spans="1:10" x14ac:dyDescent="0.25">
      <c r="A2202" t="str">
        <f>""</f>
        <v/>
      </c>
      <c r="B2202" t="str">
        <f>""</f>
        <v/>
      </c>
      <c r="G2202" t="str">
        <f>""</f>
        <v/>
      </c>
      <c r="H2202" t="str">
        <f>""</f>
        <v/>
      </c>
      <c r="I2202" s="4">
        <v>571.29999999999995</v>
      </c>
      <c r="J2202" t="str">
        <f t="shared" si="65"/>
        <v>MEDICARE TAXES</v>
      </c>
    </row>
    <row r="2203" spans="1:10" x14ac:dyDescent="0.25">
      <c r="A2203" t="str">
        <f>""</f>
        <v/>
      </c>
      <c r="B2203" t="str">
        <f>""</f>
        <v/>
      </c>
      <c r="G2203" t="str">
        <f>""</f>
        <v/>
      </c>
      <c r="H2203" t="str">
        <f>""</f>
        <v/>
      </c>
      <c r="I2203" s="4">
        <v>29.72</v>
      </c>
      <c r="J2203" t="str">
        <f t="shared" si="65"/>
        <v>MEDICARE TAXES</v>
      </c>
    </row>
    <row r="2204" spans="1:10" x14ac:dyDescent="0.25">
      <c r="A2204" t="str">
        <f>""</f>
        <v/>
      </c>
      <c r="B2204" t="str">
        <f>""</f>
        <v/>
      </c>
      <c r="G2204" t="str">
        <f>""</f>
        <v/>
      </c>
      <c r="H2204" t="str">
        <f>""</f>
        <v/>
      </c>
      <c r="I2204" s="4">
        <v>32.89</v>
      </c>
      <c r="J2204" t="str">
        <f t="shared" si="65"/>
        <v>MEDICARE TAXES</v>
      </c>
    </row>
    <row r="2205" spans="1:10" x14ac:dyDescent="0.25">
      <c r="A2205" t="str">
        <f>""</f>
        <v/>
      </c>
      <c r="B2205" t="str">
        <f>""</f>
        <v/>
      </c>
      <c r="G2205" t="str">
        <f>""</f>
        <v/>
      </c>
      <c r="H2205" t="str">
        <f>""</f>
        <v/>
      </c>
      <c r="I2205" s="4">
        <v>31.24</v>
      </c>
      <c r="J2205" t="str">
        <f t="shared" si="65"/>
        <v>MEDICARE TAXES</v>
      </c>
    </row>
    <row r="2206" spans="1:10" x14ac:dyDescent="0.25">
      <c r="A2206" t="str">
        <f>""</f>
        <v/>
      </c>
      <c r="B2206" t="str">
        <f>""</f>
        <v/>
      </c>
      <c r="G2206" t="str">
        <f>""</f>
        <v/>
      </c>
      <c r="H2206" t="str">
        <f>""</f>
        <v/>
      </c>
      <c r="I2206" s="4">
        <v>30.32</v>
      </c>
      <c r="J2206" t="str">
        <f t="shared" si="65"/>
        <v>MEDICARE TAXES</v>
      </c>
    </row>
    <row r="2207" spans="1:10" x14ac:dyDescent="0.25">
      <c r="A2207" t="str">
        <f>""</f>
        <v/>
      </c>
      <c r="B2207" t="str">
        <f>""</f>
        <v/>
      </c>
      <c r="G2207" t="str">
        <f>""</f>
        <v/>
      </c>
      <c r="H2207" t="str">
        <f>""</f>
        <v/>
      </c>
      <c r="I2207" s="4">
        <v>3301.99</v>
      </c>
      <c r="J2207" t="str">
        <f t="shared" si="65"/>
        <v>MEDICARE TAXES</v>
      </c>
    </row>
    <row r="2208" spans="1:10" x14ac:dyDescent="0.25">
      <c r="A2208" t="str">
        <f>""</f>
        <v/>
      </c>
      <c r="B2208" t="str">
        <f>""</f>
        <v/>
      </c>
      <c r="G2208" t="str">
        <f>""</f>
        <v/>
      </c>
      <c r="H2208" t="str">
        <f>""</f>
        <v/>
      </c>
      <c r="I2208" s="4">
        <v>143.76</v>
      </c>
      <c r="J2208" t="str">
        <f t="shared" si="65"/>
        <v>MEDICARE TAXES</v>
      </c>
    </row>
    <row r="2209" spans="1:10" x14ac:dyDescent="0.25">
      <c r="A2209" t="str">
        <f>""</f>
        <v/>
      </c>
      <c r="B2209" t="str">
        <f>""</f>
        <v/>
      </c>
      <c r="G2209" t="str">
        <f>""</f>
        <v/>
      </c>
      <c r="H2209" t="str">
        <f>""</f>
        <v/>
      </c>
      <c r="I2209" s="4">
        <v>2523.36</v>
      </c>
      <c r="J2209" t="str">
        <f t="shared" si="65"/>
        <v>MEDICARE TAXES</v>
      </c>
    </row>
    <row r="2210" spans="1:10" x14ac:dyDescent="0.25">
      <c r="A2210" t="str">
        <f>""</f>
        <v/>
      </c>
      <c r="B2210" t="str">
        <f>""</f>
        <v/>
      </c>
      <c r="G2210" t="str">
        <f>""</f>
        <v/>
      </c>
      <c r="H2210" t="str">
        <f>""</f>
        <v/>
      </c>
      <c r="I2210" s="4">
        <v>424.14</v>
      </c>
      <c r="J2210" t="str">
        <f t="shared" si="65"/>
        <v>MEDICARE TAXES</v>
      </c>
    </row>
    <row r="2211" spans="1:10" x14ac:dyDescent="0.25">
      <c r="A2211" t="str">
        <f>""</f>
        <v/>
      </c>
      <c r="B2211" t="str">
        <f>""</f>
        <v/>
      </c>
      <c r="G2211" t="str">
        <f>""</f>
        <v/>
      </c>
      <c r="H2211" t="str">
        <f>""</f>
        <v/>
      </c>
      <c r="I2211" s="4">
        <v>52.54</v>
      </c>
      <c r="J2211" t="str">
        <f t="shared" si="65"/>
        <v>MEDICARE TAXES</v>
      </c>
    </row>
    <row r="2212" spans="1:10" x14ac:dyDescent="0.25">
      <c r="A2212" t="str">
        <f>""</f>
        <v/>
      </c>
      <c r="B2212" t="str">
        <f>""</f>
        <v/>
      </c>
      <c r="G2212" t="str">
        <f>""</f>
        <v/>
      </c>
      <c r="H2212" t="str">
        <f>""</f>
        <v/>
      </c>
      <c r="I2212" s="4">
        <v>128.08000000000001</v>
      </c>
      <c r="J2212" t="str">
        <f t="shared" si="65"/>
        <v>MEDICARE TAXES</v>
      </c>
    </row>
    <row r="2213" spans="1:10" x14ac:dyDescent="0.25">
      <c r="A2213" t="str">
        <f>""</f>
        <v/>
      </c>
      <c r="B2213" t="str">
        <f>""</f>
        <v/>
      </c>
      <c r="G2213" t="str">
        <f>""</f>
        <v/>
      </c>
      <c r="H2213" t="str">
        <f>""</f>
        <v/>
      </c>
      <c r="I2213" s="4">
        <v>8.09</v>
      </c>
      <c r="J2213" t="str">
        <f t="shared" si="65"/>
        <v>MEDICARE TAXES</v>
      </c>
    </row>
    <row r="2214" spans="1:10" x14ac:dyDescent="0.25">
      <c r="A2214" t="str">
        <f>""</f>
        <v/>
      </c>
      <c r="B2214" t="str">
        <f>""</f>
        <v/>
      </c>
      <c r="G2214" t="str">
        <f>""</f>
        <v/>
      </c>
      <c r="H2214" t="str">
        <f>""</f>
        <v/>
      </c>
      <c r="I2214" s="4">
        <v>76.38</v>
      </c>
      <c r="J2214" t="str">
        <f t="shared" si="65"/>
        <v>MEDICARE TAXES</v>
      </c>
    </row>
    <row r="2215" spans="1:10" x14ac:dyDescent="0.25">
      <c r="A2215" t="str">
        <f>""</f>
        <v/>
      </c>
      <c r="B2215" t="str">
        <f>""</f>
        <v/>
      </c>
      <c r="G2215" t="str">
        <f>""</f>
        <v/>
      </c>
      <c r="H2215" t="str">
        <f>""</f>
        <v/>
      </c>
      <c r="I2215" s="4">
        <v>27.7</v>
      </c>
      <c r="J2215" t="str">
        <f t="shared" si="65"/>
        <v>MEDICARE TAXES</v>
      </c>
    </row>
    <row r="2216" spans="1:10" x14ac:dyDescent="0.25">
      <c r="A2216" t="str">
        <f>""</f>
        <v/>
      </c>
      <c r="B2216" t="str">
        <f>""</f>
        <v/>
      </c>
      <c r="G2216" t="str">
        <f>""</f>
        <v/>
      </c>
      <c r="H2216" t="str">
        <f>""</f>
        <v/>
      </c>
      <c r="I2216" s="4">
        <v>164.5</v>
      </c>
      <c r="J2216" t="str">
        <f t="shared" si="65"/>
        <v>MEDICARE TAXES</v>
      </c>
    </row>
    <row r="2217" spans="1:10" x14ac:dyDescent="0.25">
      <c r="A2217" t="str">
        <f>""</f>
        <v/>
      </c>
      <c r="B2217" t="str">
        <f>""</f>
        <v/>
      </c>
      <c r="G2217" t="str">
        <f>""</f>
        <v/>
      </c>
      <c r="H2217" t="str">
        <f>""</f>
        <v/>
      </c>
      <c r="I2217" s="4">
        <v>71.77</v>
      </c>
      <c r="J2217" t="str">
        <f t="shared" si="65"/>
        <v>MEDICARE TAXES</v>
      </c>
    </row>
    <row r="2218" spans="1:10" x14ac:dyDescent="0.25">
      <c r="A2218" t="str">
        <f>""</f>
        <v/>
      </c>
      <c r="B2218" t="str">
        <f>""</f>
        <v/>
      </c>
      <c r="G2218" t="str">
        <f>""</f>
        <v/>
      </c>
      <c r="H2218" t="str">
        <f>""</f>
        <v/>
      </c>
      <c r="I2218" s="4">
        <v>12.33</v>
      </c>
      <c r="J2218" t="str">
        <f t="shared" si="65"/>
        <v>MEDICARE TAXES</v>
      </c>
    </row>
    <row r="2219" spans="1:10" x14ac:dyDescent="0.25">
      <c r="A2219" t="str">
        <f>""</f>
        <v/>
      </c>
      <c r="B2219" t="str">
        <f>""</f>
        <v/>
      </c>
      <c r="G2219" t="str">
        <f>""</f>
        <v/>
      </c>
      <c r="H2219" t="str">
        <f>""</f>
        <v/>
      </c>
      <c r="I2219" s="4">
        <v>326.58999999999997</v>
      </c>
      <c r="J2219" t="str">
        <f t="shared" si="65"/>
        <v>MEDICARE TAXES</v>
      </c>
    </row>
    <row r="2220" spans="1:10" x14ac:dyDescent="0.25">
      <c r="A2220" t="str">
        <f>""</f>
        <v/>
      </c>
      <c r="B2220" t="str">
        <f>""</f>
        <v/>
      </c>
      <c r="G2220" t="str">
        <f>""</f>
        <v/>
      </c>
      <c r="H2220" t="str">
        <f>""</f>
        <v/>
      </c>
      <c r="I2220" s="4">
        <v>417.92</v>
      </c>
      <c r="J2220" t="str">
        <f t="shared" si="65"/>
        <v>MEDICARE TAXES</v>
      </c>
    </row>
    <row r="2221" spans="1:10" x14ac:dyDescent="0.25">
      <c r="A2221" t="str">
        <f>""</f>
        <v/>
      </c>
      <c r="B2221" t="str">
        <f>""</f>
        <v/>
      </c>
      <c r="G2221" t="str">
        <f>""</f>
        <v/>
      </c>
      <c r="H2221" t="str">
        <f>""</f>
        <v/>
      </c>
      <c r="I2221" s="4">
        <v>400.26</v>
      </c>
      <c r="J2221" t="str">
        <f t="shared" si="65"/>
        <v>MEDICARE TAXES</v>
      </c>
    </row>
    <row r="2222" spans="1:10" x14ac:dyDescent="0.25">
      <c r="A2222" t="str">
        <f>""</f>
        <v/>
      </c>
      <c r="B2222" t="str">
        <f>""</f>
        <v/>
      </c>
      <c r="G2222" t="str">
        <f>""</f>
        <v/>
      </c>
      <c r="H2222" t="str">
        <f>""</f>
        <v/>
      </c>
      <c r="I2222" s="4">
        <v>470.04</v>
      </c>
      <c r="J2222" t="str">
        <f t="shared" si="65"/>
        <v>MEDICARE TAXES</v>
      </c>
    </row>
    <row r="2223" spans="1:10" x14ac:dyDescent="0.25">
      <c r="A2223" t="str">
        <f>""</f>
        <v/>
      </c>
      <c r="B2223" t="str">
        <f>""</f>
        <v/>
      </c>
      <c r="G2223" t="str">
        <f>""</f>
        <v/>
      </c>
      <c r="H2223" t="str">
        <f>""</f>
        <v/>
      </c>
      <c r="I2223" s="4">
        <v>54.5</v>
      </c>
      <c r="J2223" t="str">
        <f t="shared" si="65"/>
        <v>MEDICARE TAXES</v>
      </c>
    </row>
    <row r="2224" spans="1:10" x14ac:dyDescent="0.25">
      <c r="A2224" t="str">
        <f>""</f>
        <v/>
      </c>
      <c r="B2224" t="str">
        <f>""</f>
        <v/>
      </c>
      <c r="G2224" t="str">
        <f>""</f>
        <v/>
      </c>
      <c r="H2224" t="str">
        <f>""</f>
        <v/>
      </c>
      <c r="I2224" s="4">
        <v>3.48</v>
      </c>
      <c r="J2224" t="str">
        <f t="shared" si="65"/>
        <v>MEDICARE TAXES</v>
      </c>
    </row>
    <row r="2225" spans="1:10" x14ac:dyDescent="0.25">
      <c r="A2225" t="str">
        <f>""</f>
        <v/>
      </c>
      <c r="B2225" t="str">
        <f>""</f>
        <v/>
      </c>
      <c r="G2225" t="str">
        <f>""</f>
        <v/>
      </c>
      <c r="H2225" t="str">
        <f>""</f>
        <v/>
      </c>
      <c r="I2225" s="4">
        <v>1.1200000000000001</v>
      </c>
      <c r="J2225" t="str">
        <f t="shared" si="65"/>
        <v>MEDICARE TAXES</v>
      </c>
    </row>
    <row r="2226" spans="1:10" x14ac:dyDescent="0.25">
      <c r="A2226" t="str">
        <f>""</f>
        <v/>
      </c>
      <c r="B2226" t="str">
        <f>""</f>
        <v/>
      </c>
      <c r="G2226" t="str">
        <f>""</f>
        <v/>
      </c>
      <c r="H2226" t="str">
        <f>""</f>
        <v/>
      </c>
      <c r="I2226" s="4">
        <v>4.07</v>
      </c>
      <c r="J2226" t="str">
        <f t="shared" si="65"/>
        <v>MEDICARE TAXES</v>
      </c>
    </row>
    <row r="2227" spans="1:10" x14ac:dyDescent="0.25">
      <c r="A2227" t="str">
        <f>""</f>
        <v/>
      </c>
      <c r="B2227" t="str">
        <f>""</f>
        <v/>
      </c>
      <c r="G2227" t="str">
        <f>""</f>
        <v/>
      </c>
      <c r="H2227" t="str">
        <f>""</f>
        <v/>
      </c>
      <c r="I2227" s="4">
        <v>4.84</v>
      </c>
      <c r="J2227" t="str">
        <f t="shared" si="65"/>
        <v>MEDICARE TAXES</v>
      </c>
    </row>
    <row r="2228" spans="1:10" x14ac:dyDescent="0.25">
      <c r="A2228" t="str">
        <f>""</f>
        <v/>
      </c>
      <c r="B2228" t="str">
        <f>""</f>
        <v/>
      </c>
      <c r="G2228" t="str">
        <f>""</f>
        <v/>
      </c>
      <c r="H2228" t="str">
        <f>""</f>
        <v/>
      </c>
      <c r="I2228" s="4">
        <v>88.31</v>
      </c>
      <c r="J2228" t="str">
        <f t="shared" si="65"/>
        <v>MEDICARE TAXES</v>
      </c>
    </row>
    <row r="2229" spans="1:10" x14ac:dyDescent="0.25">
      <c r="A2229" t="str">
        <f>""</f>
        <v/>
      </c>
      <c r="B2229" t="str">
        <f>""</f>
        <v/>
      </c>
      <c r="G2229" t="str">
        <f>""</f>
        <v/>
      </c>
      <c r="H2229" t="str">
        <f>""</f>
        <v/>
      </c>
      <c r="I2229" s="4">
        <v>14260.09</v>
      </c>
      <c r="J2229" t="str">
        <f t="shared" si="65"/>
        <v>MEDICARE TAXES</v>
      </c>
    </row>
    <row r="2230" spans="1:10" x14ac:dyDescent="0.25">
      <c r="A2230" t="str">
        <f>""</f>
        <v/>
      </c>
      <c r="B2230" t="str">
        <f>""</f>
        <v/>
      </c>
      <c r="G2230" t="str">
        <f>"T4 202202169062"</f>
        <v>T4 202202169062</v>
      </c>
      <c r="H2230" t="str">
        <f>"MEDICARE TAXES"</f>
        <v>MEDICARE TAXES</v>
      </c>
      <c r="I2230" s="4">
        <v>469.19</v>
      </c>
      <c r="J2230" t="str">
        <f t="shared" si="65"/>
        <v>MEDICARE TAXES</v>
      </c>
    </row>
    <row r="2231" spans="1:10" x14ac:dyDescent="0.25">
      <c r="A2231" t="str">
        <f>""</f>
        <v/>
      </c>
      <c r="B2231" t="str">
        <f>""</f>
        <v/>
      </c>
      <c r="G2231" t="str">
        <f>""</f>
        <v/>
      </c>
      <c r="H2231" t="str">
        <f>""</f>
        <v/>
      </c>
      <c r="I2231" s="4">
        <v>469.19</v>
      </c>
      <c r="J2231" t="str">
        <f t="shared" si="65"/>
        <v>MEDICARE TAXES</v>
      </c>
    </row>
    <row r="2232" spans="1:10" x14ac:dyDescent="0.25">
      <c r="A2232" t="str">
        <f>""</f>
        <v/>
      </c>
      <c r="B2232" t="str">
        <f>""</f>
        <v/>
      </c>
      <c r="G2232" t="str">
        <f>"T4 202202169063"</f>
        <v>T4 202202169063</v>
      </c>
      <c r="H2232" t="str">
        <f>"MEDICARE TAXES"</f>
        <v>MEDICARE TAXES</v>
      </c>
      <c r="I2232" s="4">
        <v>527.46</v>
      </c>
      <c r="J2232" t="str">
        <f t="shared" si="65"/>
        <v>MEDICARE TAXES</v>
      </c>
    </row>
    <row r="2233" spans="1:10" x14ac:dyDescent="0.25">
      <c r="A2233" t="str">
        <f>""</f>
        <v/>
      </c>
      <c r="B2233" t="str">
        <f>""</f>
        <v/>
      </c>
      <c r="G2233" t="str">
        <f>""</f>
        <v/>
      </c>
      <c r="H2233" t="str">
        <f>""</f>
        <v/>
      </c>
      <c r="I2233" s="4">
        <v>527.46</v>
      </c>
      <c r="J2233" t="str">
        <f t="shared" si="65"/>
        <v>MEDICARE TAXES</v>
      </c>
    </row>
    <row r="2234" spans="1:10" x14ac:dyDescent="0.25">
      <c r="A2234" t="str">
        <f>"01"</f>
        <v>01</v>
      </c>
      <c r="B2234" t="str">
        <f>"IRSPY"</f>
        <v>IRSPY</v>
      </c>
      <c r="C2234" t="s">
        <v>517</v>
      </c>
      <c r="D2234">
        <v>1612</v>
      </c>
      <c r="E2234" s="4">
        <v>67.239999999999995</v>
      </c>
      <c r="F2234" s="5">
        <v>44610</v>
      </c>
      <c r="G2234" t="str">
        <f>"T3 202202179159"</f>
        <v>T3 202202179159</v>
      </c>
      <c r="H2234" t="str">
        <f>"SOCIAL SECURITY TAXES"</f>
        <v>SOCIAL SECURITY TAXES</v>
      </c>
      <c r="I2234" s="4">
        <v>14.76</v>
      </c>
      <c r="J2234" t="str">
        <f>"SOCIAL SECURITY TAXES"</f>
        <v>SOCIAL SECURITY TAXES</v>
      </c>
    </row>
    <row r="2235" spans="1:10" x14ac:dyDescent="0.25">
      <c r="A2235" t="str">
        <f>""</f>
        <v/>
      </c>
      <c r="B2235" t="str">
        <f>""</f>
        <v/>
      </c>
      <c r="G2235" t="str">
        <f>""</f>
        <v/>
      </c>
      <c r="H2235" t="str">
        <f>""</f>
        <v/>
      </c>
      <c r="I2235" s="4">
        <v>12.49</v>
      </c>
      <c r="J2235" t="str">
        <f>"SOCIAL SECURITY TAXES"</f>
        <v>SOCIAL SECURITY TAXES</v>
      </c>
    </row>
    <row r="2236" spans="1:10" x14ac:dyDescent="0.25">
      <c r="A2236" t="str">
        <f>""</f>
        <v/>
      </c>
      <c r="B2236" t="str">
        <f>""</f>
        <v/>
      </c>
      <c r="G2236" t="str">
        <f>""</f>
        <v/>
      </c>
      <c r="H2236" t="str">
        <f>""</f>
        <v/>
      </c>
      <c r="I2236" s="4">
        <v>27.25</v>
      </c>
      <c r="J2236" t="str">
        <f>"SOCIAL SECURITY TAXES"</f>
        <v>SOCIAL SECURITY TAXES</v>
      </c>
    </row>
    <row r="2237" spans="1:10" x14ac:dyDescent="0.25">
      <c r="A2237" t="str">
        <f>""</f>
        <v/>
      </c>
      <c r="B2237" t="str">
        <f>""</f>
        <v/>
      </c>
      <c r="G2237" t="str">
        <f>"T4 202202179159"</f>
        <v>T4 202202179159</v>
      </c>
      <c r="H2237" t="str">
        <f>"MEDICARE TAXES"</f>
        <v>MEDICARE TAXES</v>
      </c>
      <c r="I2237" s="4">
        <v>3.45</v>
      </c>
      <c r="J2237" t="str">
        <f>"MEDICARE TAXES"</f>
        <v>MEDICARE TAXES</v>
      </c>
    </row>
    <row r="2238" spans="1:10" x14ac:dyDescent="0.25">
      <c r="A2238" t="str">
        <f>""</f>
        <v/>
      </c>
      <c r="B2238" t="str">
        <f>""</f>
        <v/>
      </c>
      <c r="G2238" t="str">
        <f>""</f>
        <v/>
      </c>
      <c r="H2238" t="str">
        <f>""</f>
        <v/>
      </c>
      <c r="I2238" s="4">
        <v>2.92</v>
      </c>
      <c r="J2238" t="str">
        <f>"MEDICARE TAXES"</f>
        <v>MEDICARE TAXES</v>
      </c>
    </row>
    <row r="2239" spans="1:10" x14ac:dyDescent="0.25">
      <c r="A2239" t="str">
        <f>""</f>
        <v/>
      </c>
      <c r="B2239" t="str">
        <f>""</f>
        <v/>
      </c>
      <c r="G2239" t="str">
        <f>""</f>
        <v/>
      </c>
      <c r="H2239" t="str">
        <f>""</f>
        <v/>
      </c>
      <c r="I2239" s="4">
        <v>6.37</v>
      </c>
      <c r="J2239" t="str">
        <f>"MEDICARE TAXES"</f>
        <v>MEDICARE TAXES</v>
      </c>
    </row>
    <row r="2240" spans="1:10" x14ac:dyDescent="0.25">
      <c r="A2240" t="str">
        <f>"01"</f>
        <v>01</v>
      </c>
      <c r="B2240" t="str">
        <f>"002456"</f>
        <v>002456</v>
      </c>
      <c r="C2240" t="s">
        <v>518</v>
      </c>
      <c r="D2240">
        <v>1655</v>
      </c>
      <c r="E2240" s="4">
        <v>321.56</v>
      </c>
      <c r="F2240" s="5">
        <v>44616</v>
      </c>
      <c r="G2240" t="str">
        <f>"LIX202202028715"</f>
        <v>LIX202202028715</v>
      </c>
      <c r="H2240" t="str">
        <f>"TEXAS LIFE/OLIVO GROUP"</f>
        <v>TEXAS LIFE/OLIVO GROUP</v>
      </c>
      <c r="I2240" s="4">
        <v>160.78</v>
      </c>
      <c r="J2240" t="str">
        <f>"TEXAS LIFE/OLIVO GROUP"</f>
        <v>TEXAS LIFE/OLIVO GROUP</v>
      </c>
    </row>
    <row r="2241" spans="1:10" x14ac:dyDescent="0.25">
      <c r="A2241" t="str">
        <f>""</f>
        <v/>
      </c>
      <c r="B2241" t="str">
        <f>""</f>
        <v/>
      </c>
      <c r="G2241" t="str">
        <f>"LIX202202169060"</f>
        <v>LIX202202169060</v>
      </c>
      <c r="H2241" t="str">
        <f>"TEXAS LIFE/OLIVO GROUP"</f>
        <v>TEXAS LIFE/OLIVO GROUP</v>
      </c>
      <c r="I2241" s="4">
        <v>160.78</v>
      </c>
      <c r="J2241" t="str">
        <f>"TEXAS LIFE/OLIVO GROUP"</f>
        <v>TEXAS LIFE/OLIVO GROUP</v>
      </c>
    </row>
    <row r="2242" spans="1:10" x14ac:dyDescent="0.25">
      <c r="A2242" t="str">
        <f>"01"</f>
        <v>01</v>
      </c>
      <c r="B2242" t="str">
        <f>"PHI"</f>
        <v>PHI</v>
      </c>
      <c r="C2242" t="s">
        <v>519</v>
      </c>
      <c r="D2242">
        <v>48595</v>
      </c>
      <c r="E2242" s="4">
        <v>400</v>
      </c>
      <c r="F2242" s="5">
        <v>44616</v>
      </c>
      <c r="G2242" t="str">
        <f>"PHI202202028715"</f>
        <v>PHI202202028715</v>
      </c>
      <c r="H2242" t="str">
        <f>"PHI AIR"</f>
        <v>PHI AIR</v>
      </c>
      <c r="I2242" s="4">
        <v>175</v>
      </c>
      <c r="J2242" t="str">
        <f>"PHI AIR"</f>
        <v>PHI AIR</v>
      </c>
    </row>
    <row r="2243" spans="1:10" x14ac:dyDescent="0.25">
      <c r="A2243" t="str">
        <f>""</f>
        <v/>
      </c>
      <c r="B2243" t="str">
        <f>""</f>
        <v/>
      </c>
      <c r="G2243" t="str">
        <f>"PHI202202169060"</f>
        <v>PHI202202169060</v>
      </c>
      <c r="H2243" t="str">
        <f>"PHI AIR"</f>
        <v>PHI AIR</v>
      </c>
      <c r="I2243" s="4">
        <v>225</v>
      </c>
      <c r="J2243" t="str">
        <f>"PHI AIR"</f>
        <v>PHI AIR</v>
      </c>
    </row>
    <row r="2244" spans="1:10" x14ac:dyDescent="0.25">
      <c r="A2244" t="str">
        <f>"01"</f>
        <v>01</v>
      </c>
      <c r="B2244" t="str">
        <f>"STERFS"</f>
        <v>STERFS</v>
      </c>
      <c r="C2244" t="s">
        <v>520</v>
      </c>
      <c r="D2244">
        <v>1597</v>
      </c>
      <c r="E2244" s="4">
        <v>7593.05</v>
      </c>
      <c r="F2244" s="5">
        <v>44596</v>
      </c>
      <c r="G2244" t="str">
        <f>"FSA202202028715"</f>
        <v>FSA202202028715</v>
      </c>
      <c r="H2244" t="str">
        <f>"STERLING FSA"</f>
        <v>STERLING FSA</v>
      </c>
      <c r="I2244" s="4">
        <v>7133.05</v>
      </c>
      <c r="J2244" t="str">
        <f>"STERLING FSA"</f>
        <v>STERLING FSA</v>
      </c>
    </row>
    <row r="2245" spans="1:10" x14ac:dyDescent="0.25">
      <c r="A2245" t="str">
        <f>""</f>
        <v/>
      </c>
      <c r="B2245" t="str">
        <f>""</f>
        <v/>
      </c>
      <c r="G2245" t="str">
        <f>"FSA202202028716"</f>
        <v>FSA202202028716</v>
      </c>
      <c r="H2245" t="str">
        <f>"STERLING FSA"</f>
        <v>STERLING FSA</v>
      </c>
      <c r="I2245" s="4">
        <v>360</v>
      </c>
      <c r="J2245" t="str">
        <f>"STERLING FSA"</f>
        <v>STERLING FSA</v>
      </c>
    </row>
    <row r="2246" spans="1:10" x14ac:dyDescent="0.25">
      <c r="A2246" t="str">
        <f>""</f>
        <v/>
      </c>
      <c r="B2246" t="str">
        <f>""</f>
        <v/>
      </c>
      <c r="G2246" t="str">
        <f>"FSC202202028715"</f>
        <v>FSC202202028715</v>
      </c>
      <c r="H2246" t="str">
        <f>"STERLING DEPENDENT CARE"</f>
        <v>STERLING DEPENDENT CARE</v>
      </c>
      <c r="I2246" s="4">
        <v>100</v>
      </c>
      <c r="J2246" t="str">
        <f>"STERLING DEPENDENT CARE"</f>
        <v>STERLING DEPENDENT CARE</v>
      </c>
    </row>
    <row r="2247" spans="1:10" x14ac:dyDescent="0.25">
      <c r="A2247" t="str">
        <f>"01"</f>
        <v>01</v>
      </c>
      <c r="B2247" t="str">
        <f>"STERHR"</f>
        <v>STERHR</v>
      </c>
      <c r="C2247" t="s">
        <v>520</v>
      </c>
      <c r="D2247">
        <v>1598</v>
      </c>
      <c r="E2247" s="4">
        <v>4670.3999999999996</v>
      </c>
      <c r="F2247" s="5">
        <v>44596</v>
      </c>
      <c r="G2247" t="str">
        <f>"HRA202202028715"</f>
        <v>HRA202202028715</v>
      </c>
      <c r="H2247" t="str">
        <f>"STERLING HRA"</f>
        <v>STERLING HRA</v>
      </c>
      <c r="I2247" s="4">
        <v>333.6</v>
      </c>
      <c r="J2247" t="str">
        <f t="shared" ref="J2247:J2254" si="66">"STERLING HRA"</f>
        <v>STERLING HRA</v>
      </c>
    </row>
    <row r="2248" spans="1:10" x14ac:dyDescent="0.25">
      <c r="A2248" t="str">
        <f>""</f>
        <v/>
      </c>
      <c r="B2248" t="str">
        <f>""</f>
        <v/>
      </c>
      <c r="G2248" t="str">
        <f>""</f>
        <v/>
      </c>
      <c r="H2248" t="str">
        <f>""</f>
        <v/>
      </c>
      <c r="I2248" s="4">
        <v>333.6</v>
      </c>
      <c r="J2248" t="str">
        <f t="shared" si="66"/>
        <v>STERLING HRA</v>
      </c>
    </row>
    <row r="2249" spans="1:10" x14ac:dyDescent="0.25">
      <c r="A2249" t="str">
        <f>""</f>
        <v/>
      </c>
      <c r="B2249" t="str">
        <f>""</f>
        <v/>
      </c>
      <c r="G2249" t="str">
        <f>""</f>
        <v/>
      </c>
      <c r="H2249" t="str">
        <f>""</f>
        <v/>
      </c>
      <c r="I2249" s="4">
        <v>346.9</v>
      </c>
      <c r="J2249" t="str">
        <f t="shared" si="66"/>
        <v>STERLING HRA</v>
      </c>
    </row>
    <row r="2250" spans="1:10" x14ac:dyDescent="0.25">
      <c r="A2250" t="str">
        <f>""</f>
        <v/>
      </c>
      <c r="B2250" t="str">
        <f>""</f>
        <v/>
      </c>
      <c r="G2250" t="str">
        <f>""</f>
        <v/>
      </c>
      <c r="H2250" t="str">
        <f>""</f>
        <v/>
      </c>
      <c r="I2250" s="4">
        <v>987.5</v>
      </c>
      <c r="J2250" t="str">
        <f t="shared" si="66"/>
        <v>STERLING HRA</v>
      </c>
    </row>
    <row r="2251" spans="1:10" x14ac:dyDescent="0.25">
      <c r="A2251" t="str">
        <f>""</f>
        <v/>
      </c>
      <c r="B2251" t="str">
        <f>""</f>
        <v/>
      </c>
      <c r="G2251" t="str">
        <f>""</f>
        <v/>
      </c>
      <c r="H2251" t="str">
        <f>""</f>
        <v/>
      </c>
      <c r="I2251" s="4">
        <v>1334.4</v>
      </c>
      <c r="J2251" t="str">
        <f t="shared" si="66"/>
        <v>STERLING HRA</v>
      </c>
    </row>
    <row r="2252" spans="1:10" x14ac:dyDescent="0.25">
      <c r="A2252" t="str">
        <f>""</f>
        <v/>
      </c>
      <c r="B2252" t="str">
        <f>""</f>
        <v/>
      </c>
      <c r="G2252" t="str">
        <f>""</f>
        <v/>
      </c>
      <c r="H2252" t="str">
        <f>""</f>
        <v/>
      </c>
      <c r="I2252" s="4">
        <v>667.2</v>
      </c>
      <c r="J2252" t="str">
        <f t="shared" si="66"/>
        <v>STERLING HRA</v>
      </c>
    </row>
    <row r="2253" spans="1:10" x14ac:dyDescent="0.25">
      <c r="A2253" t="str">
        <f>""</f>
        <v/>
      </c>
      <c r="B2253" t="str">
        <f>""</f>
        <v/>
      </c>
      <c r="G2253" t="str">
        <f>""</f>
        <v/>
      </c>
      <c r="H2253" t="str">
        <f>""</f>
        <v/>
      </c>
      <c r="I2253" s="4">
        <v>333.6</v>
      </c>
      <c r="J2253" t="str">
        <f t="shared" si="66"/>
        <v>STERLING HRA</v>
      </c>
    </row>
    <row r="2254" spans="1:10" x14ac:dyDescent="0.25">
      <c r="A2254" t="str">
        <f>""</f>
        <v/>
      </c>
      <c r="B2254" t="str">
        <f>""</f>
        <v/>
      </c>
      <c r="G2254" t="str">
        <f>""</f>
        <v/>
      </c>
      <c r="H2254" t="str">
        <f>""</f>
        <v/>
      </c>
      <c r="I2254" s="4">
        <v>333.6</v>
      </c>
      <c r="J2254" t="str">
        <f t="shared" si="66"/>
        <v>STERLING HRA</v>
      </c>
    </row>
    <row r="2255" spans="1:10" x14ac:dyDescent="0.25">
      <c r="A2255" t="str">
        <f>"01"</f>
        <v>01</v>
      </c>
      <c r="B2255" t="str">
        <f>"STERFS"</f>
        <v>STERFS</v>
      </c>
      <c r="C2255" t="s">
        <v>520</v>
      </c>
      <c r="D2255">
        <v>1607</v>
      </c>
      <c r="E2255" s="4">
        <v>7593.05</v>
      </c>
      <c r="F2255" s="5">
        <v>44610</v>
      </c>
      <c r="G2255" t="str">
        <f>"FSA202202169060"</f>
        <v>FSA202202169060</v>
      </c>
      <c r="H2255" t="str">
        <f>"STERLING FSA"</f>
        <v>STERLING FSA</v>
      </c>
      <c r="I2255" s="4">
        <v>7133.05</v>
      </c>
      <c r="J2255" t="str">
        <f>"STERLING FSA"</f>
        <v>STERLING FSA</v>
      </c>
    </row>
    <row r="2256" spans="1:10" x14ac:dyDescent="0.25">
      <c r="A2256" t="str">
        <f>""</f>
        <v/>
      </c>
      <c r="B2256" t="str">
        <f>""</f>
        <v/>
      </c>
      <c r="G2256" t="str">
        <f>"FSA202202169062"</f>
        <v>FSA202202169062</v>
      </c>
      <c r="H2256" t="str">
        <f>"STERLING FSA"</f>
        <v>STERLING FSA</v>
      </c>
      <c r="I2256" s="4">
        <v>360</v>
      </c>
      <c r="J2256" t="str">
        <f>"STERLING FSA"</f>
        <v>STERLING FSA</v>
      </c>
    </row>
    <row r="2257" spans="1:10" x14ac:dyDescent="0.25">
      <c r="A2257" t="str">
        <f>""</f>
        <v/>
      </c>
      <c r="B2257" t="str">
        <f>""</f>
        <v/>
      </c>
      <c r="G2257" t="str">
        <f>"FSC202202169060"</f>
        <v>FSC202202169060</v>
      </c>
      <c r="H2257" t="str">
        <f>"STERLING DEPENDENT CARE"</f>
        <v>STERLING DEPENDENT CARE</v>
      </c>
      <c r="I2257" s="4">
        <v>100</v>
      </c>
      <c r="J2257" t="str">
        <f>"STERLING DEPENDENT CARE"</f>
        <v>STERLING DEPENDENT CARE</v>
      </c>
    </row>
    <row r="2258" spans="1:10" x14ac:dyDescent="0.25">
      <c r="A2258" t="str">
        <f>"01"</f>
        <v>01</v>
      </c>
      <c r="B2258" t="str">
        <f>"STEROP"</f>
        <v>STEROP</v>
      </c>
      <c r="C2258" t="s">
        <v>520</v>
      </c>
      <c r="D2258">
        <v>1654</v>
      </c>
      <c r="E2258" s="4">
        <v>2279.5</v>
      </c>
      <c r="F2258" s="5">
        <v>44616</v>
      </c>
      <c r="G2258" t="str">
        <f>"202202249355"</f>
        <v>202202249355</v>
      </c>
      <c r="H2258" t="str">
        <f>"ADJ - FEBRUARY 2022"</f>
        <v>ADJ - FEBRUARY 2022</v>
      </c>
      <c r="I2258" s="4">
        <v>92</v>
      </c>
      <c r="J2258" t="str">
        <f>"ADJ - FEBRUARY 2022"</f>
        <v>ADJ - FEBRUARY 2022</v>
      </c>
    </row>
    <row r="2259" spans="1:10" x14ac:dyDescent="0.25">
      <c r="A2259" t="str">
        <f>""</f>
        <v/>
      </c>
      <c r="B2259" t="str">
        <f>""</f>
        <v/>
      </c>
      <c r="G2259" t="str">
        <f>"FSF202202028715"</f>
        <v>FSF202202028715</v>
      </c>
      <c r="H2259" t="str">
        <f>"STERLING - FSA  FEES"</f>
        <v>STERLING - FSA  FEES</v>
      </c>
      <c r="I2259" s="4">
        <v>8.57</v>
      </c>
      <c r="J2259" t="str">
        <f t="shared" ref="J2259:J2322" si="67">"STERLING - FSA  FEES"</f>
        <v>STERLING - FSA  FEES</v>
      </c>
    </row>
    <row r="2260" spans="1:10" x14ac:dyDescent="0.25">
      <c r="A2260" t="str">
        <f>""</f>
        <v/>
      </c>
      <c r="B2260" t="str">
        <f>""</f>
        <v/>
      </c>
      <c r="G2260" t="str">
        <f>""</f>
        <v/>
      </c>
      <c r="H2260" t="str">
        <f>""</f>
        <v/>
      </c>
      <c r="I2260" s="4">
        <v>3.5</v>
      </c>
      <c r="J2260" t="str">
        <f t="shared" si="67"/>
        <v>STERLING - FSA  FEES</v>
      </c>
    </row>
    <row r="2261" spans="1:10" x14ac:dyDescent="0.25">
      <c r="A2261" t="str">
        <f>""</f>
        <v/>
      </c>
      <c r="B2261" t="str">
        <f>""</f>
        <v/>
      </c>
      <c r="G2261" t="str">
        <f>""</f>
        <v/>
      </c>
      <c r="H2261" t="str">
        <f>""</f>
        <v/>
      </c>
      <c r="I2261" s="4">
        <v>8.75</v>
      </c>
      <c r="J2261" t="str">
        <f t="shared" si="67"/>
        <v>STERLING - FSA  FEES</v>
      </c>
    </row>
    <row r="2262" spans="1:10" x14ac:dyDescent="0.25">
      <c r="A2262" t="str">
        <f>""</f>
        <v/>
      </c>
      <c r="B2262" t="str">
        <f>""</f>
        <v/>
      </c>
      <c r="G2262" t="str">
        <f>""</f>
        <v/>
      </c>
      <c r="H2262" t="str">
        <f>""</f>
        <v/>
      </c>
      <c r="I2262" s="4">
        <v>5</v>
      </c>
      <c r="J2262" t="str">
        <f t="shared" si="67"/>
        <v>STERLING - FSA  FEES</v>
      </c>
    </row>
    <row r="2263" spans="1:10" x14ac:dyDescent="0.25">
      <c r="A2263" t="str">
        <f>""</f>
        <v/>
      </c>
      <c r="B2263" t="str">
        <f>""</f>
        <v/>
      </c>
      <c r="G2263" t="str">
        <f>""</f>
        <v/>
      </c>
      <c r="H2263" t="str">
        <f>""</f>
        <v/>
      </c>
      <c r="I2263" s="4">
        <v>1.75</v>
      </c>
      <c r="J2263" t="str">
        <f t="shared" si="67"/>
        <v>STERLING - FSA  FEES</v>
      </c>
    </row>
    <row r="2264" spans="1:10" x14ac:dyDescent="0.25">
      <c r="A2264" t="str">
        <f>""</f>
        <v/>
      </c>
      <c r="B2264" t="str">
        <f>""</f>
        <v/>
      </c>
      <c r="G2264" t="str">
        <f>""</f>
        <v/>
      </c>
      <c r="H2264" t="str">
        <f>""</f>
        <v/>
      </c>
      <c r="I2264" s="4">
        <v>8.75</v>
      </c>
      <c r="J2264" t="str">
        <f t="shared" si="67"/>
        <v>STERLING - FSA  FEES</v>
      </c>
    </row>
    <row r="2265" spans="1:10" x14ac:dyDescent="0.25">
      <c r="A2265" t="str">
        <f>""</f>
        <v/>
      </c>
      <c r="B2265" t="str">
        <f>""</f>
        <v/>
      </c>
      <c r="G2265" t="str">
        <f>""</f>
        <v/>
      </c>
      <c r="H2265" t="str">
        <f>""</f>
        <v/>
      </c>
      <c r="I2265" s="4">
        <v>5.25</v>
      </c>
      <c r="J2265" t="str">
        <f t="shared" si="67"/>
        <v>STERLING - FSA  FEES</v>
      </c>
    </row>
    <row r="2266" spans="1:10" x14ac:dyDescent="0.25">
      <c r="A2266" t="str">
        <f>""</f>
        <v/>
      </c>
      <c r="B2266" t="str">
        <f>""</f>
        <v/>
      </c>
      <c r="G2266" t="str">
        <f>""</f>
        <v/>
      </c>
      <c r="H2266" t="str">
        <f>""</f>
        <v/>
      </c>
      <c r="I2266" s="4">
        <v>3.5</v>
      </c>
      <c r="J2266" t="str">
        <f t="shared" si="67"/>
        <v>STERLING - FSA  FEES</v>
      </c>
    </row>
    <row r="2267" spans="1:10" x14ac:dyDescent="0.25">
      <c r="A2267" t="str">
        <f>""</f>
        <v/>
      </c>
      <c r="B2267" t="str">
        <f>""</f>
        <v/>
      </c>
      <c r="G2267" t="str">
        <f>""</f>
        <v/>
      </c>
      <c r="H2267" t="str">
        <f>""</f>
        <v/>
      </c>
      <c r="I2267" s="4">
        <v>1.75</v>
      </c>
      <c r="J2267" t="str">
        <f t="shared" si="67"/>
        <v>STERLING - FSA  FEES</v>
      </c>
    </row>
    <row r="2268" spans="1:10" x14ac:dyDescent="0.25">
      <c r="A2268" t="str">
        <f>""</f>
        <v/>
      </c>
      <c r="B2268" t="str">
        <f>""</f>
        <v/>
      </c>
      <c r="G2268" t="str">
        <f>""</f>
        <v/>
      </c>
      <c r="H2268" t="str">
        <f>""</f>
        <v/>
      </c>
      <c r="I2268" s="4">
        <v>15.67</v>
      </c>
      <c r="J2268" t="str">
        <f t="shared" si="67"/>
        <v>STERLING - FSA  FEES</v>
      </c>
    </row>
    <row r="2269" spans="1:10" x14ac:dyDescent="0.25">
      <c r="A2269" t="str">
        <f>""</f>
        <v/>
      </c>
      <c r="B2269" t="str">
        <f>""</f>
        <v/>
      </c>
      <c r="G2269" t="str">
        <f>""</f>
        <v/>
      </c>
      <c r="H2269" t="str">
        <f>""</f>
        <v/>
      </c>
      <c r="I2269" s="4">
        <v>5.25</v>
      </c>
      <c r="J2269" t="str">
        <f t="shared" si="67"/>
        <v>STERLING - FSA  FEES</v>
      </c>
    </row>
    <row r="2270" spans="1:10" x14ac:dyDescent="0.25">
      <c r="A2270" t="str">
        <f>""</f>
        <v/>
      </c>
      <c r="B2270" t="str">
        <f>""</f>
        <v/>
      </c>
      <c r="G2270" t="str">
        <f>""</f>
        <v/>
      </c>
      <c r="H2270" t="str">
        <f>""</f>
        <v/>
      </c>
      <c r="I2270" s="4">
        <v>3.5</v>
      </c>
      <c r="J2270" t="str">
        <f t="shared" si="67"/>
        <v>STERLING - FSA  FEES</v>
      </c>
    </row>
    <row r="2271" spans="1:10" x14ac:dyDescent="0.25">
      <c r="A2271" t="str">
        <f>""</f>
        <v/>
      </c>
      <c r="B2271" t="str">
        <f>""</f>
        <v/>
      </c>
      <c r="G2271" t="str">
        <f>""</f>
        <v/>
      </c>
      <c r="H2271" t="str">
        <f>""</f>
        <v/>
      </c>
      <c r="I2271" s="4">
        <v>1.75</v>
      </c>
      <c r="J2271" t="str">
        <f t="shared" si="67"/>
        <v>STERLING - FSA  FEES</v>
      </c>
    </row>
    <row r="2272" spans="1:10" x14ac:dyDescent="0.25">
      <c r="A2272" t="str">
        <f>""</f>
        <v/>
      </c>
      <c r="B2272" t="str">
        <f>""</f>
        <v/>
      </c>
      <c r="G2272" t="str">
        <f>""</f>
        <v/>
      </c>
      <c r="H2272" t="str">
        <f>""</f>
        <v/>
      </c>
      <c r="I2272" s="4">
        <v>3.5</v>
      </c>
      <c r="J2272" t="str">
        <f t="shared" si="67"/>
        <v>STERLING - FSA  FEES</v>
      </c>
    </row>
    <row r="2273" spans="1:10" x14ac:dyDescent="0.25">
      <c r="A2273" t="str">
        <f>""</f>
        <v/>
      </c>
      <c r="B2273" t="str">
        <f>""</f>
        <v/>
      </c>
      <c r="G2273" t="str">
        <f>""</f>
        <v/>
      </c>
      <c r="H2273" t="str">
        <f>""</f>
        <v/>
      </c>
      <c r="I2273" s="4">
        <v>3.5</v>
      </c>
      <c r="J2273" t="str">
        <f t="shared" si="67"/>
        <v>STERLING - FSA  FEES</v>
      </c>
    </row>
    <row r="2274" spans="1:10" x14ac:dyDescent="0.25">
      <c r="A2274" t="str">
        <f>""</f>
        <v/>
      </c>
      <c r="B2274" t="str">
        <f>""</f>
        <v/>
      </c>
      <c r="G2274" t="str">
        <f>""</f>
        <v/>
      </c>
      <c r="H2274" t="str">
        <f>""</f>
        <v/>
      </c>
      <c r="I2274" s="4">
        <v>14</v>
      </c>
      <c r="J2274" t="str">
        <f t="shared" si="67"/>
        <v>STERLING - FSA  FEES</v>
      </c>
    </row>
    <row r="2275" spans="1:10" x14ac:dyDescent="0.25">
      <c r="A2275" t="str">
        <f>""</f>
        <v/>
      </c>
      <c r="B2275" t="str">
        <f>""</f>
        <v/>
      </c>
      <c r="G2275" t="str">
        <f>""</f>
        <v/>
      </c>
      <c r="H2275" t="str">
        <f>""</f>
        <v/>
      </c>
      <c r="I2275" s="4">
        <v>3.5</v>
      </c>
      <c r="J2275" t="str">
        <f t="shared" si="67"/>
        <v>STERLING - FSA  FEES</v>
      </c>
    </row>
    <row r="2276" spans="1:10" x14ac:dyDescent="0.25">
      <c r="A2276" t="str">
        <f>""</f>
        <v/>
      </c>
      <c r="B2276" t="str">
        <f>""</f>
        <v/>
      </c>
      <c r="G2276" t="str">
        <f>""</f>
        <v/>
      </c>
      <c r="H2276" t="str">
        <f>""</f>
        <v/>
      </c>
      <c r="I2276" s="4">
        <v>8.75</v>
      </c>
      <c r="J2276" t="str">
        <f t="shared" si="67"/>
        <v>STERLING - FSA  FEES</v>
      </c>
    </row>
    <row r="2277" spans="1:10" x14ac:dyDescent="0.25">
      <c r="A2277" t="str">
        <f>""</f>
        <v/>
      </c>
      <c r="B2277" t="str">
        <f>""</f>
        <v/>
      </c>
      <c r="G2277" t="str">
        <f>""</f>
        <v/>
      </c>
      <c r="H2277" t="str">
        <f>""</f>
        <v/>
      </c>
      <c r="I2277" s="4">
        <v>1.75</v>
      </c>
      <c r="J2277" t="str">
        <f t="shared" si="67"/>
        <v>STERLING - FSA  FEES</v>
      </c>
    </row>
    <row r="2278" spans="1:10" x14ac:dyDescent="0.25">
      <c r="A2278" t="str">
        <f>""</f>
        <v/>
      </c>
      <c r="B2278" t="str">
        <f>""</f>
        <v/>
      </c>
      <c r="G2278" t="str">
        <f>""</f>
        <v/>
      </c>
      <c r="H2278" t="str">
        <f>""</f>
        <v/>
      </c>
      <c r="I2278" s="4">
        <v>1.75</v>
      </c>
      <c r="J2278" t="str">
        <f t="shared" si="67"/>
        <v>STERLING - FSA  FEES</v>
      </c>
    </row>
    <row r="2279" spans="1:10" x14ac:dyDescent="0.25">
      <c r="A2279" t="str">
        <f>""</f>
        <v/>
      </c>
      <c r="B2279" t="str">
        <f>""</f>
        <v/>
      </c>
      <c r="G2279" t="str">
        <f>""</f>
        <v/>
      </c>
      <c r="H2279" t="str">
        <f>""</f>
        <v/>
      </c>
      <c r="I2279" s="4">
        <v>1.75</v>
      </c>
      <c r="J2279" t="str">
        <f t="shared" si="67"/>
        <v>STERLING - FSA  FEES</v>
      </c>
    </row>
    <row r="2280" spans="1:10" x14ac:dyDescent="0.25">
      <c r="A2280" t="str">
        <f>""</f>
        <v/>
      </c>
      <c r="B2280" t="str">
        <f>""</f>
        <v/>
      </c>
      <c r="G2280" t="str">
        <f>""</f>
        <v/>
      </c>
      <c r="H2280" t="str">
        <f>""</f>
        <v/>
      </c>
      <c r="I2280" s="4">
        <v>33.74</v>
      </c>
      <c r="J2280" t="str">
        <f t="shared" si="67"/>
        <v>STERLING - FSA  FEES</v>
      </c>
    </row>
    <row r="2281" spans="1:10" x14ac:dyDescent="0.25">
      <c r="A2281" t="str">
        <f>""</f>
        <v/>
      </c>
      <c r="B2281" t="str">
        <f>""</f>
        <v/>
      </c>
      <c r="G2281" t="str">
        <f>""</f>
        <v/>
      </c>
      <c r="H2281" t="str">
        <f>""</f>
        <v/>
      </c>
      <c r="I2281" s="4">
        <v>3.45</v>
      </c>
      <c r="J2281" t="str">
        <f t="shared" si="67"/>
        <v>STERLING - FSA  FEES</v>
      </c>
    </row>
    <row r="2282" spans="1:10" x14ac:dyDescent="0.25">
      <c r="A2282" t="str">
        <f>""</f>
        <v/>
      </c>
      <c r="B2282" t="str">
        <f>""</f>
        <v/>
      </c>
      <c r="G2282" t="str">
        <f>""</f>
        <v/>
      </c>
      <c r="H2282" t="str">
        <f>""</f>
        <v/>
      </c>
      <c r="I2282" s="4">
        <v>38.06</v>
      </c>
      <c r="J2282" t="str">
        <f t="shared" si="67"/>
        <v>STERLING - FSA  FEES</v>
      </c>
    </row>
    <row r="2283" spans="1:10" x14ac:dyDescent="0.25">
      <c r="A2283" t="str">
        <f>""</f>
        <v/>
      </c>
      <c r="B2283" t="str">
        <f>""</f>
        <v/>
      </c>
      <c r="G2283" t="str">
        <f>""</f>
        <v/>
      </c>
      <c r="H2283" t="str">
        <f>""</f>
        <v/>
      </c>
      <c r="I2283" s="4">
        <v>7</v>
      </c>
      <c r="J2283" t="str">
        <f t="shared" si="67"/>
        <v>STERLING - FSA  FEES</v>
      </c>
    </row>
    <row r="2284" spans="1:10" x14ac:dyDescent="0.25">
      <c r="A2284" t="str">
        <f>""</f>
        <v/>
      </c>
      <c r="B2284" t="str">
        <f>""</f>
        <v/>
      </c>
      <c r="G2284" t="str">
        <f>""</f>
        <v/>
      </c>
      <c r="H2284" t="str">
        <f>""</f>
        <v/>
      </c>
      <c r="I2284" s="4">
        <v>1.75</v>
      </c>
      <c r="J2284" t="str">
        <f t="shared" si="67"/>
        <v>STERLING - FSA  FEES</v>
      </c>
    </row>
    <row r="2285" spans="1:10" x14ac:dyDescent="0.25">
      <c r="A2285" t="str">
        <f>""</f>
        <v/>
      </c>
      <c r="B2285" t="str">
        <f>""</f>
        <v/>
      </c>
      <c r="G2285" t="str">
        <f>""</f>
        <v/>
      </c>
      <c r="H2285" t="str">
        <f>""</f>
        <v/>
      </c>
      <c r="I2285" s="4">
        <v>3.5</v>
      </c>
      <c r="J2285" t="str">
        <f t="shared" si="67"/>
        <v>STERLING - FSA  FEES</v>
      </c>
    </row>
    <row r="2286" spans="1:10" x14ac:dyDescent="0.25">
      <c r="A2286" t="str">
        <f>""</f>
        <v/>
      </c>
      <c r="B2286" t="str">
        <f>""</f>
        <v/>
      </c>
      <c r="G2286" t="str">
        <f>""</f>
        <v/>
      </c>
      <c r="H2286" t="str">
        <f>""</f>
        <v/>
      </c>
      <c r="I2286" s="4">
        <v>0.45</v>
      </c>
      <c r="J2286" t="str">
        <f t="shared" si="67"/>
        <v>STERLING - FSA  FEES</v>
      </c>
    </row>
    <row r="2287" spans="1:10" x14ac:dyDescent="0.25">
      <c r="A2287" t="str">
        <f>""</f>
        <v/>
      </c>
      <c r="B2287" t="str">
        <f>""</f>
        <v/>
      </c>
      <c r="G2287" t="str">
        <f>""</f>
        <v/>
      </c>
      <c r="H2287" t="str">
        <f>""</f>
        <v/>
      </c>
      <c r="I2287" s="4">
        <v>1.75</v>
      </c>
      <c r="J2287" t="str">
        <f t="shared" si="67"/>
        <v>STERLING - FSA  FEES</v>
      </c>
    </row>
    <row r="2288" spans="1:10" x14ac:dyDescent="0.25">
      <c r="A2288" t="str">
        <f>""</f>
        <v/>
      </c>
      <c r="B2288" t="str">
        <f>""</f>
        <v/>
      </c>
      <c r="G2288" t="str">
        <f>""</f>
        <v/>
      </c>
      <c r="H2288" t="str">
        <f>""</f>
        <v/>
      </c>
      <c r="I2288" s="4">
        <v>5.25</v>
      </c>
      <c r="J2288" t="str">
        <f t="shared" si="67"/>
        <v>STERLING - FSA  FEES</v>
      </c>
    </row>
    <row r="2289" spans="1:10" x14ac:dyDescent="0.25">
      <c r="A2289" t="str">
        <f>""</f>
        <v/>
      </c>
      <c r="B2289" t="str">
        <f>""</f>
        <v/>
      </c>
      <c r="G2289" t="str">
        <f>""</f>
        <v/>
      </c>
      <c r="H2289" t="str">
        <f>""</f>
        <v/>
      </c>
      <c r="I2289" s="4">
        <v>0.18</v>
      </c>
      <c r="J2289" t="str">
        <f t="shared" si="67"/>
        <v>STERLING - FSA  FEES</v>
      </c>
    </row>
    <row r="2290" spans="1:10" x14ac:dyDescent="0.25">
      <c r="A2290" t="str">
        <f>""</f>
        <v/>
      </c>
      <c r="B2290" t="str">
        <f>""</f>
        <v/>
      </c>
      <c r="G2290" t="str">
        <f>""</f>
        <v/>
      </c>
      <c r="H2290" t="str">
        <f>""</f>
        <v/>
      </c>
      <c r="I2290" s="4">
        <v>1.75</v>
      </c>
      <c r="J2290" t="str">
        <f t="shared" si="67"/>
        <v>STERLING - FSA  FEES</v>
      </c>
    </row>
    <row r="2291" spans="1:10" x14ac:dyDescent="0.25">
      <c r="A2291" t="str">
        <f>""</f>
        <v/>
      </c>
      <c r="B2291" t="str">
        <f>""</f>
        <v/>
      </c>
      <c r="G2291" t="str">
        <f>""</f>
        <v/>
      </c>
      <c r="H2291" t="str">
        <f>""</f>
        <v/>
      </c>
      <c r="I2291" s="4">
        <v>7</v>
      </c>
      <c r="J2291" t="str">
        <f t="shared" si="67"/>
        <v>STERLING - FSA  FEES</v>
      </c>
    </row>
    <row r="2292" spans="1:10" x14ac:dyDescent="0.25">
      <c r="A2292" t="str">
        <f>""</f>
        <v/>
      </c>
      <c r="B2292" t="str">
        <f>""</f>
        <v/>
      </c>
      <c r="G2292" t="str">
        <f>""</f>
        <v/>
      </c>
      <c r="H2292" t="str">
        <f>""</f>
        <v/>
      </c>
      <c r="I2292" s="4">
        <v>8.75</v>
      </c>
      <c r="J2292" t="str">
        <f t="shared" si="67"/>
        <v>STERLING - FSA  FEES</v>
      </c>
    </row>
    <row r="2293" spans="1:10" x14ac:dyDescent="0.25">
      <c r="A2293" t="str">
        <f>""</f>
        <v/>
      </c>
      <c r="B2293" t="str">
        <f>""</f>
        <v/>
      </c>
      <c r="G2293" t="str">
        <f>""</f>
        <v/>
      </c>
      <c r="H2293" t="str">
        <f>""</f>
        <v/>
      </c>
      <c r="I2293" s="4">
        <v>3.05</v>
      </c>
      <c r="J2293" t="str">
        <f t="shared" si="67"/>
        <v>STERLING - FSA  FEES</v>
      </c>
    </row>
    <row r="2294" spans="1:10" x14ac:dyDescent="0.25">
      <c r="A2294" t="str">
        <f>""</f>
        <v/>
      </c>
      <c r="B2294" t="str">
        <f>""</f>
        <v/>
      </c>
      <c r="G2294" t="str">
        <f>""</f>
        <v/>
      </c>
      <c r="H2294" t="str">
        <f>""</f>
        <v/>
      </c>
      <c r="I2294" s="4">
        <v>0.08</v>
      </c>
      <c r="J2294" t="str">
        <f t="shared" si="67"/>
        <v>STERLING - FSA  FEES</v>
      </c>
    </row>
    <row r="2295" spans="1:10" x14ac:dyDescent="0.25">
      <c r="A2295" t="str">
        <f>""</f>
        <v/>
      </c>
      <c r="B2295" t="str">
        <f>""</f>
        <v/>
      </c>
      <c r="G2295" t="str">
        <f>""</f>
        <v/>
      </c>
      <c r="H2295" t="str">
        <f>""</f>
        <v/>
      </c>
      <c r="I2295" s="4">
        <v>0.25</v>
      </c>
      <c r="J2295" t="str">
        <f t="shared" si="67"/>
        <v>STERLING - FSA  FEES</v>
      </c>
    </row>
    <row r="2296" spans="1:10" x14ac:dyDescent="0.25">
      <c r="A2296" t="str">
        <f>""</f>
        <v/>
      </c>
      <c r="B2296" t="str">
        <f>""</f>
        <v/>
      </c>
      <c r="G2296" t="str">
        <f>"FSF202202028716"</f>
        <v>FSF202202028716</v>
      </c>
      <c r="H2296" t="str">
        <f>"STERLING - FSA  FEES"</f>
        <v>STERLING - FSA  FEES</v>
      </c>
      <c r="I2296" s="4">
        <v>8.75</v>
      </c>
      <c r="J2296" t="str">
        <f t="shared" si="67"/>
        <v>STERLING - FSA  FEES</v>
      </c>
    </row>
    <row r="2297" spans="1:10" x14ac:dyDescent="0.25">
      <c r="A2297" t="str">
        <f>""</f>
        <v/>
      </c>
      <c r="B2297" t="str">
        <f>""</f>
        <v/>
      </c>
      <c r="G2297" t="str">
        <f>"FSF202202169060"</f>
        <v>FSF202202169060</v>
      </c>
      <c r="H2297" t="str">
        <f>"STERLING - FSA  FEES"</f>
        <v>STERLING - FSA  FEES</v>
      </c>
      <c r="I2297" s="4">
        <v>7.76</v>
      </c>
      <c r="J2297" t="str">
        <f t="shared" si="67"/>
        <v>STERLING - FSA  FEES</v>
      </c>
    </row>
    <row r="2298" spans="1:10" x14ac:dyDescent="0.25">
      <c r="A2298" t="str">
        <f>""</f>
        <v/>
      </c>
      <c r="B2298" t="str">
        <f>""</f>
        <v/>
      </c>
      <c r="G2298" t="str">
        <f>""</f>
        <v/>
      </c>
      <c r="H2298" t="str">
        <f>""</f>
        <v/>
      </c>
      <c r="I2298" s="4">
        <v>2.64</v>
      </c>
      <c r="J2298" t="str">
        <f t="shared" si="67"/>
        <v>STERLING - FSA  FEES</v>
      </c>
    </row>
    <row r="2299" spans="1:10" x14ac:dyDescent="0.25">
      <c r="A2299" t="str">
        <f>""</f>
        <v/>
      </c>
      <c r="B2299" t="str">
        <f>""</f>
        <v/>
      </c>
      <c r="G2299" t="str">
        <f>""</f>
        <v/>
      </c>
      <c r="H2299" t="str">
        <f>""</f>
        <v/>
      </c>
      <c r="I2299" s="4">
        <v>8.75</v>
      </c>
      <c r="J2299" t="str">
        <f t="shared" si="67"/>
        <v>STERLING - FSA  FEES</v>
      </c>
    </row>
    <row r="2300" spans="1:10" x14ac:dyDescent="0.25">
      <c r="A2300" t="str">
        <f>""</f>
        <v/>
      </c>
      <c r="B2300" t="str">
        <f>""</f>
        <v/>
      </c>
      <c r="G2300" t="str">
        <f>""</f>
        <v/>
      </c>
      <c r="H2300" t="str">
        <f>""</f>
        <v/>
      </c>
      <c r="I2300" s="4">
        <v>5</v>
      </c>
      <c r="J2300" t="str">
        <f t="shared" si="67"/>
        <v>STERLING - FSA  FEES</v>
      </c>
    </row>
    <row r="2301" spans="1:10" x14ac:dyDescent="0.25">
      <c r="A2301" t="str">
        <f>""</f>
        <v/>
      </c>
      <c r="B2301" t="str">
        <f>""</f>
        <v/>
      </c>
      <c r="G2301" t="str">
        <f>""</f>
        <v/>
      </c>
      <c r="H2301" t="str">
        <f>""</f>
        <v/>
      </c>
      <c r="I2301" s="4">
        <v>1.75</v>
      </c>
      <c r="J2301" t="str">
        <f t="shared" si="67"/>
        <v>STERLING - FSA  FEES</v>
      </c>
    </row>
    <row r="2302" spans="1:10" x14ac:dyDescent="0.25">
      <c r="A2302" t="str">
        <f>""</f>
        <v/>
      </c>
      <c r="B2302" t="str">
        <f>""</f>
        <v/>
      </c>
      <c r="G2302" t="str">
        <f>""</f>
        <v/>
      </c>
      <c r="H2302" t="str">
        <f>""</f>
        <v/>
      </c>
      <c r="I2302" s="4">
        <v>8.75</v>
      </c>
      <c r="J2302" t="str">
        <f t="shared" si="67"/>
        <v>STERLING - FSA  FEES</v>
      </c>
    </row>
    <row r="2303" spans="1:10" x14ac:dyDescent="0.25">
      <c r="A2303" t="str">
        <f>""</f>
        <v/>
      </c>
      <c r="B2303" t="str">
        <f>""</f>
        <v/>
      </c>
      <c r="G2303" t="str">
        <f>""</f>
        <v/>
      </c>
      <c r="H2303" t="str">
        <f>""</f>
        <v/>
      </c>
      <c r="I2303" s="4">
        <v>5.25</v>
      </c>
      <c r="J2303" t="str">
        <f t="shared" si="67"/>
        <v>STERLING - FSA  FEES</v>
      </c>
    </row>
    <row r="2304" spans="1:10" x14ac:dyDescent="0.25">
      <c r="A2304" t="str">
        <f>""</f>
        <v/>
      </c>
      <c r="B2304" t="str">
        <f>""</f>
        <v/>
      </c>
      <c r="G2304" t="str">
        <f>""</f>
        <v/>
      </c>
      <c r="H2304" t="str">
        <f>""</f>
        <v/>
      </c>
      <c r="I2304" s="4">
        <v>3.5</v>
      </c>
      <c r="J2304" t="str">
        <f t="shared" si="67"/>
        <v>STERLING - FSA  FEES</v>
      </c>
    </row>
    <row r="2305" spans="1:10" x14ac:dyDescent="0.25">
      <c r="A2305" t="str">
        <f>""</f>
        <v/>
      </c>
      <c r="B2305" t="str">
        <f>""</f>
        <v/>
      </c>
      <c r="G2305" t="str">
        <f>""</f>
        <v/>
      </c>
      <c r="H2305" t="str">
        <f>""</f>
        <v/>
      </c>
      <c r="I2305" s="4">
        <v>1.75</v>
      </c>
      <c r="J2305" t="str">
        <f t="shared" si="67"/>
        <v>STERLING - FSA  FEES</v>
      </c>
    </row>
    <row r="2306" spans="1:10" x14ac:dyDescent="0.25">
      <c r="A2306" t="str">
        <f>""</f>
        <v/>
      </c>
      <c r="B2306" t="str">
        <f>""</f>
        <v/>
      </c>
      <c r="G2306" t="str">
        <f>""</f>
        <v/>
      </c>
      <c r="H2306" t="str">
        <f>""</f>
        <v/>
      </c>
      <c r="I2306" s="4">
        <v>15.67</v>
      </c>
      <c r="J2306" t="str">
        <f t="shared" si="67"/>
        <v>STERLING - FSA  FEES</v>
      </c>
    </row>
    <row r="2307" spans="1:10" x14ac:dyDescent="0.25">
      <c r="A2307" t="str">
        <f>""</f>
        <v/>
      </c>
      <c r="B2307" t="str">
        <f>""</f>
        <v/>
      </c>
      <c r="G2307" t="str">
        <f>""</f>
        <v/>
      </c>
      <c r="H2307" t="str">
        <f>""</f>
        <v/>
      </c>
      <c r="I2307" s="4">
        <v>5.25</v>
      </c>
      <c r="J2307" t="str">
        <f t="shared" si="67"/>
        <v>STERLING - FSA  FEES</v>
      </c>
    </row>
    <row r="2308" spans="1:10" x14ac:dyDescent="0.25">
      <c r="A2308" t="str">
        <f>""</f>
        <v/>
      </c>
      <c r="B2308" t="str">
        <f>""</f>
        <v/>
      </c>
      <c r="G2308" t="str">
        <f>""</f>
        <v/>
      </c>
      <c r="H2308" t="str">
        <f>""</f>
        <v/>
      </c>
      <c r="I2308" s="4">
        <v>3.5</v>
      </c>
      <c r="J2308" t="str">
        <f t="shared" si="67"/>
        <v>STERLING - FSA  FEES</v>
      </c>
    </row>
    <row r="2309" spans="1:10" x14ac:dyDescent="0.25">
      <c r="A2309" t="str">
        <f>""</f>
        <v/>
      </c>
      <c r="B2309" t="str">
        <f>""</f>
        <v/>
      </c>
      <c r="G2309" t="str">
        <f>""</f>
        <v/>
      </c>
      <c r="H2309" t="str">
        <f>""</f>
        <v/>
      </c>
      <c r="I2309" s="4">
        <v>1.75</v>
      </c>
      <c r="J2309" t="str">
        <f t="shared" si="67"/>
        <v>STERLING - FSA  FEES</v>
      </c>
    </row>
    <row r="2310" spans="1:10" x14ac:dyDescent="0.25">
      <c r="A2310" t="str">
        <f>""</f>
        <v/>
      </c>
      <c r="B2310" t="str">
        <f>""</f>
        <v/>
      </c>
      <c r="G2310" t="str">
        <f>""</f>
        <v/>
      </c>
      <c r="H2310" t="str">
        <f>""</f>
        <v/>
      </c>
      <c r="I2310" s="4">
        <v>3.5</v>
      </c>
      <c r="J2310" t="str">
        <f t="shared" si="67"/>
        <v>STERLING - FSA  FEES</v>
      </c>
    </row>
    <row r="2311" spans="1:10" x14ac:dyDescent="0.25">
      <c r="A2311" t="str">
        <f>""</f>
        <v/>
      </c>
      <c r="B2311" t="str">
        <f>""</f>
        <v/>
      </c>
      <c r="G2311" t="str">
        <f>""</f>
        <v/>
      </c>
      <c r="H2311" t="str">
        <f>""</f>
        <v/>
      </c>
      <c r="I2311" s="4">
        <v>3.5</v>
      </c>
      <c r="J2311" t="str">
        <f t="shared" si="67"/>
        <v>STERLING - FSA  FEES</v>
      </c>
    </row>
    <row r="2312" spans="1:10" x14ac:dyDescent="0.25">
      <c r="A2312" t="str">
        <f>""</f>
        <v/>
      </c>
      <c r="B2312" t="str">
        <f>""</f>
        <v/>
      </c>
      <c r="G2312" t="str">
        <f>""</f>
        <v/>
      </c>
      <c r="H2312" t="str">
        <f>""</f>
        <v/>
      </c>
      <c r="I2312" s="4">
        <v>14</v>
      </c>
      <c r="J2312" t="str">
        <f t="shared" si="67"/>
        <v>STERLING - FSA  FEES</v>
      </c>
    </row>
    <row r="2313" spans="1:10" x14ac:dyDescent="0.25">
      <c r="A2313" t="str">
        <f>""</f>
        <v/>
      </c>
      <c r="B2313" t="str">
        <f>""</f>
        <v/>
      </c>
      <c r="G2313" t="str">
        <f>""</f>
        <v/>
      </c>
      <c r="H2313" t="str">
        <f>""</f>
        <v/>
      </c>
      <c r="I2313" s="4">
        <v>3.5</v>
      </c>
      <c r="J2313" t="str">
        <f t="shared" si="67"/>
        <v>STERLING - FSA  FEES</v>
      </c>
    </row>
    <row r="2314" spans="1:10" x14ac:dyDescent="0.25">
      <c r="A2314" t="str">
        <f>""</f>
        <v/>
      </c>
      <c r="B2314" t="str">
        <f>""</f>
        <v/>
      </c>
      <c r="G2314" t="str">
        <f>""</f>
        <v/>
      </c>
      <c r="H2314" t="str">
        <f>""</f>
        <v/>
      </c>
      <c r="I2314" s="4">
        <v>8.75</v>
      </c>
      <c r="J2314" t="str">
        <f t="shared" si="67"/>
        <v>STERLING - FSA  FEES</v>
      </c>
    </row>
    <row r="2315" spans="1:10" x14ac:dyDescent="0.25">
      <c r="A2315" t="str">
        <f>""</f>
        <v/>
      </c>
      <c r="B2315" t="str">
        <f>""</f>
        <v/>
      </c>
      <c r="G2315" t="str">
        <f>""</f>
        <v/>
      </c>
      <c r="H2315" t="str">
        <f>""</f>
        <v/>
      </c>
      <c r="I2315" s="4">
        <v>1.75</v>
      </c>
      <c r="J2315" t="str">
        <f t="shared" si="67"/>
        <v>STERLING - FSA  FEES</v>
      </c>
    </row>
    <row r="2316" spans="1:10" x14ac:dyDescent="0.25">
      <c r="A2316" t="str">
        <f>""</f>
        <v/>
      </c>
      <c r="B2316" t="str">
        <f>""</f>
        <v/>
      </c>
      <c r="G2316" t="str">
        <f>""</f>
        <v/>
      </c>
      <c r="H2316" t="str">
        <f>""</f>
        <v/>
      </c>
      <c r="I2316" s="4">
        <v>1.75</v>
      </c>
      <c r="J2316" t="str">
        <f t="shared" si="67"/>
        <v>STERLING - FSA  FEES</v>
      </c>
    </row>
    <row r="2317" spans="1:10" x14ac:dyDescent="0.25">
      <c r="A2317" t="str">
        <f>""</f>
        <v/>
      </c>
      <c r="B2317" t="str">
        <f>""</f>
        <v/>
      </c>
      <c r="G2317" t="str">
        <f>""</f>
        <v/>
      </c>
      <c r="H2317" t="str">
        <f>""</f>
        <v/>
      </c>
      <c r="I2317" s="4">
        <v>1.75</v>
      </c>
      <c r="J2317" t="str">
        <f t="shared" si="67"/>
        <v>STERLING - FSA  FEES</v>
      </c>
    </row>
    <row r="2318" spans="1:10" x14ac:dyDescent="0.25">
      <c r="A2318" t="str">
        <f>""</f>
        <v/>
      </c>
      <c r="B2318" t="str">
        <f>""</f>
        <v/>
      </c>
      <c r="G2318" t="str">
        <f>""</f>
        <v/>
      </c>
      <c r="H2318" t="str">
        <f>""</f>
        <v/>
      </c>
      <c r="I2318" s="4">
        <v>33.74</v>
      </c>
      <c r="J2318" t="str">
        <f t="shared" si="67"/>
        <v>STERLING - FSA  FEES</v>
      </c>
    </row>
    <row r="2319" spans="1:10" x14ac:dyDescent="0.25">
      <c r="A2319" t="str">
        <f>""</f>
        <v/>
      </c>
      <c r="B2319" t="str">
        <f>""</f>
        <v/>
      </c>
      <c r="G2319" t="str">
        <f>""</f>
        <v/>
      </c>
      <c r="H2319" t="str">
        <f>""</f>
        <v/>
      </c>
      <c r="I2319" s="4">
        <v>3.14</v>
      </c>
      <c r="J2319" t="str">
        <f t="shared" si="67"/>
        <v>STERLING - FSA  FEES</v>
      </c>
    </row>
    <row r="2320" spans="1:10" x14ac:dyDescent="0.25">
      <c r="A2320" t="str">
        <f>""</f>
        <v/>
      </c>
      <c r="B2320" t="str">
        <f>""</f>
        <v/>
      </c>
      <c r="G2320" t="str">
        <f>""</f>
        <v/>
      </c>
      <c r="H2320" t="str">
        <f>""</f>
        <v/>
      </c>
      <c r="I2320" s="4">
        <v>38.06</v>
      </c>
      <c r="J2320" t="str">
        <f t="shared" si="67"/>
        <v>STERLING - FSA  FEES</v>
      </c>
    </row>
    <row r="2321" spans="1:10" x14ac:dyDescent="0.25">
      <c r="A2321" t="str">
        <f>""</f>
        <v/>
      </c>
      <c r="B2321" t="str">
        <f>""</f>
        <v/>
      </c>
      <c r="G2321" t="str">
        <f>""</f>
        <v/>
      </c>
      <c r="H2321" t="str">
        <f>""</f>
        <v/>
      </c>
      <c r="I2321" s="4">
        <v>7</v>
      </c>
      <c r="J2321" t="str">
        <f t="shared" si="67"/>
        <v>STERLING - FSA  FEES</v>
      </c>
    </row>
    <row r="2322" spans="1:10" x14ac:dyDescent="0.25">
      <c r="A2322" t="str">
        <f>""</f>
        <v/>
      </c>
      <c r="B2322" t="str">
        <f>""</f>
        <v/>
      </c>
      <c r="G2322" t="str">
        <f>""</f>
        <v/>
      </c>
      <c r="H2322" t="str">
        <f>""</f>
        <v/>
      </c>
      <c r="I2322" s="4">
        <v>1.75</v>
      </c>
      <c r="J2322" t="str">
        <f t="shared" si="67"/>
        <v>STERLING - FSA  FEES</v>
      </c>
    </row>
    <row r="2323" spans="1:10" x14ac:dyDescent="0.25">
      <c r="A2323" t="str">
        <f>""</f>
        <v/>
      </c>
      <c r="B2323" t="str">
        <f>""</f>
        <v/>
      </c>
      <c r="G2323" t="str">
        <f>""</f>
        <v/>
      </c>
      <c r="H2323" t="str">
        <f>""</f>
        <v/>
      </c>
      <c r="I2323" s="4">
        <v>3.81</v>
      </c>
      <c r="J2323" t="str">
        <f t="shared" ref="J2323:J2334" si="68">"STERLING - FSA  FEES"</f>
        <v>STERLING - FSA  FEES</v>
      </c>
    </row>
    <row r="2324" spans="1:10" x14ac:dyDescent="0.25">
      <c r="A2324" t="str">
        <f>""</f>
        <v/>
      </c>
      <c r="B2324" t="str">
        <f>""</f>
        <v/>
      </c>
      <c r="G2324" t="str">
        <f>""</f>
        <v/>
      </c>
      <c r="H2324" t="str">
        <f>""</f>
        <v/>
      </c>
      <c r="I2324" s="4">
        <v>0.45</v>
      </c>
      <c r="J2324" t="str">
        <f t="shared" si="68"/>
        <v>STERLING - FSA  FEES</v>
      </c>
    </row>
    <row r="2325" spans="1:10" x14ac:dyDescent="0.25">
      <c r="A2325" t="str">
        <f>""</f>
        <v/>
      </c>
      <c r="B2325" t="str">
        <f>""</f>
        <v/>
      </c>
      <c r="G2325" t="str">
        <f>""</f>
        <v/>
      </c>
      <c r="H2325" t="str">
        <f>""</f>
        <v/>
      </c>
      <c r="I2325" s="4">
        <v>3.5</v>
      </c>
      <c r="J2325" t="str">
        <f t="shared" si="68"/>
        <v>STERLING - FSA  FEES</v>
      </c>
    </row>
    <row r="2326" spans="1:10" x14ac:dyDescent="0.25">
      <c r="A2326" t="str">
        <f>""</f>
        <v/>
      </c>
      <c r="B2326" t="str">
        <f>""</f>
        <v/>
      </c>
      <c r="G2326" t="str">
        <f>""</f>
        <v/>
      </c>
      <c r="H2326" t="str">
        <f>""</f>
        <v/>
      </c>
      <c r="I2326" s="4">
        <v>5.25</v>
      </c>
      <c r="J2326" t="str">
        <f t="shared" si="68"/>
        <v>STERLING - FSA  FEES</v>
      </c>
    </row>
    <row r="2327" spans="1:10" x14ac:dyDescent="0.25">
      <c r="A2327" t="str">
        <f>""</f>
        <v/>
      </c>
      <c r="B2327" t="str">
        <f>""</f>
        <v/>
      </c>
      <c r="G2327" t="str">
        <f>""</f>
        <v/>
      </c>
      <c r="H2327" t="str">
        <f>""</f>
        <v/>
      </c>
      <c r="I2327" s="4">
        <v>0.1</v>
      </c>
      <c r="J2327" t="str">
        <f t="shared" si="68"/>
        <v>STERLING - FSA  FEES</v>
      </c>
    </row>
    <row r="2328" spans="1:10" x14ac:dyDescent="0.25">
      <c r="A2328" t="str">
        <f>""</f>
        <v/>
      </c>
      <c r="B2328" t="str">
        <f>""</f>
        <v/>
      </c>
      <c r="G2328" t="str">
        <f>""</f>
        <v/>
      </c>
      <c r="H2328" t="str">
        <f>""</f>
        <v/>
      </c>
      <c r="I2328" s="4">
        <v>1.75</v>
      </c>
      <c r="J2328" t="str">
        <f t="shared" si="68"/>
        <v>STERLING - FSA  FEES</v>
      </c>
    </row>
    <row r="2329" spans="1:10" x14ac:dyDescent="0.25">
      <c r="A2329" t="str">
        <f>""</f>
        <v/>
      </c>
      <c r="B2329" t="str">
        <f>""</f>
        <v/>
      </c>
      <c r="G2329" t="str">
        <f>""</f>
        <v/>
      </c>
      <c r="H2329" t="str">
        <f>""</f>
        <v/>
      </c>
      <c r="I2329" s="4">
        <v>7</v>
      </c>
      <c r="J2329" t="str">
        <f t="shared" si="68"/>
        <v>STERLING - FSA  FEES</v>
      </c>
    </row>
    <row r="2330" spans="1:10" x14ac:dyDescent="0.25">
      <c r="A2330" t="str">
        <f>""</f>
        <v/>
      </c>
      <c r="B2330" t="str">
        <f>""</f>
        <v/>
      </c>
      <c r="G2330" t="str">
        <f>""</f>
        <v/>
      </c>
      <c r="H2330" t="str">
        <f>""</f>
        <v/>
      </c>
      <c r="I2330" s="4">
        <v>8.75</v>
      </c>
      <c r="J2330" t="str">
        <f t="shared" si="68"/>
        <v>STERLING - FSA  FEES</v>
      </c>
    </row>
    <row r="2331" spans="1:10" x14ac:dyDescent="0.25">
      <c r="A2331" t="str">
        <f>""</f>
        <v/>
      </c>
      <c r="B2331" t="str">
        <f>""</f>
        <v/>
      </c>
      <c r="G2331" t="str">
        <f>""</f>
        <v/>
      </c>
      <c r="H2331" t="str">
        <f>""</f>
        <v/>
      </c>
      <c r="I2331" s="4">
        <v>3.05</v>
      </c>
      <c r="J2331" t="str">
        <f t="shared" si="68"/>
        <v>STERLING - FSA  FEES</v>
      </c>
    </row>
    <row r="2332" spans="1:10" x14ac:dyDescent="0.25">
      <c r="A2332" t="str">
        <f>""</f>
        <v/>
      </c>
      <c r="B2332" t="str">
        <f>""</f>
        <v/>
      </c>
      <c r="G2332" t="str">
        <f>""</f>
        <v/>
      </c>
      <c r="H2332" t="str">
        <f>""</f>
        <v/>
      </c>
      <c r="I2332" s="4">
        <v>0.08</v>
      </c>
      <c r="J2332" t="str">
        <f t="shared" si="68"/>
        <v>STERLING - FSA  FEES</v>
      </c>
    </row>
    <row r="2333" spans="1:10" x14ac:dyDescent="0.25">
      <c r="A2333" t="str">
        <f>""</f>
        <v/>
      </c>
      <c r="B2333" t="str">
        <f>""</f>
        <v/>
      </c>
      <c r="G2333" t="str">
        <f>""</f>
        <v/>
      </c>
      <c r="H2333" t="str">
        <f>""</f>
        <v/>
      </c>
      <c r="I2333" s="4">
        <v>0.25</v>
      </c>
      <c r="J2333" t="str">
        <f t="shared" si="68"/>
        <v>STERLING - FSA  FEES</v>
      </c>
    </row>
    <row r="2334" spans="1:10" x14ac:dyDescent="0.25">
      <c r="A2334" t="str">
        <f>""</f>
        <v/>
      </c>
      <c r="B2334" t="str">
        <f>""</f>
        <v/>
      </c>
      <c r="G2334" t="str">
        <f>"FSF202202169062"</f>
        <v>FSF202202169062</v>
      </c>
      <c r="H2334" t="str">
        <f>"STERLING - FSA  FEES"</f>
        <v>STERLING - FSA  FEES</v>
      </c>
      <c r="I2334" s="4">
        <v>8.75</v>
      </c>
      <c r="J2334" t="str">
        <f t="shared" si="68"/>
        <v>STERLING - FSA  FEES</v>
      </c>
    </row>
    <row r="2335" spans="1:10" x14ac:dyDescent="0.25">
      <c r="A2335" t="str">
        <f>""</f>
        <v/>
      </c>
      <c r="B2335" t="str">
        <f>""</f>
        <v/>
      </c>
      <c r="G2335" t="str">
        <f>"HRF202202028715"</f>
        <v>HRF202202028715</v>
      </c>
      <c r="H2335" t="str">
        <f>"STERLING - HRA FEES"</f>
        <v>STERLING - HRA FEES</v>
      </c>
      <c r="I2335" s="4">
        <v>5.25</v>
      </c>
      <c r="J2335" t="str">
        <f t="shared" ref="J2335:J2398" si="69">"STERLING - HRA FEES"</f>
        <v>STERLING - HRA FEES</v>
      </c>
    </row>
    <row r="2336" spans="1:10" x14ac:dyDescent="0.25">
      <c r="A2336" t="str">
        <f>""</f>
        <v/>
      </c>
      <c r="B2336" t="str">
        <f>""</f>
        <v/>
      </c>
      <c r="G2336" t="str">
        <f>""</f>
        <v/>
      </c>
      <c r="H2336" t="str">
        <f>""</f>
        <v/>
      </c>
      <c r="I2336" s="4">
        <v>3.04</v>
      </c>
      <c r="J2336" t="str">
        <f t="shared" si="69"/>
        <v>STERLING - HRA FEES</v>
      </c>
    </row>
    <row r="2337" spans="1:10" x14ac:dyDescent="0.25">
      <c r="A2337" t="str">
        <f>""</f>
        <v/>
      </c>
      <c r="B2337" t="str">
        <f>""</f>
        <v/>
      </c>
      <c r="G2337" t="str">
        <f>""</f>
        <v/>
      </c>
      <c r="H2337" t="str">
        <f>""</f>
        <v/>
      </c>
      <c r="I2337" s="4">
        <v>13.8</v>
      </c>
      <c r="J2337" t="str">
        <f t="shared" si="69"/>
        <v>STERLING - HRA FEES</v>
      </c>
    </row>
    <row r="2338" spans="1:10" x14ac:dyDescent="0.25">
      <c r="A2338" t="str">
        <f>""</f>
        <v/>
      </c>
      <c r="B2338" t="str">
        <f>""</f>
        <v/>
      </c>
      <c r="G2338" t="str">
        <f>""</f>
        <v/>
      </c>
      <c r="H2338" t="str">
        <f>""</f>
        <v/>
      </c>
      <c r="I2338" s="4">
        <v>5.25</v>
      </c>
      <c r="J2338" t="str">
        <f t="shared" si="69"/>
        <v>STERLING - HRA FEES</v>
      </c>
    </row>
    <row r="2339" spans="1:10" x14ac:dyDescent="0.25">
      <c r="A2339" t="str">
        <f>""</f>
        <v/>
      </c>
      <c r="B2339" t="str">
        <f>""</f>
        <v/>
      </c>
      <c r="G2339" t="str">
        <f>""</f>
        <v/>
      </c>
      <c r="H2339" t="str">
        <f>""</f>
        <v/>
      </c>
      <c r="I2339" s="4">
        <v>3.5</v>
      </c>
      <c r="J2339" t="str">
        <f t="shared" si="69"/>
        <v>STERLING - HRA FEES</v>
      </c>
    </row>
    <row r="2340" spans="1:10" x14ac:dyDescent="0.25">
      <c r="A2340" t="str">
        <f>""</f>
        <v/>
      </c>
      <c r="B2340" t="str">
        <f>""</f>
        <v/>
      </c>
      <c r="G2340" t="str">
        <f>""</f>
        <v/>
      </c>
      <c r="H2340" t="str">
        <f>""</f>
        <v/>
      </c>
      <c r="I2340" s="4">
        <v>10.5</v>
      </c>
      <c r="J2340" t="str">
        <f t="shared" si="69"/>
        <v>STERLING - HRA FEES</v>
      </c>
    </row>
    <row r="2341" spans="1:10" x14ac:dyDescent="0.25">
      <c r="A2341" t="str">
        <f>""</f>
        <v/>
      </c>
      <c r="B2341" t="str">
        <f>""</f>
        <v/>
      </c>
      <c r="G2341" t="str">
        <f>""</f>
        <v/>
      </c>
      <c r="H2341" t="str">
        <f>""</f>
        <v/>
      </c>
      <c r="I2341" s="4">
        <v>36.75</v>
      </c>
      <c r="J2341" t="str">
        <f t="shared" si="69"/>
        <v>STERLING - HRA FEES</v>
      </c>
    </row>
    <row r="2342" spans="1:10" x14ac:dyDescent="0.25">
      <c r="A2342" t="str">
        <f>""</f>
        <v/>
      </c>
      <c r="B2342" t="str">
        <f>""</f>
        <v/>
      </c>
      <c r="G2342" t="str">
        <f>""</f>
        <v/>
      </c>
      <c r="H2342" t="str">
        <f>""</f>
        <v/>
      </c>
      <c r="I2342" s="4">
        <v>6.75</v>
      </c>
      <c r="J2342" t="str">
        <f t="shared" si="69"/>
        <v>STERLING - HRA FEES</v>
      </c>
    </row>
    <row r="2343" spans="1:10" x14ac:dyDescent="0.25">
      <c r="A2343" t="str">
        <f>""</f>
        <v/>
      </c>
      <c r="B2343" t="str">
        <f>""</f>
        <v/>
      </c>
      <c r="G2343" t="str">
        <f>""</f>
        <v/>
      </c>
      <c r="H2343" t="str">
        <f>""</f>
        <v/>
      </c>
      <c r="I2343" s="4">
        <v>8.75</v>
      </c>
      <c r="J2343" t="str">
        <f t="shared" si="69"/>
        <v>STERLING - HRA FEES</v>
      </c>
    </row>
    <row r="2344" spans="1:10" x14ac:dyDescent="0.25">
      <c r="A2344" t="str">
        <f>""</f>
        <v/>
      </c>
      <c r="B2344" t="str">
        <f>""</f>
        <v/>
      </c>
      <c r="G2344" t="str">
        <f>""</f>
        <v/>
      </c>
      <c r="H2344" t="str">
        <f>""</f>
        <v/>
      </c>
      <c r="I2344" s="4">
        <v>28</v>
      </c>
      <c r="J2344" t="str">
        <f t="shared" si="69"/>
        <v>STERLING - HRA FEES</v>
      </c>
    </row>
    <row r="2345" spans="1:10" x14ac:dyDescent="0.25">
      <c r="A2345" t="str">
        <f>""</f>
        <v/>
      </c>
      <c r="B2345" t="str">
        <f>""</f>
        <v/>
      </c>
      <c r="G2345" t="str">
        <f>""</f>
        <v/>
      </c>
      <c r="H2345" t="str">
        <f>""</f>
        <v/>
      </c>
      <c r="I2345" s="4">
        <v>7</v>
      </c>
      <c r="J2345" t="str">
        <f t="shared" si="69"/>
        <v>STERLING - HRA FEES</v>
      </c>
    </row>
    <row r="2346" spans="1:10" x14ac:dyDescent="0.25">
      <c r="A2346" t="str">
        <f>""</f>
        <v/>
      </c>
      <c r="B2346" t="str">
        <f>""</f>
        <v/>
      </c>
      <c r="G2346" t="str">
        <f>""</f>
        <v/>
      </c>
      <c r="H2346" t="str">
        <f>""</f>
        <v/>
      </c>
      <c r="I2346" s="4">
        <v>7</v>
      </c>
      <c r="J2346" t="str">
        <f t="shared" si="69"/>
        <v>STERLING - HRA FEES</v>
      </c>
    </row>
    <row r="2347" spans="1:10" x14ac:dyDescent="0.25">
      <c r="A2347" t="str">
        <f>""</f>
        <v/>
      </c>
      <c r="B2347" t="str">
        <f>""</f>
        <v/>
      </c>
      <c r="G2347" t="str">
        <f>""</f>
        <v/>
      </c>
      <c r="H2347" t="str">
        <f>""</f>
        <v/>
      </c>
      <c r="I2347" s="4">
        <v>7</v>
      </c>
      <c r="J2347" t="str">
        <f t="shared" si="69"/>
        <v>STERLING - HRA FEES</v>
      </c>
    </row>
    <row r="2348" spans="1:10" x14ac:dyDescent="0.25">
      <c r="A2348" t="str">
        <f>""</f>
        <v/>
      </c>
      <c r="B2348" t="str">
        <f>""</f>
        <v/>
      </c>
      <c r="G2348" t="str">
        <f>""</f>
        <v/>
      </c>
      <c r="H2348" t="str">
        <f>""</f>
        <v/>
      </c>
      <c r="I2348" s="4">
        <v>7</v>
      </c>
      <c r="J2348" t="str">
        <f t="shared" si="69"/>
        <v>STERLING - HRA FEES</v>
      </c>
    </row>
    <row r="2349" spans="1:10" x14ac:dyDescent="0.25">
      <c r="A2349" t="str">
        <f>""</f>
        <v/>
      </c>
      <c r="B2349" t="str">
        <f>""</f>
        <v/>
      </c>
      <c r="G2349" t="str">
        <f>""</f>
        <v/>
      </c>
      <c r="H2349" t="str">
        <f>""</f>
        <v/>
      </c>
      <c r="I2349" s="4">
        <v>3.5</v>
      </c>
      <c r="J2349" t="str">
        <f t="shared" si="69"/>
        <v>STERLING - HRA FEES</v>
      </c>
    </row>
    <row r="2350" spans="1:10" x14ac:dyDescent="0.25">
      <c r="A2350" t="str">
        <f>""</f>
        <v/>
      </c>
      <c r="B2350" t="str">
        <f>""</f>
        <v/>
      </c>
      <c r="G2350" t="str">
        <f>""</f>
        <v/>
      </c>
      <c r="H2350" t="str">
        <f>""</f>
        <v/>
      </c>
      <c r="I2350" s="4">
        <v>29.47</v>
      </c>
      <c r="J2350" t="str">
        <f t="shared" si="69"/>
        <v>STERLING - HRA FEES</v>
      </c>
    </row>
    <row r="2351" spans="1:10" x14ac:dyDescent="0.25">
      <c r="A2351" t="str">
        <f>""</f>
        <v/>
      </c>
      <c r="B2351" t="str">
        <f>""</f>
        <v/>
      </c>
      <c r="G2351" t="str">
        <f>""</f>
        <v/>
      </c>
      <c r="H2351" t="str">
        <f>""</f>
        <v/>
      </c>
      <c r="I2351" s="4">
        <v>12.25</v>
      </c>
      <c r="J2351" t="str">
        <f t="shared" si="69"/>
        <v>STERLING - HRA FEES</v>
      </c>
    </row>
    <row r="2352" spans="1:10" x14ac:dyDescent="0.25">
      <c r="A2352" t="str">
        <f>""</f>
        <v/>
      </c>
      <c r="B2352" t="str">
        <f>""</f>
        <v/>
      </c>
      <c r="G2352" t="str">
        <f>""</f>
        <v/>
      </c>
      <c r="H2352" t="str">
        <f>""</f>
        <v/>
      </c>
      <c r="I2352" s="4">
        <v>7</v>
      </c>
      <c r="J2352" t="str">
        <f t="shared" si="69"/>
        <v>STERLING - HRA FEES</v>
      </c>
    </row>
    <row r="2353" spans="1:10" x14ac:dyDescent="0.25">
      <c r="A2353" t="str">
        <f>""</f>
        <v/>
      </c>
      <c r="B2353" t="str">
        <f>""</f>
        <v/>
      </c>
      <c r="G2353" t="str">
        <f>""</f>
        <v/>
      </c>
      <c r="H2353" t="str">
        <f>""</f>
        <v/>
      </c>
      <c r="I2353" s="4">
        <v>7</v>
      </c>
      <c r="J2353" t="str">
        <f t="shared" si="69"/>
        <v>STERLING - HRA FEES</v>
      </c>
    </row>
    <row r="2354" spans="1:10" x14ac:dyDescent="0.25">
      <c r="A2354" t="str">
        <f>""</f>
        <v/>
      </c>
      <c r="B2354" t="str">
        <f>""</f>
        <v/>
      </c>
      <c r="G2354" t="str">
        <f>""</f>
        <v/>
      </c>
      <c r="H2354" t="str">
        <f>""</f>
        <v/>
      </c>
      <c r="I2354" s="4">
        <v>24.5</v>
      </c>
      <c r="J2354" t="str">
        <f t="shared" si="69"/>
        <v>STERLING - HRA FEES</v>
      </c>
    </row>
    <row r="2355" spans="1:10" x14ac:dyDescent="0.25">
      <c r="A2355" t="str">
        <f>""</f>
        <v/>
      </c>
      <c r="B2355" t="str">
        <f>""</f>
        <v/>
      </c>
      <c r="G2355" t="str">
        <f>""</f>
        <v/>
      </c>
      <c r="H2355" t="str">
        <f>""</f>
        <v/>
      </c>
      <c r="I2355" s="4">
        <v>12.25</v>
      </c>
      <c r="J2355" t="str">
        <f t="shared" si="69"/>
        <v>STERLING - HRA FEES</v>
      </c>
    </row>
    <row r="2356" spans="1:10" x14ac:dyDescent="0.25">
      <c r="A2356" t="str">
        <f>""</f>
        <v/>
      </c>
      <c r="B2356" t="str">
        <f>""</f>
        <v/>
      </c>
      <c r="G2356" t="str">
        <f>""</f>
        <v/>
      </c>
      <c r="H2356" t="str">
        <f>""</f>
        <v/>
      </c>
      <c r="I2356" s="4">
        <v>21</v>
      </c>
      <c r="J2356" t="str">
        <f t="shared" si="69"/>
        <v>STERLING - HRA FEES</v>
      </c>
    </row>
    <row r="2357" spans="1:10" x14ac:dyDescent="0.25">
      <c r="A2357" t="str">
        <f>""</f>
        <v/>
      </c>
      <c r="B2357" t="str">
        <f>""</f>
        <v/>
      </c>
      <c r="G2357" t="str">
        <f>""</f>
        <v/>
      </c>
      <c r="H2357" t="str">
        <f>""</f>
        <v/>
      </c>
      <c r="I2357" s="4">
        <v>22.75</v>
      </c>
      <c r="J2357" t="str">
        <f t="shared" si="69"/>
        <v>STERLING - HRA FEES</v>
      </c>
    </row>
    <row r="2358" spans="1:10" x14ac:dyDescent="0.25">
      <c r="A2358" t="str">
        <f>""</f>
        <v/>
      </c>
      <c r="B2358" t="str">
        <f>""</f>
        <v/>
      </c>
      <c r="G2358" t="str">
        <f>""</f>
        <v/>
      </c>
      <c r="H2358" t="str">
        <f>""</f>
        <v/>
      </c>
      <c r="I2358" s="4">
        <v>33.28</v>
      </c>
      <c r="J2358" t="str">
        <f t="shared" si="69"/>
        <v>STERLING - HRA FEES</v>
      </c>
    </row>
    <row r="2359" spans="1:10" x14ac:dyDescent="0.25">
      <c r="A2359" t="str">
        <f>""</f>
        <v/>
      </c>
      <c r="B2359" t="str">
        <f>""</f>
        <v/>
      </c>
      <c r="G2359" t="str">
        <f>""</f>
        <v/>
      </c>
      <c r="H2359" t="str">
        <f>""</f>
        <v/>
      </c>
      <c r="I2359" s="4">
        <v>1.75</v>
      </c>
      <c r="J2359" t="str">
        <f t="shared" si="69"/>
        <v>STERLING - HRA FEES</v>
      </c>
    </row>
    <row r="2360" spans="1:10" x14ac:dyDescent="0.25">
      <c r="A2360" t="str">
        <f>""</f>
        <v/>
      </c>
      <c r="B2360" t="str">
        <f>""</f>
        <v/>
      </c>
      <c r="G2360" t="str">
        <f>""</f>
        <v/>
      </c>
      <c r="H2360" t="str">
        <f>""</f>
        <v/>
      </c>
      <c r="I2360" s="4">
        <v>1.75</v>
      </c>
      <c r="J2360" t="str">
        <f t="shared" si="69"/>
        <v>STERLING - HRA FEES</v>
      </c>
    </row>
    <row r="2361" spans="1:10" x14ac:dyDescent="0.25">
      <c r="A2361" t="str">
        <f>""</f>
        <v/>
      </c>
      <c r="B2361" t="str">
        <f>""</f>
        <v/>
      </c>
      <c r="G2361" t="str">
        <f>""</f>
        <v/>
      </c>
      <c r="H2361" t="str">
        <f>""</f>
        <v/>
      </c>
      <c r="I2361" s="4">
        <v>1.75</v>
      </c>
      <c r="J2361" t="str">
        <f t="shared" si="69"/>
        <v>STERLING - HRA FEES</v>
      </c>
    </row>
    <row r="2362" spans="1:10" x14ac:dyDescent="0.25">
      <c r="A2362" t="str">
        <f>""</f>
        <v/>
      </c>
      <c r="B2362" t="str">
        <f>""</f>
        <v/>
      </c>
      <c r="G2362" t="str">
        <f>""</f>
        <v/>
      </c>
      <c r="H2362" t="str">
        <f>""</f>
        <v/>
      </c>
      <c r="I2362" s="4">
        <v>1.75</v>
      </c>
      <c r="J2362" t="str">
        <f t="shared" si="69"/>
        <v>STERLING - HRA FEES</v>
      </c>
    </row>
    <row r="2363" spans="1:10" x14ac:dyDescent="0.25">
      <c r="A2363" t="str">
        <f>""</f>
        <v/>
      </c>
      <c r="B2363" t="str">
        <f>""</f>
        <v/>
      </c>
      <c r="G2363" t="str">
        <f>""</f>
        <v/>
      </c>
      <c r="H2363" t="str">
        <f>""</f>
        <v/>
      </c>
      <c r="I2363" s="4">
        <v>168.42</v>
      </c>
      <c r="J2363" t="str">
        <f t="shared" si="69"/>
        <v>STERLING - HRA FEES</v>
      </c>
    </row>
    <row r="2364" spans="1:10" x14ac:dyDescent="0.25">
      <c r="A2364" t="str">
        <f>""</f>
        <v/>
      </c>
      <c r="B2364" t="str">
        <f>""</f>
        <v/>
      </c>
      <c r="G2364" t="str">
        <f>""</f>
        <v/>
      </c>
      <c r="H2364" t="str">
        <f>""</f>
        <v/>
      </c>
      <c r="I2364" s="4">
        <v>6.8</v>
      </c>
      <c r="J2364" t="str">
        <f t="shared" si="69"/>
        <v>STERLING - HRA FEES</v>
      </c>
    </row>
    <row r="2365" spans="1:10" x14ac:dyDescent="0.25">
      <c r="A2365" t="str">
        <f>""</f>
        <v/>
      </c>
      <c r="B2365" t="str">
        <f>""</f>
        <v/>
      </c>
      <c r="G2365" t="str">
        <f>""</f>
        <v/>
      </c>
      <c r="H2365" t="str">
        <f>""</f>
        <v/>
      </c>
      <c r="I2365" s="4">
        <v>153.79</v>
      </c>
      <c r="J2365" t="str">
        <f t="shared" si="69"/>
        <v>STERLING - HRA FEES</v>
      </c>
    </row>
    <row r="2366" spans="1:10" x14ac:dyDescent="0.25">
      <c r="A2366" t="str">
        <f>""</f>
        <v/>
      </c>
      <c r="B2366" t="str">
        <f>""</f>
        <v/>
      </c>
      <c r="G2366" t="str">
        <f>""</f>
        <v/>
      </c>
      <c r="H2366" t="str">
        <f>""</f>
        <v/>
      </c>
      <c r="I2366" s="4">
        <v>36.75</v>
      </c>
      <c r="J2366" t="str">
        <f t="shared" si="69"/>
        <v>STERLING - HRA FEES</v>
      </c>
    </row>
    <row r="2367" spans="1:10" x14ac:dyDescent="0.25">
      <c r="A2367" t="str">
        <f>""</f>
        <v/>
      </c>
      <c r="B2367" t="str">
        <f>""</f>
        <v/>
      </c>
      <c r="G2367" t="str">
        <f>""</f>
        <v/>
      </c>
      <c r="H2367" t="str">
        <f>""</f>
        <v/>
      </c>
      <c r="I2367" s="4">
        <v>3.5</v>
      </c>
      <c r="J2367" t="str">
        <f t="shared" si="69"/>
        <v>STERLING - HRA FEES</v>
      </c>
    </row>
    <row r="2368" spans="1:10" x14ac:dyDescent="0.25">
      <c r="A2368" t="str">
        <f>""</f>
        <v/>
      </c>
      <c r="B2368" t="str">
        <f>""</f>
        <v/>
      </c>
      <c r="G2368" t="str">
        <f>""</f>
        <v/>
      </c>
      <c r="H2368" t="str">
        <f>""</f>
        <v/>
      </c>
      <c r="I2368" s="4">
        <v>8.75</v>
      </c>
      <c r="J2368" t="str">
        <f t="shared" si="69"/>
        <v>STERLING - HRA FEES</v>
      </c>
    </row>
    <row r="2369" spans="1:10" x14ac:dyDescent="0.25">
      <c r="A2369" t="str">
        <f>""</f>
        <v/>
      </c>
      <c r="B2369" t="str">
        <f>""</f>
        <v/>
      </c>
      <c r="G2369" t="str">
        <f>""</f>
        <v/>
      </c>
      <c r="H2369" t="str">
        <f>""</f>
        <v/>
      </c>
      <c r="I2369" s="4">
        <v>0.45</v>
      </c>
      <c r="J2369" t="str">
        <f t="shared" si="69"/>
        <v>STERLING - HRA FEES</v>
      </c>
    </row>
    <row r="2370" spans="1:10" x14ac:dyDescent="0.25">
      <c r="A2370" t="str">
        <f>""</f>
        <v/>
      </c>
      <c r="B2370" t="str">
        <f>""</f>
        <v/>
      </c>
      <c r="G2370" t="str">
        <f>""</f>
        <v/>
      </c>
      <c r="H2370" t="str">
        <f>""</f>
        <v/>
      </c>
      <c r="I2370" s="4">
        <v>3.5</v>
      </c>
      <c r="J2370" t="str">
        <f t="shared" si="69"/>
        <v>STERLING - HRA FEES</v>
      </c>
    </row>
    <row r="2371" spans="1:10" x14ac:dyDescent="0.25">
      <c r="A2371" t="str">
        <f>""</f>
        <v/>
      </c>
      <c r="B2371" t="str">
        <f>""</f>
        <v/>
      </c>
      <c r="G2371" t="str">
        <f>""</f>
        <v/>
      </c>
      <c r="H2371" t="str">
        <f>""</f>
        <v/>
      </c>
      <c r="I2371" s="4">
        <v>1.75</v>
      </c>
      <c r="J2371" t="str">
        <f t="shared" si="69"/>
        <v>STERLING - HRA FEES</v>
      </c>
    </row>
    <row r="2372" spans="1:10" x14ac:dyDescent="0.25">
      <c r="A2372" t="str">
        <f>""</f>
        <v/>
      </c>
      <c r="B2372" t="str">
        <f>""</f>
        <v/>
      </c>
      <c r="G2372" t="str">
        <f>""</f>
        <v/>
      </c>
      <c r="H2372" t="str">
        <f>""</f>
        <v/>
      </c>
      <c r="I2372" s="4">
        <v>10.5</v>
      </c>
      <c r="J2372" t="str">
        <f t="shared" si="69"/>
        <v>STERLING - HRA FEES</v>
      </c>
    </row>
    <row r="2373" spans="1:10" x14ac:dyDescent="0.25">
      <c r="A2373" t="str">
        <f>""</f>
        <v/>
      </c>
      <c r="B2373" t="str">
        <f>""</f>
        <v/>
      </c>
      <c r="G2373" t="str">
        <f>""</f>
        <v/>
      </c>
      <c r="H2373" t="str">
        <f>""</f>
        <v/>
      </c>
      <c r="I2373" s="4">
        <v>3.5</v>
      </c>
      <c r="J2373" t="str">
        <f t="shared" si="69"/>
        <v>STERLING - HRA FEES</v>
      </c>
    </row>
    <row r="2374" spans="1:10" x14ac:dyDescent="0.25">
      <c r="A2374" t="str">
        <f>""</f>
        <v/>
      </c>
      <c r="B2374" t="str">
        <f>""</f>
        <v/>
      </c>
      <c r="G2374" t="str">
        <f>""</f>
        <v/>
      </c>
      <c r="H2374" t="str">
        <f>""</f>
        <v/>
      </c>
      <c r="I2374" s="4">
        <v>1.95</v>
      </c>
      <c r="J2374" t="str">
        <f t="shared" si="69"/>
        <v>STERLING - HRA FEES</v>
      </c>
    </row>
    <row r="2375" spans="1:10" x14ac:dyDescent="0.25">
      <c r="A2375" t="str">
        <f>""</f>
        <v/>
      </c>
      <c r="B2375" t="str">
        <f>""</f>
        <v/>
      </c>
      <c r="G2375" t="str">
        <f>""</f>
        <v/>
      </c>
      <c r="H2375" t="str">
        <f>""</f>
        <v/>
      </c>
      <c r="I2375" s="4">
        <v>20.67</v>
      </c>
      <c r="J2375" t="str">
        <f t="shared" si="69"/>
        <v>STERLING - HRA FEES</v>
      </c>
    </row>
    <row r="2376" spans="1:10" x14ac:dyDescent="0.25">
      <c r="A2376" t="str">
        <f>""</f>
        <v/>
      </c>
      <c r="B2376" t="str">
        <f>""</f>
        <v/>
      </c>
      <c r="G2376" t="str">
        <f>""</f>
        <v/>
      </c>
      <c r="H2376" t="str">
        <f>""</f>
        <v/>
      </c>
      <c r="I2376" s="4">
        <v>24.17</v>
      </c>
      <c r="J2376" t="str">
        <f t="shared" si="69"/>
        <v>STERLING - HRA FEES</v>
      </c>
    </row>
    <row r="2377" spans="1:10" x14ac:dyDescent="0.25">
      <c r="A2377" t="str">
        <f>""</f>
        <v/>
      </c>
      <c r="B2377" t="str">
        <f>""</f>
        <v/>
      </c>
      <c r="G2377" t="str">
        <f>""</f>
        <v/>
      </c>
      <c r="H2377" t="str">
        <f>""</f>
        <v/>
      </c>
      <c r="I2377" s="4">
        <v>24.17</v>
      </c>
      <c r="J2377" t="str">
        <f t="shared" si="69"/>
        <v>STERLING - HRA FEES</v>
      </c>
    </row>
    <row r="2378" spans="1:10" x14ac:dyDescent="0.25">
      <c r="A2378" t="str">
        <f>""</f>
        <v/>
      </c>
      <c r="B2378" t="str">
        <f>""</f>
        <v/>
      </c>
      <c r="G2378" t="str">
        <f>""</f>
        <v/>
      </c>
      <c r="H2378" t="str">
        <f>""</f>
        <v/>
      </c>
      <c r="I2378" s="4">
        <v>27.67</v>
      </c>
      <c r="J2378" t="str">
        <f t="shared" si="69"/>
        <v>STERLING - HRA FEES</v>
      </c>
    </row>
    <row r="2379" spans="1:10" x14ac:dyDescent="0.25">
      <c r="A2379" t="str">
        <f>""</f>
        <v/>
      </c>
      <c r="B2379" t="str">
        <f>""</f>
        <v/>
      </c>
      <c r="G2379" t="str">
        <f>""</f>
        <v/>
      </c>
      <c r="H2379" t="str">
        <f>""</f>
        <v/>
      </c>
      <c r="I2379" s="4">
        <v>3.05</v>
      </c>
      <c r="J2379" t="str">
        <f t="shared" si="69"/>
        <v>STERLING - HRA FEES</v>
      </c>
    </row>
    <row r="2380" spans="1:10" x14ac:dyDescent="0.25">
      <c r="A2380" t="str">
        <f>""</f>
        <v/>
      </c>
      <c r="B2380" t="str">
        <f>""</f>
        <v/>
      </c>
      <c r="G2380" t="str">
        <f>""</f>
        <v/>
      </c>
      <c r="H2380" t="str">
        <f>""</f>
        <v/>
      </c>
      <c r="I2380" s="4">
        <v>0.05</v>
      </c>
      <c r="J2380" t="str">
        <f t="shared" si="69"/>
        <v>STERLING - HRA FEES</v>
      </c>
    </row>
    <row r="2381" spans="1:10" x14ac:dyDescent="0.25">
      <c r="A2381" t="str">
        <f>""</f>
        <v/>
      </c>
      <c r="B2381" t="str">
        <f>""</f>
        <v/>
      </c>
      <c r="G2381" t="str">
        <f>""</f>
        <v/>
      </c>
      <c r="H2381" t="str">
        <f>""</f>
        <v/>
      </c>
      <c r="I2381" s="4">
        <v>0.23</v>
      </c>
      <c r="J2381" t="str">
        <f t="shared" si="69"/>
        <v>STERLING - HRA FEES</v>
      </c>
    </row>
    <row r="2382" spans="1:10" x14ac:dyDescent="0.25">
      <c r="A2382" t="str">
        <f>""</f>
        <v/>
      </c>
      <c r="B2382" t="str">
        <f>""</f>
        <v/>
      </c>
      <c r="G2382" t="str">
        <f>""</f>
        <v/>
      </c>
      <c r="H2382" t="str">
        <f>""</f>
        <v/>
      </c>
      <c r="I2382" s="4">
        <v>0.25</v>
      </c>
      <c r="J2382" t="str">
        <f t="shared" si="69"/>
        <v>STERLING - HRA FEES</v>
      </c>
    </row>
    <row r="2383" spans="1:10" x14ac:dyDescent="0.25">
      <c r="A2383" t="str">
        <f>""</f>
        <v/>
      </c>
      <c r="B2383" t="str">
        <f>""</f>
        <v/>
      </c>
      <c r="G2383" t="str">
        <f>""</f>
        <v/>
      </c>
      <c r="H2383" t="str">
        <f>""</f>
        <v/>
      </c>
      <c r="I2383" s="4">
        <v>1.74</v>
      </c>
      <c r="J2383" t="str">
        <f t="shared" si="69"/>
        <v>STERLING - HRA FEES</v>
      </c>
    </row>
    <row r="2384" spans="1:10" x14ac:dyDescent="0.25">
      <c r="A2384" t="str">
        <f>""</f>
        <v/>
      </c>
      <c r="B2384" t="str">
        <f>""</f>
        <v/>
      </c>
      <c r="G2384" t="str">
        <f>"HRF202202028716"</f>
        <v>HRF202202028716</v>
      </c>
      <c r="H2384" t="str">
        <f>"STERLING - HRA FEES"</f>
        <v>STERLING - HRA FEES</v>
      </c>
      <c r="I2384" s="4">
        <v>26.25</v>
      </c>
      <c r="J2384" t="str">
        <f t="shared" si="69"/>
        <v>STERLING - HRA FEES</v>
      </c>
    </row>
    <row r="2385" spans="1:10" x14ac:dyDescent="0.25">
      <c r="A2385" t="str">
        <f>""</f>
        <v/>
      </c>
      <c r="B2385" t="str">
        <f>""</f>
        <v/>
      </c>
      <c r="G2385" t="str">
        <f>"HRF202202169060"</f>
        <v>HRF202202169060</v>
      </c>
      <c r="H2385" t="str">
        <f>"STERLING - HRA FEES"</f>
        <v>STERLING - HRA FEES</v>
      </c>
      <c r="I2385" s="4">
        <v>5.25</v>
      </c>
      <c r="J2385" t="str">
        <f t="shared" si="69"/>
        <v>STERLING - HRA FEES</v>
      </c>
    </row>
    <row r="2386" spans="1:10" x14ac:dyDescent="0.25">
      <c r="A2386" t="str">
        <f>""</f>
        <v/>
      </c>
      <c r="B2386" t="str">
        <f>""</f>
        <v/>
      </c>
      <c r="G2386" t="str">
        <f>""</f>
        <v/>
      </c>
      <c r="H2386" t="str">
        <f>""</f>
        <v/>
      </c>
      <c r="I2386" s="4">
        <v>3.04</v>
      </c>
      <c r="J2386" t="str">
        <f t="shared" si="69"/>
        <v>STERLING - HRA FEES</v>
      </c>
    </row>
    <row r="2387" spans="1:10" x14ac:dyDescent="0.25">
      <c r="A2387" t="str">
        <f>""</f>
        <v/>
      </c>
      <c r="B2387" t="str">
        <f>""</f>
        <v/>
      </c>
      <c r="G2387" t="str">
        <f>""</f>
        <v/>
      </c>
      <c r="H2387" t="str">
        <f>""</f>
        <v/>
      </c>
      <c r="I2387" s="4">
        <v>12.99</v>
      </c>
      <c r="J2387" t="str">
        <f t="shared" si="69"/>
        <v>STERLING - HRA FEES</v>
      </c>
    </row>
    <row r="2388" spans="1:10" x14ac:dyDescent="0.25">
      <c r="A2388" t="str">
        <f>""</f>
        <v/>
      </c>
      <c r="B2388" t="str">
        <f>""</f>
        <v/>
      </c>
      <c r="G2388" t="str">
        <f>""</f>
        <v/>
      </c>
      <c r="H2388" t="str">
        <f>""</f>
        <v/>
      </c>
      <c r="I2388" s="4">
        <v>5.25</v>
      </c>
      <c r="J2388" t="str">
        <f t="shared" si="69"/>
        <v>STERLING - HRA FEES</v>
      </c>
    </row>
    <row r="2389" spans="1:10" x14ac:dyDescent="0.25">
      <c r="A2389" t="str">
        <f>""</f>
        <v/>
      </c>
      <c r="B2389" t="str">
        <f>""</f>
        <v/>
      </c>
      <c r="G2389" t="str">
        <f>""</f>
        <v/>
      </c>
      <c r="H2389" t="str">
        <f>""</f>
        <v/>
      </c>
      <c r="I2389" s="4">
        <v>3.5</v>
      </c>
      <c r="J2389" t="str">
        <f t="shared" si="69"/>
        <v>STERLING - HRA FEES</v>
      </c>
    </row>
    <row r="2390" spans="1:10" x14ac:dyDescent="0.25">
      <c r="A2390" t="str">
        <f>""</f>
        <v/>
      </c>
      <c r="B2390" t="str">
        <f>""</f>
        <v/>
      </c>
      <c r="G2390" t="str">
        <f>""</f>
        <v/>
      </c>
      <c r="H2390" t="str">
        <f>""</f>
        <v/>
      </c>
      <c r="I2390" s="4">
        <v>9.64</v>
      </c>
      <c r="J2390" t="str">
        <f t="shared" si="69"/>
        <v>STERLING - HRA FEES</v>
      </c>
    </row>
    <row r="2391" spans="1:10" x14ac:dyDescent="0.25">
      <c r="A2391" t="str">
        <f>""</f>
        <v/>
      </c>
      <c r="B2391" t="str">
        <f>""</f>
        <v/>
      </c>
      <c r="G2391" t="str">
        <f>""</f>
        <v/>
      </c>
      <c r="H2391" t="str">
        <f>""</f>
        <v/>
      </c>
      <c r="I2391" s="4">
        <v>36.75</v>
      </c>
      <c r="J2391" t="str">
        <f t="shared" si="69"/>
        <v>STERLING - HRA FEES</v>
      </c>
    </row>
    <row r="2392" spans="1:10" x14ac:dyDescent="0.25">
      <c r="A2392" t="str">
        <f>""</f>
        <v/>
      </c>
      <c r="B2392" t="str">
        <f>""</f>
        <v/>
      </c>
      <c r="G2392" t="str">
        <f>""</f>
        <v/>
      </c>
      <c r="H2392" t="str">
        <f>""</f>
        <v/>
      </c>
      <c r="I2392" s="4">
        <v>6.75</v>
      </c>
      <c r="J2392" t="str">
        <f t="shared" si="69"/>
        <v>STERLING - HRA FEES</v>
      </c>
    </row>
    <row r="2393" spans="1:10" x14ac:dyDescent="0.25">
      <c r="A2393" t="str">
        <f>""</f>
        <v/>
      </c>
      <c r="B2393" t="str">
        <f>""</f>
        <v/>
      </c>
      <c r="G2393" t="str">
        <f>""</f>
        <v/>
      </c>
      <c r="H2393" t="str">
        <f>""</f>
        <v/>
      </c>
      <c r="I2393" s="4">
        <v>7.74</v>
      </c>
      <c r="J2393" t="str">
        <f t="shared" si="69"/>
        <v>STERLING - HRA FEES</v>
      </c>
    </row>
    <row r="2394" spans="1:10" x14ac:dyDescent="0.25">
      <c r="A2394" t="str">
        <f>""</f>
        <v/>
      </c>
      <c r="B2394" t="str">
        <f>""</f>
        <v/>
      </c>
      <c r="G2394" t="str">
        <f>""</f>
        <v/>
      </c>
      <c r="H2394" t="str">
        <f>""</f>
        <v/>
      </c>
      <c r="I2394" s="4">
        <v>28</v>
      </c>
      <c r="J2394" t="str">
        <f t="shared" si="69"/>
        <v>STERLING - HRA FEES</v>
      </c>
    </row>
    <row r="2395" spans="1:10" x14ac:dyDescent="0.25">
      <c r="A2395" t="str">
        <f>""</f>
        <v/>
      </c>
      <c r="B2395" t="str">
        <f>""</f>
        <v/>
      </c>
      <c r="G2395" t="str">
        <f>""</f>
        <v/>
      </c>
      <c r="H2395" t="str">
        <f>""</f>
        <v/>
      </c>
      <c r="I2395" s="4">
        <v>7</v>
      </c>
      <c r="J2395" t="str">
        <f t="shared" si="69"/>
        <v>STERLING - HRA FEES</v>
      </c>
    </row>
    <row r="2396" spans="1:10" x14ac:dyDescent="0.25">
      <c r="A2396" t="str">
        <f>""</f>
        <v/>
      </c>
      <c r="B2396" t="str">
        <f>""</f>
        <v/>
      </c>
      <c r="G2396" t="str">
        <f>""</f>
        <v/>
      </c>
      <c r="H2396" t="str">
        <f>""</f>
        <v/>
      </c>
      <c r="I2396" s="4">
        <v>7</v>
      </c>
      <c r="J2396" t="str">
        <f t="shared" si="69"/>
        <v>STERLING - HRA FEES</v>
      </c>
    </row>
    <row r="2397" spans="1:10" x14ac:dyDescent="0.25">
      <c r="A2397" t="str">
        <f>""</f>
        <v/>
      </c>
      <c r="B2397" t="str">
        <f>""</f>
        <v/>
      </c>
      <c r="G2397" t="str">
        <f>""</f>
        <v/>
      </c>
      <c r="H2397" t="str">
        <f>""</f>
        <v/>
      </c>
      <c r="I2397" s="4">
        <v>7</v>
      </c>
      <c r="J2397" t="str">
        <f t="shared" si="69"/>
        <v>STERLING - HRA FEES</v>
      </c>
    </row>
    <row r="2398" spans="1:10" x14ac:dyDescent="0.25">
      <c r="A2398" t="str">
        <f>""</f>
        <v/>
      </c>
      <c r="B2398" t="str">
        <f>""</f>
        <v/>
      </c>
      <c r="G2398" t="str">
        <f>""</f>
        <v/>
      </c>
      <c r="H2398" t="str">
        <f>""</f>
        <v/>
      </c>
      <c r="I2398" s="4">
        <v>7</v>
      </c>
      <c r="J2398" t="str">
        <f t="shared" si="69"/>
        <v>STERLING - HRA FEES</v>
      </c>
    </row>
    <row r="2399" spans="1:10" x14ac:dyDescent="0.25">
      <c r="A2399" t="str">
        <f>""</f>
        <v/>
      </c>
      <c r="B2399" t="str">
        <f>""</f>
        <v/>
      </c>
      <c r="G2399" t="str">
        <f>""</f>
        <v/>
      </c>
      <c r="H2399" t="str">
        <f>""</f>
        <v/>
      </c>
      <c r="I2399" s="4">
        <v>3.5</v>
      </c>
      <c r="J2399" t="str">
        <f t="shared" ref="J2399:J2434" si="70">"STERLING - HRA FEES"</f>
        <v>STERLING - HRA FEES</v>
      </c>
    </row>
    <row r="2400" spans="1:10" x14ac:dyDescent="0.25">
      <c r="A2400" t="str">
        <f>""</f>
        <v/>
      </c>
      <c r="B2400" t="str">
        <f>""</f>
        <v/>
      </c>
      <c r="G2400" t="str">
        <f>""</f>
        <v/>
      </c>
      <c r="H2400" t="str">
        <f>""</f>
        <v/>
      </c>
      <c r="I2400" s="4">
        <v>29.47</v>
      </c>
      <c r="J2400" t="str">
        <f t="shared" si="70"/>
        <v>STERLING - HRA FEES</v>
      </c>
    </row>
    <row r="2401" spans="1:10" x14ac:dyDescent="0.25">
      <c r="A2401" t="str">
        <f>""</f>
        <v/>
      </c>
      <c r="B2401" t="str">
        <f>""</f>
        <v/>
      </c>
      <c r="G2401" t="str">
        <f>""</f>
        <v/>
      </c>
      <c r="H2401" t="str">
        <f>""</f>
        <v/>
      </c>
      <c r="I2401" s="4">
        <v>12.25</v>
      </c>
      <c r="J2401" t="str">
        <f t="shared" si="70"/>
        <v>STERLING - HRA FEES</v>
      </c>
    </row>
    <row r="2402" spans="1:10" x14ac:dyDescent="0.25">
      <c r="A2402" t="str">
        <f>""</f>
        <v/>
      </c>
      <c r="B2402" t="str">
        <f>""</f>
        <v/>
      </c>
      <c r="G2402" t="str">
        <f>""</f>
        <v/>
      </c>
      <c r="H2402" t="str">
        <f>""</f>
        <v/>
      </c>
      <c r="I2402" s="4">
        <v>7</v>
      </c>
      <c r="J2402" t="str">
        <f t="shared" si="70"/>
        <v>STERLING - HRA FEES</v>
      </c>
    </row>
    <row r="2403" spans="1:10" x14ac:dyDescent="0.25">
      <c r="A2403" t="str">
        <f>""</f>
        <v/>
      </c>
      <c r="B2403" t="str">
        <f>""</f>
        <v/>
      </c>
      <c r="G2403" t="str">
        <f>""</f>
        <v/>
      </c>
      <c r="H2403" t="str">
        <f>""</f>
        <v/>
      </c>
      <c r="I2403" s="4">
        <v>7</v>
      </c>
      <c r="J2403" t="str">
        <f t="shared" si="70"/>
        <v>STERLING - HRA FEES</v>
      </c>
    </row>
    <row r="2404" spans="1:10" x14ac:dyDescent="0.25">
      <c r="A2404" t="str">
        <f>""</f>
        <v/>
      </c>
      <c r="B2404" t="str">
        <f>""</f>
        <v/>
      </c>
      <c r="G2404" t="str">
        <f>""</f>
        <v/>
      </c>
      <c r="H2404" t="str">
        <f>""</f>
        <v/>
      </c>
      <c r="I2404" s="4">
        <v>24.5</v>
      </c>
      <c r="J2404" t="str">
        <f t="shared" si="70"/>
        <v>STERLING - HRA FEES</v>
      </c>
    </row>
    <row r="2405" spans="1:10" x14ac:dyDescent="0.25">
      <c r="A2405" t="str">
        <f>""</f>
        <v/>
      </c>
      <c r="B2405" t="str">
        <f>""</f>
        <v/>
      </c>
      <c r="G2405" t="str">
        <f>""</f>
        <v/>
      </c>
      <c r="H2405" t="str">
        <f>""</f>
        <v/>
      </c>
      <c r="I2405" s="4">
        <v>12.25</v>
      </c>
      <c r="J2405" t="str">
        <f t="shared" si="70"/>
        <v>STERLING - HRA FEES</v>
      </c>
    </row>
    <row r="2406" spans="1:10" x14ac:dyDescent="0.25">
      <c r="A2406" t="str">
        <f>""</f>
        <v/>
      </c>
      <c r="B2406" t="str">
        <f>""</f>
        <v/>
      </c>
      <c r="G2406" t="str">
        <f>""</f>
        <v/>
      </c>
      <c r="H2406" t="str">
        <f>""</f>
        <v/>
      </c>
      <c r="I2406" s="4">
        <v>21</v>
      </c>
      <c r="J2406" t="str">
        <f t="shared" si="70"/>
        <v>STERLING - HRA FEES</v>
      </c>
    </row>
    <row r="2407" spans="1:10" x14ac:dyDescent="0.25">
      <c r="A2407" t="str">
        <f>""</f>
        <v/>
      </c>
      <c r="B2407" t="str">
        <f>""</f>
        <v/>
      </c>
      <c r="G2407" t="str">
        <f>""</f>
        <v/>
      </c>
      <c r="H2407" t="str">
        <f>""</f>
        <v/>
      </c>
      <c r="I2407" s="4">
        <v>22.75</v>
      </c>
      <c r="J2407" t="str">
        <f t="shared" si="70"/>
        <v>STERLING - HRA FEES</v>
      </c>
    </row>
    <row r="2408" spans="1:10" x14ac:dyDescent="0.25">
      <c r="A2408" t="str">
        <f>""</f>
        <v/>
      </c>
      <c r="B2408" t="str">
        <f>""</f>
        <v/>
      </c>
      <c r="G2408" t="str">
        <f>""</f>
        <v/>
      </c>
      <c r="H2408" t="str">
        <f>""</f>
        <v/>
      </c>
      <c r="I2408" s="4">
        <v>34.159999999999997</v>
      </c>
      <c r="J2408" t="str">
        <f t="shared" si="70"/>
        <v>STERLING - HRA FEES</v>
      </c>
    </row>
    <row r="2409" spans="1:10" x14ac:dyDescent="0.25">
      <c r="A2409" t="str">
        <f>""</f>
        <v/>
      </c>
      <c r="B2409" t="str">
        <f>""</f>
        <v/>
      </c>
      <c r="G2409" t="str">
        <f>""</f>
        <v/>
      </c>
      <c r="H2409" t="str">
        <f>""</f>
        <v/>
      </c>
      <c r="I2409" s="4">
        <v>1.75</v>
      </c>
      <c r="J2409" t="str">
        <f t="shared" si="70"/>
        <v>STERLING - HRA FEES</v>
      </c>
    </row>
    <row r="2410" spans="1:10" x14ac:dyDescent="0.25">
      <c r="A2410" t="str">
        <f>""</f>
        <v/>
      </c>
      <c r="B2410" t="str">
        <f>""</f>
        <v/>
      </c>
      <c r="G2410" t="str">
        <f>""</f>
        <v/>
      </c>
      <c r="H2410" t="str">
        <f>""</f>
        <v/>
      </c>
      <c r="I2410" s="4">
        <v>1.75</v>
      </c>
      <c r="J2410" t="str">
        <f t="shared" si="70"/>
        <v>STERLING - HRA FEES</v>
      </c>
    </row>
    <row r="2411" spans="1:10" x14ac:dyDescent="0.25">
      <c r="A2411" t="str">
        <f>""</f>
        <v/>
      </c>
      <c r="B2411" t="str">
        <f>""</f>
        <v/>
      </c>
      <c r="G2411" t="str">
        <f>""</f>
        <v/>
      </c>
      <c r="H2411" t="str">
        <f>""</f>
        <v/>
      </c>
      <c r="I2411" s="4">
        <v>1.75</v>
      </c>
      <c r="J2411" t="str">
        <f t="shared" si="70"/>
        <v>STERLING - HRA FEES</v>
      </c>
    </row>
    <row r="2412" spans="1:10" x14ac:dyDescent="0.25">
      <c r="A2412" t="str">
        <f>""</f>
        <v/>
      </c>
      <c r="B2412" t="str">
        <f>""</f>
        <v/>
      </c>
      <c r="G2412" t="str">
        <f>""</f>
        <v/>
      </c>
      <c r="H2412" t="str">
        <f>""</f>
        <v/>
      </c>
      <c r="I2412" s="4">
        <v>1.75</v>
      </c>
      <c r="J2412" t="str">
        <f t="shared" si="70"/>
        <v>STERLING - HRA FEES</v>
      </c>
    </row>
    <row r="2413" spans="1:10" x14ac:dyDescent="0.25">
      <c r="A2413" t="str">
        <f>""</f>
        <v/>
      </c>
      <c r="B2413" t="str">
        <f>""</f>
        <v/>
      </c>
      <c r="G2413" t="str">
        <f>""</f>
        <v/>
      </c>
      <c r="H2413" t="str">
        <f>""</f>
        <v/>
      </c>
      <c r="I2413" s="4">
        <v>169.45</v>
      </c>
      <c r="J2413" t="str">
        <f t="shared" si="70"/>
        <v>STERLING - HRA FEES</v>
      </c>
    </row>
    <row r="2414" spans="1:10" x14ac:dyDescent="0.25">
      <c r="A2414" t="str">
        <f>""</f>
        <v/>
      </c>
      <c r="B2414" t="str">
        <f>""</f>
        <v/>
      </c>
      <c r="G2414" t="str">
        <f>""</f>
        <v/>
      </c>
      <c r="H2414" t="str">
        <f>""</f>
        <v/>
      </c>
      <c r="I2414" s="4">
        <v>6.4</v>
      </c>
      <c r="J2414" t="str">
        <f t="shared" si="70"/>
        <v>STERLING - HRA FEES</v>
      </c>
    </row>
    <row r="2415" spans="1:10" x14ac:dyDescent="0.25">
      <c r="A2415" t="str">
        <f>""</f>
        <v/>
      </c>
      <c r="B2415" t="str">
        <f>""</f>
        <v/>
      </c>
      <c r="G2415" t="str">
        <f>""</f>
        <v/>
      </c>
      <c r="H2415" t="str">
        <f>""</f>
        <v/>
      </c>
      <c r="I2415" s="4">
        <v>153.72</v>
      </c>
      <c r="J2415" t="str">
        <f t="shared" si="70"/>
        <v>STERLING - HRA FEES</v>
      </c>
    </row>
    <row r="2416" spans="1:10" x14ac:dyDescent="0.25">
      <c r="A2416" t="str">
        <f>""</f>
        <v/>
      </c>
      <c r="B2416" t="str">
        <f>""</f>
        <v/>
      </c>
      <c r="G2416" t="str">
        <f>""</f>
        <v/>
      </c>
      <c r="H2416" t="str">
        <f>""</f>
        <v/>
      </c>
      <c r="I2416" s="4">
        <v>36.75</v>
      </c>
      <c r="J2416" t="str">
        <f t="shared" si="70"/>
        <v>STERLING - HRA FEES</v>
      </c>
    </row>
    <row r="2417" spans="1:10" x14ac:dyDescent="0.25">
      <c r="A2417" t="str">
        <f>""</f>
        <v/>
      </c>
      <c r="B2417" t="str">
        <f>""</f>
        <v/>
      </c>
      <c r="G2417" t="str">
        <f>""</f>
        <v/>
      </c>
      <c r="H2417" t="str">
        <f>""</f>
        <v/>
      </c>
      <c r="I2417" s="4">
        <v>3.5</v>
      </c>
      <c r="J2417" t="str">
        <f t="shared" si="70"/>
        <v>STERLING - HRA FEES</v>
      </c>
    </row>
    <row r="2418" spans="1:10" x14ac:dyDescent="0.25">
      <c r="A2418" t="str">
        <f>""</f>
        <v/>
      </c>
      <c r="B2418" t="str">
        <f>""</f>
        <v/>
      </c>
      <c r="G2418" t="str">
        <f>""</f>
        <v/>
      </c>
      <c r="H2418" t="str">
        <f>""</f>
        <v/>
      </c>
      <c r="I2418" s="4">
        <v>9.1999999999999993</v>
      </c>
      <c r="J2418" t="str">
        <f t="shared" si="70"/>
        <v>STERLING - HRA FEES</v>
      </c>
    </row>
    <row r="2419" spans="1:10" x14ac:dyDescent="0.25">
      <c r="A2419" t="str">
        <f>""</f>
        <v/>
      </c>
      <c r="B2419" t="str">
        <f>""</f>
        <v/>
      </c>
      <c r="G2419" t="str">
        <f>""</f>
        <v/>
      </c>
      <c r="H2419" t="str">
        <f>""</f>
        <v/>
      </c>
      <c r="I2419" s="4">
        <v>0.45</v>
      </c>
      <c r="J2419" t="str">
        <f t="shared" si="70"/>
        <v>STERLING - HRA FEES</v>
      </c>
    </row>
    <row r="2420" spans="1:10" x14ac:dyDescent="0.25">
      <c r="A2420" t="str">
        <f>""</f>
        <v/>
      </c>
      <c r="B2420" t="str">
        <f>""</f>
        <v/>
      </c>
      <c r="G2420" t="str">
        <f>""</f>
        <v/>
      </c>
      <c r="H2420" t="str">
        <f>""</f>
        <v/>
      </c>
      <c r="I2420" s="4">
        <v>5.25</v>
      </c>
      <c r="J2420" t="str">
        <f t="shared" si="70"/>
        <v>STERLING - HRA FEES</v>
      </c>
    </row>
    <row r="2421" spans="1:10" x14ac:dyDescent="0.25">
      <c r="A2421" t="str">
        <f>""</f>
        <v/>
      </c>
      <c r="B2421" t="str">
        <f>""</f>
        <v/>
      </c>
      <c r="G2421" t="str">
        <f>""</f>
        <v/>
      </c>
      <c r="H2421" t="str">
        <f>""</f>
        <v/>
      </c>
      <c r="I2421" s="4">
        <v>1.75</v>
      </c>
      <c r="J2421" t="str">
        <f t="shared" si="70"/>
        <v>STERLING - HRA FEES</v>
      </c>
    </row>
    <row r="2422" spans="1:10" x14ac:dyDescent="0.25">
      <c r="A2422" t="str">
        <f>""</f>
        <v/>
      </c>
      <c r="B2422" t="str">
        <f>""</f>
        <v/>
      </c>
      <c r="G2422" t="str">
        <f>""</f>
        <v/>
      </c>
      <c r="H2422" t="str">
        <f>""</f>
        <v/>
      </c>
      <c r="I2422" s="4">
        <v>11.37</v>
      </c>
      <c r="J2422" t="str">
        <f t="shared" si="70"/>
        <v>STERLING - HRA FEES</v>
      </c>
    </row>
    <row r="2423" spans="1:10" x14ac:dyDescent="0.25">
      <c r="A2423" t="str">
        <f>""</f>
        <v/>
      </c>
      <c r="B2423" t="str">
        <f>""</f>
        <v/>
      </c>
      <c r="G2423" t="str">
        <f>""</f>
        <v/>
      </c>
      <c r="H2423" t="str">
        <f>""</f>
        <v/>
      </c>
      <c r="I2423" s="4">
        <v>3.5</v>
      </c>
      <c r="J2423" t="str">
        <f t="shared" si="70"/>
        <v>STERLING - HRA FEES</v>
      </c>
    </row>
    <row r="2424" spans="1:10" x14ac:dyDescent="0.25">
      <c r="A2424" t="str">
        <f>""</f>
        <v/>
      </c>
      <c r="B2424" t="str">
        <f>""</f>
        <v/>
      </c>
      <c r="G2424" t="str">
        <f>""</f>
        <v/>
      </c>
      <c r="H2424" t="str">
        <f>""</f>
        <v/>
      </c>
      <c r="I2424" s="4">
        <v>1.87</v>
      </c>
      <c r="J2424" t="str">
        <f t="shared" si="70"/>
        <v>STERLING - HRA FEES</v>
      </c>
    </row>
    <row r="2425" spans="1:10" x14ac:dyDescent="0.25">
      <c r="A2425" t="str">
        <f>""</f>
        <v/>
      </c>
      <c r="B2425" t="str">
        <f>""</f>
        <v/>
      </c>
      <c r="G2425" t="str">
        <f>""</f>
        <v/>
      </c>
      <c r="H2425" t="str">
        <f>""</f>
        <v/>
      </c>
      <c r="I2425" s="4">
        <v>20.67</v>
      </c>
      <c r="J2425" t="str">
        <f t="shared" si="70"/>
        <v>STERLING - HRA FEES</v>
      </c>
    </row>
    <row r="2426" spans="1:10" x14ac:dyDescent="0.25">
      <c r="A2426" t="str">
        <f>""</f>
        <v/>
      </c>
      <c r="B2426" t="str">
        <f>""</f>
        <v/>
      </c>
      <c r="G2426" t="str">
        <f>""</f>
        <v/>
      </c>
      <c r="H2426" t="str">
        <f>""</f>
        <v/>
      </c>
      <c r="I2426" s="4">
        <v>24.17</v>
      </c>
      <c r="J2426" t="str">
        <f t="shared" si="70"/>
        <v>STERLING - HRA FEES</v>
      </c>
    </row>
    <row r="2427" spans="1:10" x14ac:dyDescent="0.25">
      <c r="A2427" t="str">
        <f>""</f>
        <v/>
      </c>
      <c r="B2427" t="str">
        <f>""</f>
        <v/>
      </c>
      <c r="G2427" t="str">
        <f>""</f>
        <v/>
      </c>
      <c r="H2427" t="str">
        <f>""</f>
        <v/>
      </c>
      <c r="I2427" s="4">
        <v>24.17</v>
      </c>
      <c r="J2427" t="str">
        <f t="shared" si="70"/>
        <v>STERLING - HRA FEES</v>
      </c>
    </row>
    <row r="2428" spans="1:10" x14ac:dyDescent="0.25">
      <c r="A2428" t="str">
        <f>""</f>
        <v/>
      </c>
      <c r="B2428" t="str">
        <f>""</f>
        <v/>
      </c>
      <c r="G2428" t="str">
        <f>""</f>
        <v/>
      </c>
      <c r="H2428" t="str">
        <f>""</f>
        <v/>
      </c>
      <c r="I2428" s="4">
        <v>27.67</v>
      </c>
      <c r="J2428" t="str">
        <f t="shared" si="70"/>
        <v>STERLING - HRA FEES</v>
      </c>
    </row>
    <row r="2429" spans="1:10" x14ac:dyDescent="0.25">
      <c r="A2429" t="str">
        <f>""</f>
        <v/>
      </c>
      <c r="B2429" t="str">
        <f>""</f>
        <v/>
      </c>
      <c r="G2429" t="str">
        <f>""</f>
        <v/>
      </c>
      <c r="H2429" t="str">
        <f>""</f>
        <v/>
      </c>
      <c r="I2429" s="4">
        <v>3.05</v>
      </c>
      <c r="J2429" t="str">
        <f t="shared" si="70"/>
        <v>STERLING - HRA FEES</v>
      </c>
    </row>
    <row r="2430" spans="1:10" x14ac:dyDescent="0.25">
      <c r="A2430" t="str">
        <f>""</f>
        <v/>
      </c>
      <c r="B2430" t="str">
        <f>""</f>
        <v/>
      </c>
      <c r="G2430" t="str">
        <f>""</f>
        <v/>
      </c>
      <c r="H2430" t="str">
        <f>""</f>
        <v/>
      </c>
      <c r="I2430" s="4">
        <v>0.05</v>
      </c>
      <c r="J2430" t="str">
        <f t="shared" si="70"/>
        <v>STERLING - HRA FEES</v>
      </c>
    </row>
    <row r="2431" spans="1:10" x14ac:dyDescent="0.25">
      <c r="A2431" t="str">
        <f>""</f>
        <v/>
      </c>
      <c r="B2431" t="str">
        <f>""</f>
        <v/>
      </c>
      <c r="G2431" t="str">
        <f>""</f>
        <v/>
      </c>
      <c r="H2431" t="str">
        <f>""</f>
        <v/>
      </c>
      <c r="I2431" s="4">
        <v>0.23</v>
      </c>
      <c r="J2431" t="str">
        <f t="shared" si="70"/>
        <v>STERLING - HRA FEES</v>
      </c>
    </row>
    <row r="2432" spans="1:10" x14ac:dyDescent="0.25">
      <c r="A2432" t="str">
        <f>""</f>
        <v/>
      </c>
      <c r="B2432" t="str">
        <f>""</f>
        <v/>
      </c>
      <c r="G2432" t="str">
        <f>""</f>
        <v/>
      </c>
      <c r="H2432" t="str">
        <f>""</f>
        <v/>
      </c>
      <c r="I2432" s="4">
        <v>0.25</v>
      </c>
      <c r="J2432" t="str">
        <f t="shared" si="70"/>
        <v>STERLING - HRA FEES</v>
      </c>
    </row>
    <row r="2433" spans="1:10" x14ac:dyDescent="0.25">
      <c r="A2433" t="str">
        <f>""</f>
        <v/>
      </c>
      <c r="B2433" t="str">
        <f>""</f>
        <v/>
      </c>
      <c r="G2433" t="str">
        <f>""</f>
        <v/>
      </c>
      <c r="H2433" t="str">
        <f>""</f>
        <v/>
      </c>
      <c r="I2433" s="4">
        <v>1.74</v>
      </c>
      <c r="J2433" t="str">
        <f t="shared" si="70"/>
        <v>STERLING - HRA FEES</v>
      </c>
    </row>
    <row r="2434" spans="1:10" x14ac:dyDescent="0.25">
      <c r="A2434" t="str">
        <f>""</f>
        <v/>
      </c>
      <c r="B2434" t="str">
        <f>""</f>
        <v/>
      </c>
      <c r="G2434" t="str">
        <f>"HRF202202169062"</f>
        <v>HRF202202169062</v>
      </c>
      <c r="H2434" t="str">
        <f>"STERLING - HRA FEES"</f>
        <v>STERLING - HRA FEES</v>
      </c>
      <c r="I2434" s="4">
        <v>24.5</v>
      </c>
      <c r="J2434" t="str">
        <f t="shared" si="70"/>
        <v>STERLING - HRA FEES</v>
      </c>
    </row>
    <row r="2435" spans="1:10" x14ac:dyDescent="0.25">
      <c r="A2435" t="str">
        <f>"01"</f>
        <v>01</v>
      </c>
      <c r="B2435" t="str">
        <f>"TACHEB"</f>
        <v>TACHEB</v>
      </c>
      <c r="C2435" t="s">
        <v>521</v>
      </c>
      <c r="D2435">
        <v>48594</v>
      </c>
      <c r="E2435" s="4">
        <v>426650.42</v>
      </c>
      <c r="F2435" s="5">
        <v>44616</v>
      </c>
      <c r="G2435" t="str">
        <f>"202202249348"</f>
        <v>202202249348</v>
      </c>
      <c r="H2435" t="str">
        <f>"ADJ - FEBRUARY 2022"</f>
        <v>ADJ - FEBRUARY 2022</v>
      </c>
      <c r="I2435" s="4">
        <v>-1715.5</v>
      </c>
      <c r="J2435" t="str">
        <f>"ADJ - FEBRUARY 2022"</f>
        <v>ADJ - FEBRUARY 2022</v>
      </c>
    </row>
    <row r="2436" spans="1:10" x14ac:dyDescent="0.25">
      <c r="A2436" t="str">
        <f>""</f>
        <v/>
      </c>
      <c r="B2436" t="str">
        <f>""</f>
        <v/>
      </c>
      <c r="G2436" t="str">
        <f>"202202249349"</f>
        <v>202202249349</v>
      </c>
      <c r="H2436" t="str">
        <f>"RETIREE INS - FEBRUARY 2022"</f>
        <v>RETIREE INS - FEBRUARY 2022</v>
      </c>
      <c r="I2436" s="4">
        <v>26549.78</v>
      </c>
      <c r="J2436" t="str">
        <f>"RETIREE INS - FEBRUARY 2022"</f>
        <v>RETIREE INS - FEBRUARY 2022</v>
      </c>
    </row>
    <row r="2437" spans="1:10" x14ac:dyDescent="0.25">
      <c r="A2437" t="str">
        <f>""</f>
        <v/>
      </c>
      <c r="B2437" t="str">
        <f>""</f>
        <v/>
      </c>
      <c r="G2437" t="str">
        <f>"2EC202202028715"</f>
        <v>2EC202202028715</v>
      </c>
      <c r="H2437" t="str">
        <f>"BCBS PAYABLE"</f>
        <v>BCBS PAYABLE</v>
      </c>
      <c r="I2437" s="4">
        <v>374.3</v>
      </c>
      <c r="J2437" t="str">
        <f t="shared" ref="J2437:J2500" si="71">"BCBS PAYABLE"</f>
        <v>BCBS PAYABLE</v>
      </c>
    </row>
    <row r="2438" spans="1:10" x14ac:dyDescent="0.25">
      <c r="A2438" t="str">
        <f>""</f>
        <v/>
      </c>
      <c r="B2438" t="str">
        <f>""</f>
        <v/>
      </c>
      <c r="G2438" t="str">
        <f>""</f>
        <v/>
      </c>
      <c r="H2438" t="str">
        <f>""</f>
        <v/>
      </c>
      <c r="I2438" s="4">
        <v>741.7</v>
      </c>
      <c r="J2438" t="str">
        <f t="shared" si="71"/>
        <v>BCBS PAYABLE</v>
      </c>
    </row>
    <row r="2439" spans="1:10" x14ac:dyDescent="0.25">
      <c r="A2439" t="str">
        <f>""</f>
        <v/>
      </c>
      <c r="B2439" t="str">
        <f>""</f>
        <v/>
      </c>
      <c r="G2439" t="str">
        <f>""</f>
        <v/>
      </c>
      <c r="H2439" t="str">
        <f>""</f>
        <v/>
      </c>
      <c r="I2439" s="4">
        <v>374.3</v>
      </c>
      <c r="J2439" t="str">
        <f t="shared" si="71"/>
        <v>BCBS PAYABLE</v>
      </c>
    </row>
    <row r="2440" spans="1:10" x14ac:dyDescent="0.25">
      <c r="A2440" t="str">
        <f>""</f>
        <v/>
      </c>
      <c r="B2440" t="str">
        <f>""</f>
        <v/>
      </c>
      <c r="G2440" t="str">
        <f>""</f>
        <v/>
      </c>
      <c r="H2440" t="str">
        <f>""</f>
        <v/>
      </c>
      <c r="I2440" s="4">
        <v>1497.2</v>
      </c>
      <c r="J2440" t="str">
        <f t="shared" si="71"/>
        <v>BCBS PAYABLE</v>
      </c>
    </row>
    <row r="2441" spans="1:10" x14ac:dyDescent="0.25">
      <c r="A2441" t="str">
        <f>""</f>
        <v/>
      </c>
      <c r="B2441" t="str">
        <f>""</f>
        <v/>
      </c>
      <c r="G2441" t="str">
        <f>""</f>
        <v/>
      </c>
      <c r="H2441" t="str">
        <f>""</f>
        <v/>
      </c>
      <c r="I2441" s="4">
        <v>1497.2</v>
      </c>
      <c r="J2441" t="str">
        <f t="shared" si="71"/>
        <v>BCBS PAYABLE</v>
      </c>
    </row>
    <row r="2442" spans="1:10" x14ac:dyDescent="0.25">
      <c r="A2442" t="str">
        <f>""</f>
        <v/>
      </c>
      <c r="B2442" t="str">
        <f>""</f>
        <v/>
      </c>
      <c r="G2442" t="str">
        <f>""</f>
        <v/>
      </c>
      <c r="H2442" t="str">
        <f>""</f>
        <v/>
      </c>
      <c r="I2442" s="4">
        <v>321.16000000000003</v>
      </c>
      <c r="J2442" t="str">
        <f t="shared" si="71"/>
        <v>BCBS PAYABLE</v>
      </c>
    </row>
    <row r="2443" spans="1:10" x14ac:dyDescent="0.25">
      <c r="A2443" t="str">
        <f>""</f>
        <v/>
      </c>
      <c r="B2443" t="str">
        <f>""</f>
        <v/>
      </c>
      <c r="G2443" t="str">
        <f>""</f>
        <v/>
      </c>
      <c r="H2443" t="str">
        <f>""</f>
        <v/>
      </c>
      <c r="I2443" s="4">
        <v>374.3</v>
      </c>
      <c r="J2443" t="str">
        <f t="shared" si="71"/>
        <v>BCBS PAYABLE</v>
      </c>
    </row>
    <row r="2444" spans="1:10" x14ac:dyDescent="0.25">
      <c r="A2444" t="str">
        <f>""</f>
        <v/>
      </c>
      <c r="B2444" t="str">
        <f>""</f>
        <v/>
      </c>
      <c r="G2444" t="str">
        <f>""</f>
        <v/>
      </c>
      <c r="H2444" t="str">
        <f>""</f>
        <v/>
      </c>
      <c r="I2444" s="4">
        <v>1497.2</v>
      </c>
      <c r="J2444" t="str">
        <f t="shared" si="71"/>
        <v>BCBS PAYABLE</v>
      </c>
    </row>
    <row r="2445" spans="1:10" x14ac:dyDescent="0.25">
      <c r="A2445" t="str">
        <f>""</f>
        <v/>
      </c>
      <c r="B2445" t="str">
        <f>""</f>
        <v/>
      </c>
      <c r="G2445" t="str">
        <f>""</f>
        <v/>
      </c>
      <c r="H2445" t="str">
        <f>""</f>
        <v/>
      </c>
      <c r="I2445" s="4">
        <v>748.6</v>
      </c>
      <c r="J2445" t="str">
        <f t="shared" si="71"/>
        <v>BCBS PAYABLE</v>
      </c>
    </row>
    <row r="2446" spans="1:10" x14ac:dyDescent="0.25">
      <c r="A2446" t="str">
        <f>""</f>
        <v/>
      </c>
      <c r="B2446" t="str">
        <f>""</f>
        <v/>
      </c>
      <c r="G2446" t="str">
        <f>""</f>
        <v/>
      </c>
      <c r="H2446" t="str">
        <f>""</f>
        <v/>
      </c>
      <c r="I2446" s="4">
        <v>1122.9000000000001</v>
      </c>
      <c r="J2446" t="str">
        <f t="shared" si="71"/>
        <v>BCBS PAYABLE</v>
      </c>
    </row>
    <row r="2447" spans="1:10" x14ac:dyDescent="0.25">
      <c r="A2447" t="str">
        <f>""</f>
        <v/>
      </c>
      <c r="B2447" t="str">
        <f>""</f>
        <v/>
      </c>
      <c r="G2447" t="str">
        <f>""</f>
        <v/>
      </c>
      <c r="H2447" t="str">
        <f>""</f>
        <v/>
      </c>
      <c r="I2447" s="4">
        <v>1479.13</v>
      </c>
      <c r="J2447" t="str">
        <f t="shared" si="71"/>
        <v>BCBS PAYABLE</v>
      </c>
    </row>
    <row r="2448" spans="1:10" x14ac:dyDescent="0.25">
      <c r="A2448" t="str">
        <f>""</f>
        <v/>
      </c>
      <c r="B2448" t="str">
        <f>""</f>
        <v/>
      </c>
      <c r="G2448" t="str">
        <f>""</f>
        <v/>
      </c>
      <c r="H2448" t="str">
        <f>""</f>
        <v/>
      </c>
      <c r="I2448" s="4">
        <v>1122.9000000000001</v>
      </c>
      <c r="J2448" t="str">
        <f t="shared" si="71"/>
        <v>BCBS PAYABLE</v>
      </c>
    </row>
    <row r="2449" spans="1:10" x14ac:dyDescent="0.25">
      <c r="A2449" t="str">
        <f>""</f>
        <v/>
      </c>
      <c r="B2449" t="str">
        <f>""</f>
        <v/>
      </c>
      <c r="G2449" t="str">
        <f>""</f>
        <v/>
      </c>
      <c r="H2449" t="str">
        <f>""</f>
        <v/>
      </c>
      <c r="I2449" s="4">
        <v>374.3</v>
      </c>
      <c r="J2449" t="str">
        <f t="shared" si="71"/>
        <v>BCBS PAYABLE</v>
      </c>
    </row>
    <row r="2450" spans="1:10" x14ac:dyDescent="0.25">
      <c r="A2450" t="str">
        <f>""</f>
        <v/>
      </c>
      <c r="B2450" t="str">
        <f>""</f>
        <v/>
      </c>
      <c r="G2450" t="str">
        <f>""</f>
        <v/>
      </c>
      <c r="H2450" t="str">
        <f>""</f>
        <v/>
      </c>
      <c r="I2450" s="4">
        <v>748.6</v>
      </c>
      <c r="J2450" t="str">
        <f t="shared" si="71"/>
        <v>BCBS PAYABLE</v>
      </c>
    </row>
    <row r="2451" spans="1:10" x14ac:dyDescent="0.25">
      <c r="A2451" t="str">
        <f>""</f>
        <v/>
      </c>
      <c r="B2451" t="str">
        <f>""</f>
        <v/>
      </c>
      <c r="G2451" t="str">
        <f>""</f>
        <v/>
      </c>
      <c r="H2451" t="str">
        <f>""</f>
        <v/>
      </c>
      <c r="I2451" s="4">
        <v>748.6</v>
      </c>
      <c r="J2451" t="str">
        <f t="shared" si="71"/>
        <v>BCBS PAYABLE</v>
      </c>
    </row>
    <row r="2452" spans="1:10" x14ac:dyDescent="0.25">
      <c r="A2452" t="str">
        <f>""</f>
        <v/>
      </c>
      <c r="B2452" t="str">
        <f>""</f>
        <v/>
      </c>
      <c r="G2452" t="str">
        <f>""</f>
        <v/>
      </c>
      <c r="H2452" t="str">
        <f>""</f>
        <v/>
      </c>
      <c r="I2452" s="4">
        <v>1122.9000000000001</v>
      </c>
      <c r="J2452" t="str">
        <f t="shared" si="71"/>
        <v>BCBS PAYABLE</v>
      </c>
    </row>
    <row r="2453" spans="1:10" x14ac:dyDescent="0.25">
      <c r="A2453" t="str">
        <f>""</f>
        <v/>
      </c>
      <c r="B2453" t="str">
        <f>""</f>
        <v/>
      </c>
      <c r="G2453" t="str">
        <f>""</f>
        <v/>
      </c>
      <c r="H2453" t="str">
        <f>""</f>
        <v/>
      </c>
      <c r="I2453" s="4">
        <v>1122.9000000000001</v>
      </c>
      <c r="J2453" t="str">
        <f t="shared" si="71"/>
        <v>BCBS PAYABLE</v>
      </c>
    </row>
    <row r="2454" spans="1:10" x14ac:dyDescent="0.25">
      <c r="A2454" t="str">
        <f>""</f>
        <v/>
      </c>
      <c r="B2454" t="str">
        <f>""</f>
        <v/>
      </c>
      <c r="G2454" t="str">
        <f>""</f>
        <v/>
      </c>
      <c r="H2454" t="str">
        <f>""</f>
        <v/>
      </c>
      <c r="I2454" s="4">
        <v>748.6</v>
      </c>
      <c r="J2454" t="str">
        <f t="shared" si="71"/>
        <v>BCBS PAYABLE</v>
      </c>
    </row>
    <row r="2455" spans="1:10" x14ac:dyDescent="0.25">
      <c r="A2455" t="str">
        <f>""</f>
        <v/>
      </c>
      <c r="B2455" t="str">
        <f>""</f>
        <v/>
      </c>
      <c r="G2455" t="str">
        <f>""</f>
        <v/>
      </c>
      <c r="H2455" t="str">
        <f>""</f>
        <v/>
      </c>
      <c r="I2455" s="4">
        <v>2245.8000000000002</v>
      </c>
      <c r="J2455" t="str">
        <f t="shared" si="71"/>
        <v>BCBS PAYABLE</v>
      </c>
    </row>
    <row r="2456" spans="1:10" x14ac:dyDescent="0.25">
      <c r="A2456" t="str">
        <f>""</f>
        <v/>
      </c>
      <c r="B2456" t="str">
        <f>""</f>
        <v/>
      </c>
      <c r="G2456" t="str">
        <f>""</f>
        <v/>
      </c>
      <c r="H2456" t="str">
        <f>""</f>
        <v/>
      </c>
      <c r="I2456" s="4">
        <v>374.3</v>
      </c>
      <c r="J2456" t="str">
        <f t="shared" si="71"/>
        <v>BCBS PAYABLE</v>
      </c>
    </row>
    <row r="2457" spans="1:10" x14ac:dyDescent="0.25">
      <c r="A2457" t="str">
        <f>""</f>
        <v/>
      </c>
      <c r="B2457" t="str">
        <f>""</f>
        <v/>
      </c>
      <c r="G2457" t="str">
        <f>""</f>
        <v/>
      </c>
      <c r="H2457" t="str">
        <f>""</f>
        <v/>
      </c>
      <c r="I2457" s="4">
        <v>374.3</v>
      </c>
      <c r="J2457" t="str">
        <f t="shared" si="71"/>
        <v>BCBS PAYABLE</v>
      </c>
    </row>
    <row r="2458" spans="1:10" x14ac:dyDescent="0.25">
      <c r="A2458" t="str">
        <f>""</f>
        <v/>
      </c>
      <c r="B2458" t="str">
        <f>""</f>
        <v/>
      </c>
      <c r="G2458" t="str">
        <f>""</f>
        <v/>
      </c>
      <c r="H2458" t="str">
        <f>""</f>
        <v/>
      </c>
      <c r="I2458" s="4">
        <v>8323.0499999999993</v>
      </c>
      <c r="J2458" t="str">
        <f t="shared" si="71"/>
        <v>BCBS PAYABLE</v>
      </c>
    </row>
    <row r="2459" spans="1:10" x14ac:dyDescent="0.25">
      <c r="A2459" t="str">
        <f>""</f>
        <v/>
      </c>
      <c r="B2459" t="str">
        <f>""</f>
        <v/>
      </c>
      <c r="G2459" t="str">
        <f>""</f>
        <v/>
      </c>
      <c r="H2459" t="str">
        <f>""</f>
        <v/>
      </c>
      <c r="I2459" s="4">
        <v>363.21</v>
      </c>
      <c r="J2459" t="str">
        <f t="shared" si="71"/>
        <v>BCBS PAYABLE</v>
      </c>
    </row>
    <row r="2460" spans="1:10" x14ac:dyDescent="0.25">
      <c r="A2460" t="str">
        <f>""</f>
        <v/>
      </c>
      <c r="B2460" t="str">
        <f>""</f>
        <v/>
      </c>
      <c r="G2460" t="str">
        <f>""</f>
        <v/>
      </c>
      <c r="H2460" t="str">
        <f>""</f>
        <v/>
      </c>
      <c r="I2460" s="4">
        <v>6660.04</v>
      </c>
      <c r="J2460" t="str">
        <f t="shared" si="71"/>
        <v>BCBS PAYABLE</v>
      </c>
    </row>
    <row r="2461" spans="1:10" x14ac:dyDescent="0.25">
      <c r="A2461" t="str">
        <f>""</f>
        <v/>
      </c>
      <c r="B2461" t="str">
        <f>""</f>
        <v/>
      </c>
      <c r="G2461" t="str">
        <f>""</f>
        <v/>
      </c>
      <c r="H2461" t="str">
        <f>""</f>
        <v/>
      </c>
      <c r="I2461" s="4">
        <v>1497.2</v>
      </c>
      <c r="J2461" t="str">
        <f t="shared" si="71"/>
        <v>BCBS PAYABLE</v>
      </c>
    </row>
    <row r="2462" spans="1:10" x14ac:dyDescent="0.25">
      <c r="A2462" t="str">
        <f>""</f>
        <v/>
      </c>
      <c r="B2462" t="str">
        <f>""</f>
        <v/>
      </c>
      <c r="G2462" t="str">
        <f>""</f>
        <v/>
      </c>
      <c r="H2462" t="str">
        <f>""</f>
        <v/>
      </c>
      <c r="I2462" s="4">
        <v>374.3</v>
      </c>
      <c r="J2462" t="str">
        <f t="shared" si="71"/>
        <v>BCBS PAYABLE</v>
      </c>
    </row>
    <row r="2463" spans="1:10" x14ac:dyDescent="0.25">
      <c r="A2463" t="str">
        <f>""</f>
        <v/>
      </c>
      <c r="B2463" t="str">
        <f>""</f>
        <v/>
      </c>
      <c r="G2463" t="str">
        <f>""</f>
        <v/>
      </c>
      <c r="H2463" t="str">
        <f>""</f>
        <v/>
      </c>
      <c r="I2463" s="4">
        <v>374.3</v>
      </c>
      <c r="J2463" t="str">
        <f t="shared" si="71"/>
        <v>BCBS PAYABLE</v>
      </c>
    </row>
    <row r="2464" spans="1:10" x14ac:dyDescent="0.25">
      <c r="A2464" t="str">
        <f>""</f>
        <v/>
      </c>
      <c r="B2464" t="str">
        <f>""</f>
        <v/>
      </c>
      <c r="G2464" t="str">
        <f>""</f>
        <v/>
      </c>
      <c r="H2464" t="str">
        <f>""</f>
        <v/>
      </c>
      <c r="I2464" s="4">
        <v>6.9</v>
      </c>
      <c r="J2464" t="str">
        <f t="shared" si="71"/>
        <v>BCBS PAYABLE</v>
      </c>
    </row>
    <row r="2465" spans="1:10" x14ac:dyDescent="0.25">
      <c r="A2465" t="str">
        <f>""</f>
        <v/>
      </c>
      <c r="B2465" t="str">
        <f>""</f>
        <v/>
      </c>
      <c r="G2465" t="str">
        <f>""</f>
        <v/>
      </c>
      <c r="H2465" t="str">
        <f>""</f>
        <v/>
      </c>
      <c r="I2465" s="4">
        <v>374.3</v>
      </c>
      <c r="J2465" t="str">
        <f t="shared" si="71"/>
        <v>BCBS PAYABLE</v>
      </c>
    </row>
    <row r="2466" spans="1:10" x14ac:dyDescent="0.25">
      <c r="A2466" t="str">
        <f>""</f>
        <v/>
      </c>
      <c r="B2466" t="str">
        <f>""</f>
        <v/>
      </c>
      <c r="G2466" t="str">
        <f>""</f>
        <v/>
      </c>
      <c r="H2466" t="str">
        <f>""</f>
        <v/>
      </c>
      <c r="I2466" s="4">
        <v>1497.2</v>
      </c>
      <c r="J2466" t="str">
        <f t="shared" si="71"/>
        <v>BCBS PAYABLE</v>
      </c>
    </row>
    <row r="2467" spans="1:10" x14ac:dyDescent="0.25">
      <c r="A2467" t="str">
        <f>""</f>
        <v/>
      </c>
      <c r="B2467" t="str">
        <f>""</f>
        <v/>
      </c>
      <c r="G2467" t="str">
        <f>""</f>
        <v/>
      </c>
      <c r="H2467" t="str">
        <f>""</f>
        <v/>
      </c>
      <c r="I2467" s="4">
        <v>748.6</v>
      </c>
      <c r="J2467" t="str">
        <f t="shared" si="71"/>
        <v>BCBS PAYABLE</v>
      </c>
    </row>
    <row r="2468" spans="1:10" x14ac:dyDescent="0.25">
      <c r="A2468" t="str">
        <f>""</f>
        <v/>
      </c>
      <c r="B2468" t="str">
        <f>""</f>
        <v/>
      </c>
      <c r="G2468" t="str">
        <f>""</f>
        <v/>
      </c>
      <c r="H2468" t="str">
        <f>""</f>
        <v/>
      </c>
      <c r="I2468" s="4">
        <v>18.07</v>
      </c>
      <c r="J2468" t="str">
        <f t="shared" si="71"/>
        <v>BCBS PAYABLE</v>
      </c>
    </row>
    <row r="2469" spans="1:10" x14ac:dyDescent="0.25">
      <c r="A2469" t="str">
        <f>""</f>
        <v/>
      </c>
      <c r="B2469" t="str">
        <f>""</f>
        <v/>
      </c>
      <c r="G2469" t="str">
        <f>""</f>
        <v/>
      </c>
      <c r="H2469" t="str">
        <f>""</f>
        <v/>
      </c>
      <c r="I2469" s="4">
        <v>53.14</v>
      </c>
      <c r="J2469" t="str">
        <f t="shared" si="71"/>
        <v>BCBS PAYABLE</v>
      </c>
    </row>
    <row r="2470" spans="1:10" x14ac:dyDescent="0.25">
      <c r="A2470" t="str">
        <f>""</f>
        <v/>
      </c>
      <c r="B2470" t="str">
        <f>""</f>
        <v/>
      </c>
      <c r="G2470" t="str">
        <f>""</f>
        <v/>
      </c>
      <c r="H2470" t="str">
        <f>""</f>
        <v/>
      </c>
      <c r="I2470" s="4">
        <v>15058.6</v>
      </c>
      <c r="J2470" t="str">
        <f t="shared" si="71"/>
        <v>BCBS PAYABLE</v>
      </c>
    </row>
    <row r="2471" spans="1:10" x14ac:dyDescent="0.25">
      <c r="A2471" t="str">
        <f>""</f>
        <v/>
      </c>
      <c r="B2471" t="str">
        <f>""</f>
        <v/>
      </c>
      <c r="G2471" t="str">
        <f>"2EC202202028716"</f>
        <v>2EC202202028716</v>
      </c>
      <c r="H2471" t="str">
        <f>"BCBS PAYABLE"</f>
        <v>BCBS PAYABLE</v>
      </c>
      <c r="I2471" s="4">
        <v>1497.2</v>
      </c>
      <c r="J2471" t="str">
        <f t="shared" si="71"/>
        <v>BCBS PAYABLE</v>
      </c>
    </row>
    <row r="2472" spans="1:10" x14ac:dyDescent="0.25">
      <c r="A2472" t="str">
        <f>""</f>
        <v/>
      </c>
      <c r="B2472" t="str">
        <f>""</f>
        <v/>
      </c>
      <c r="G2472" t="str">
        <f>""</f>
        <v/>
      </c>
      <c r="H2472" t="str">
        <f>""</f>
        <v/>
      </c>
      <c r="I2472" s="4">
        <v>560.32000000000005</v>
      </c>
      <c r="J2472" t="str">
        <f t="shared" si="71"/>
        <v>BCBS PAYABLE</v>
      </c>
    </row>
    <row r="2473" spans="1:10" x14ac:dyDescent="0.25">
      <c r="A2473" t="str">
        <f>""</f>
        <v/>
      </c>
      <c r="B2473" t="str">
        <f>""</f>
        <v/>
      </c>
      <c r="G2473" t="str">
        <f>"2EC202202169060"</f>
        <v>2EC202202169060</v>
      </c>
      <c r="H2473" t="str">
        <f>"BCBS PAYABLE"</f>
        <v>BCBS PAYABLE</v>
      </c>
      <c r="I2473" s="4">
        <v>374.3</v>
      </c>
      <c r="J2473" t="str">
        <f t="shared" si="71"/>
        <v>BCBS PAYABLE</v>
      </c>
    </row>
    <row r="2474" spans="1:10" x14ac:dyDescent="0.25">
      <c r="A2474" t="str">
        <f>""</f>
        <v/>
      </c>
      <c r="B2474" t="str">
        <f>""</f>
        <v/>
      </c>
      <c r="G2474" t="str">
        <f>""</f>
        <v/>
      </c>
      <c r="H2474" t="str">
        <f>""</f>
        <v/>
      </c>
      <c r="I2474" s="4">
        <v>741.7</v>
      </c>
      <c r="J2474" t="str">
        <f t="shared" si="71"/>
        <v>BCBS PAYABLE</v>
      </c>
    </row>
    <row r="2475" spans="1:10" x14ac:dyDescent="0.25">
      <c r="A2475" t="str">
        <f>""</f>
        <v/>
      </c>
      <c r="B2475" t="str">
        <f>""</f>
        <v/>
      </c>
      <c r="G2475" t="str">
        <f>""</f>
        <v/>
      </c>
      <c r="H2475" t="str">
        <f>""</f>
        <v/>
      </c>
      <c r="I2475" s="4">
        <v>374.3</v>
      </c>
      <c r="J2475" t="str">
        <f t="shared" si="71"/>
        <v>BCBS PAYABLE</v>
      </c>
    </row>
    <row r="2476" spans="1:10" x14ac:dyDescent="0.25">
      <c r="A2476" t="str">
        <f>""</f>
        <v/>
      </c>
      <c r="B2476" t="str">
        <f>""</f>
        <v/>
      </c>
      <c r="G2476" t="str">
        <f>""</f>
        <v/>
      </c>
      <c r="H2476" t="str">
        <f>""</f>
        <v/>
      </c>
      <c r="I2476" s="4">
        <v>1497.2</v>
      </c>
      <c r="J2476" t="str">
        <f t="shared" si="71"/>
        <v>BCBS PAYABLE</v>
      </c>
    </row>
    <row r="2477" spans="1:10" x14ac:dyDescent="0.25">
      <c r="A2477" t="str">
        <f>""</f>
        <v/>
      </c>
      <c r="B2477" t="str">
        <f>""</f>
        <v/>
      </c>
      <c r="G2477" t="str">
        <f>""</f>
        <v/>
      </c>
      <c r="H2477" t="str">
        <f>""</f>
        <v/>
      </c>
      <c r="I2477" s="4">
        <v>1497.2</v>
      </c>
      <c r="J2477" t="str">
        <f t="shared" si="71"/>
        <v>BCBS PAYABLE</v>
      </c>
    </row>
    <row r="2478" spans="1:10" x14ac:dyDescent="0.25">
      <c r="A2478" t="str">
        <f>""</f>
        <v/>
      </c>
      <c r="B2478" t="str">
        <f>""</f>
        <v/>
      </c>
      <c r="G2478" t="str">
        <f>""</f>
        <v/>
      </c>
      <c r="H2478" t="str">
        <f>""</f>
        <v/>
      </c>
      <c r="I2478" s="4">
        <v>321.16000000000003</v>
      </c>
      <c r="J2478" t="str">
        <f t="shared" si="71"/>
        <v>BCBS PAYABLE</v>
      </c>
    </row>
    <row r="2479" spans="1:10" x14ac:dyDescent="0.25">
      <c r="A2479" t="str">
        <f>""</f>
        <v/>
      </c>
      <c r="B2479" t="str">
        <f>""</f>
        <v/>
      </c>
      <c r="G2479" t="str">
        <f>""</f>
        <v/>
      </c>
      <c r="H2479" t="str">
        <f>""</f>
        <v/>
      </c>
      <c r="I2479" s="4">
        <v>158.56</v>
      </c>
      <c r="J2479" t="str">
        <f t="shared" si="71"/>
        <v>BCBS PAYABLE</v>
      </c>
    </row>
    <row r="2480" spans="1:10" x14ac:dyDescent="0.25">
      <c r="A2480" t="str">
        <f>""</f>
        <v/>
      </c>
      <c r="B2480" t="str">
        <f>""</f>
        <v/>
      </c>
      <c r="G2480" t="str">
        <f>""</f>
        <v/>
      </c>
      <c r="H2480" t="str">
        <f>""</f>
        <v/>
      </c>
      <c r="I2480" s="4">
        <v>1497.2</v>
      </c>
      <c r="J2480" t="str">
        <f t="shared" si="71"/>
        <v>BCBS PAYABLE</v>
      </c>
    </row>
    <row r="2481" spans="1:10" x14ac:dyDescent="0.25">
      <c r="A2481" t="str">
        <f>""</f>
        <v/>
      </c>
      <c r="B2481" t="str">
        <f>""</f>
        <v/>
      </c>
      <c r="G2481" t="str">
        <f>""</f>
        <v/>
      </c>
      <c r="H2481" t="str">
        <f>""</f>
        <v/>
      </c>
      <c r="I2481" s="4">
        <v>748.6</v>
      </c>
      <c r="J2481" t="str">
        <f t="shared" si="71"/>
        <v>BCBS PAYABLE</v>
      </c>
    </row>
    <row r="2482" spans="1:10" x14ac:dyDescent="0.25">
      <c r="A2482" t="str">
        <f>""</f>
        <v/>
      </c>
      <c r="B2482" t="str">
        <f>""</f>
        <v/>
      </c>
      <c r="G2482" t="str">
        <f>""</f>
        <v/>
      </c>
      <c r="H2482" t="str">
        <f>""</f>
        <v/>
      </c>
      <c r="I2482" s="4">
        <v>1122.9000000000001</v>
      </c>
      <c r="J2482" t="str">
        <f t="shared" si="71"/>
        <v>BCBS PAYABLE</v>
      </c>
    </row>
    <row r="2483" spans="1:10" x14ac:dyDescent="0.25">
      <c r="A2483" t="str">
        <f>""</f>
        <v/>
      </c>
      <c r="B2483" t="str">
        <f>""</f>
        <v/>
      </c>
      <c r="G2483" t="str">
        <f>""</f>
        <v/>
      </c>
      <c r="H2483" t="str">
        <f>""</f>
        <v/>
      </c>
      <c r="I2483" s="4">
        <v>1479.13</v>
      </c>
      <c r="J2483" t="str">
        <f t="shared" si="71"/>
        <v>BCBS PAYABLE</v>
      </c>
    </row>
    <row r="2484" spans="1:10" x14ac:dyDescent="0.25">
      <c r="A2484" t="str">
        <f>""</f>
        <v/>
      </c>
      <c r="B2484" t="str">
        <f>""</f>
        <v/>
      </c>
      <c r="G2484" t="str">
        <f>""</f>
        <v/>
      </c>
      <c r="H2484" t="str">
        <f>""</f>
        <v/>
      </c>
      <c r="I2484" s="4">
        <v>1122.9000000000001</v>
      </c>
      <c r="J2484" t="str">
        <f t="shared" si="71"/>
        <v>BCBS PAYABLE</v>
      </c>
    </row>
    <row r="2485" spans="1:10" x14ac:dyDescent="0.25">
      <c r="A2485" t="str">
        <f>""</f>
        <v/>
      </c>
      <c r="B2485" t="str">
        <f>""</f>
        <v/>
      </c>
      <c r="G2485" t="str">
        <f>""</f>
        <v/>
      </c>
      <c r="H2485" t="str">
        <f>""</f>
        <v/>
      </c>
      <c r="I2485" s="4">
        <v>374.3</v>
      </c>
      <c r="J2485" t="str">
        <f t="shared" si="71"/>
        <v>BCBS PAYABLE</v>
      </c>
    </row>
    <row r="2486" spans="1:10" x14ac:dyDescent="0.25">
      <c r="A2486" t="str">
        <f>""</f>
        <v/>
      </c>
      <c r="B2486" t="str">
        <f>""</f>
        <v/>
      </c>
      <c r="G2486" t="str">
        <f>""</f>
        <v/>
      </c>
      <c r="H2486" t="str">
        <f>""</f>
        <v/>
      </c>
      <c r="I2486" s="4">
        <v>748.6</v>
      </c>
      <c r="J2486" t="str">
        <f t="shared" si="71"/>
        <v>BCBS PAYABLE</v>
      </c>
    </row>
    <row r="2487" spans="1:10" x14ac:dyDescent="0.25">
      <c r="A2487" t="str">
        <f>""</f>
        <v/>
      </c>
      <c r="B2487" t="str">
        <f>""</f>
        <v/>
      </c>
      <c r="G2487" t="str">
        <f>""</f>
        <v/>
      </c>
      <c r="H2487" t="str">
        <f>""</f>
        <v/>
      </c>
      <c r="I2487" s="4">
        <v>748.6</v>
      </c>
      <c r="J2487" t="str">
        <f t="shared" si="71"/>
        <v>BCBS PAYABLE</v>
      </c>
    </row>
    <row r="2488" spans="1:10" x14ac:dyDescent="0.25">
      <c r="A2488" t="str">
        <f>""</f>
        <v/>
      </c>
      <c r="B2488" t="str">
        <f>""</f>
        <v/>
      </c>
      <c r="G2488" t="str">
        <f>""</f>
        <v/>
      </c>
      <c r="H2488" t="str">
        <f>""</f>
        <v/>
      </c>
      <c r="I2488" s="4">
        <v>1122.9000000000001</v>
      </c>
      <c r="J2488" t="str">
        <f t="shared" si="71"/>
        <v>BCBS PAYABLE</v>
      </c>
    </row>
    <row r="2489" spans="1:10" x14ac:dyDescent="0.25">
      <c r="A2489" t="str">
        <f>""</f>
        <v/>
      </c>
      <c r="B2489" t="str">
        <f>""</f>
        <v/>
      </c>
      <c r="G2489" t="str">
        <f>""</f>
        <v/>
      </c>
      <c r="H2489" t="str">
        <f>""</f>
        <v/>
      </c>
      <c r="I2489" s="4">
        <v>1122.9000000000001</v>
      </c>
      <c r="J2489" t="str">
        <f t="shared" si="71"/>
        <v>BCBS PAYABLE</v>
      </c>
    </row>
    <row r="2490" spans="1:10" x14ac:dyDescent="0.25">
      <c r="A2490" t="str">
        <f>""</f>
        <v/>
      </c>
      <c r="B2490" t="str">
        <f>""</f>
        <v/>
      </c>
      <c r="G2490" t="str">
        <f>""</f>
        <v/>
      </c>
      <c r="H2490" t="str">
        <f>""</f>
        <v/>
      </c>
      <c r="I2490" s="4">
        <v>748.6</v>
      </c>
      <c r="J2490" t="str">
        <f t="shared" si="71"/>
        <v>BCBS PAYABLE</v>
      </c>
    </row>
    <row r="2491" spans="1:10" x14ac:dyDescent="0.25">
      <c r="A2491" t="str">
        <f>""</f>
        <v/>
      </c>
      <c r="B2491" t="str">
        <f>""</f>
        <v/>
      </c>
      <c r="G2491" t="str">
        <f>""</f>
        <v/>
      </c>
      <c r="H2491" t="str">
        <f>""</f>
        <v/>
      </c>
      <c r="I2491" s="4">
        <v>2245.8000000000002</v>
      </c>
      <c r="J2491" t="str">
        <f t="shared" si="71"/>
        <v>BCBS PAYABLE</v>
      </c>
    </row>
    <row r="2492" spans="1:10" x14ac:dyDescent="0.25">
      <c r="A2492" t="str">
        <f>""</f>
        <v/>
      </c>
      <c r="B2492" t="str">
        <f>""</f>
        <v/>
      </c>
      <c r="G2492" t="str">
        <f>""</f>
        <v/>
      </c>
      <c r="H2492" t="str">
        <f>""</f>
        <v/>
      </c>
      <c r="I2492" s="4">
        <v>374.3</v>
      </c>
      <c r="J2492" t="str">
        <f t="shared" si="71"/>
        <v>BCBS PAYABLE</v>
      </c>
    </row>
    <row r="2493" spans="1:10" x14ac:dyDescent="0.25">
      <c r="A2493" t="str">
        <f>""</f>
        <v/>
      </c>
      <c r="B2493" t="str">
        <f>""</f>
        <v/>
      </c>
      <c r="G2493" t="str">
        <f>""</f>
        <v/>
      </c>
      <c r="H2493" t="str">
        <f>""</f>
        <v/>
      </c>
      <c r="I2493" s="4">
        <v>374.3</v>
      </c>
      <c r="J2493" t="str">
        <f t="shared" si="71"/>
        <v>BCBS PAYABLE</v>
      </c>
    </row>
    <row r="2494" spans="1:10" x14ac:dyDescent="0.25">
      <c r="A2494" t="str">
        <f>""</f>
        <v/>
      </c>
      <c r="B2494" t="str">
        <f>""</f>
        <v/>
      </c>
      <c r="G2494" t="str">
        <f>""</f>
        <v/>
      </c>
      <c r="H2494" t="str">
        <f>""</f>
        <v/>
      </c>
      <c r="I2494" s="4">
        <v>8537.89</v>
      </c>
      <c r="J2494" t="str">
        <f t="shared" si="71"/>
        <v>BCBS PAYABLE</v>
      </c>
    </row>
    <row r="2495" spans="1:10" x14ac:dyDescent="0.25">
      <c r="A2495" t="str">
        <f>""</f>
        <v/>
      </c>
      <c r="B2495" t="str">
        <f>""</f>
        <v/>
      </c>
      <c r="G2495" t="str">
        <f>""</f>
        <v/>
      </c>
      <c r="H2495" t="str">
        <f>""</f>
        <v/>
      </c>
      <c r="I2495" s="4">
        <v>333.78</v>
      </c>
      <c r="J2495" t="str">
        <f t="shared" si="71"/>
        <v>BCBS PAYABLE</v>
      </c>
    </row>
    <row r="2496" spans="1:10" x14ac:dyDescent="0.25">
      <c r="A2496" t="str">
        <f>""</f>
        <v/>
      </c>
      <c r="B2496" t="str">
        <f>""</f>
        <v/>
      </c>
      <c r="G2496" t="str">
        <f>""</f>
        <v/>
      </c>
      <c r="H2496" t="str">
        <f>""</f>
        <v/>
      </c>
      <c r="I2496" s="4">
        <v>6660.04</v>
      </c>
      <c r="J2496" t="str">
        <f t="shared" si="71"/>
        <v>BCBS PAYABLE</v>
      </c>
    </row>
    <row r="2497" spans="1:10" x14ac:dyDescent="0.25">
      <c r="A2497" t="str">
        <f>""</f>
        <v/>
      </c>
      <c r="B2497" t="str">
        <f>""</f>
        <v/>
      </c>
      <c r="G2497" t="str">
        <f>""</f>
        <v/>
      </c>
      <c r="H2497" t="str">
        <f>""</f>
        <v/>
      </c>
      <c r="I2497" s="4">
        <v>1497.2</v>
      </c>
      <c r="J2497" t="str">
        <f t="shared" si="71"/>
        <v>BCBS PAYABLE</v>
      </c>
    </row>
    <row r="2498" spans="1:10" x14ac:dyDescent="0.25">
      <c r="A2498" t="str">
        <f>""</f>
        <v/>
      </c>
      <c r="B2498" t="str">
        <f>""</f>
        <v/>
      </c>
      <c r="G2498" t="str">
        <f>""</f>
        <v/>
      </c>
      <c r="H2498" t="str">
        <f>""</f>
        <v/>
      </c>
      <c r="I2498" s="4">
        <v>404.63</v>
      </c>
      <c r="J2498" t="str">
        <f t="shared" si="71"/>
        <v>BCBS PAYABLE</v>
      </c>
    </row>
    <row r="2499" spans="1:10" x14ac:dyDescent="0.25">
      <c r="A2499" t="str">
        <f>""</f>
        <v/>
      </c>
      <c r="B2499" t="str">
        <f>""</f>
        <v/>
      </c>
      <c r="G2499" t="str">
        <f>""</f>
        <v/>
      </c>
      <c r="H2499" t="str">
        <f>""</f>
        <v/>
      </c>
      <c r="I2499" s="4">
        <v>374.3</v>
      </c>
      <c r="J2499" t="str">
        <f t="shared" si="71"/>
        <v>BCBS PAYABLE</v>
      </c>
    </row>
    <row r="2500" spans="1:10" x14ac:dyDescent="0.25">
      <c r="A2500" t="str">
        <f>""</f>
        <v/>
      </c>
      <c r="B2500" t="str">
        <f>""</f>
        <v/>
      </c>
      <c r="G2500" t="str">
        <f>""</f>
        <v/>
      </c>
      <c r="H2500" t="str">
        <f>""</f>
        <v/>
      </c>
      <c r="I2500" s="4">
        <v>6.9</v>
      </c>
      <c r="J2500" t="str">
        <f t="shared" si="71"/>
        <v>BCBS PAYABLE</v>
      </c>
    </row>
    <row r="2501" spans="1:10" x14ac:dyDescent="0.25">
      <c r="A2501" t="str">
        <f>""</f>
        <v/>
      </c>
      <c r="B2501" t="str">
        <f>""</f>
        <v/>
      </c>
      <c r="G2501" t="str">
        <f>""</f>
        <v/>
      </c>
      <c r="H2501" t="str">
        <f>""</f>
        <v/>
      </c>
      <c r="I2501" s="4">
        <v>374.3</v>
      </c>
      <c r="J2501" t="str">
        <f t="shared" ref="J2501:J2564" si="72">"BCBS PAYABLE"</f>
        <v>BCBS PAYABLE</v>
      </c>
    </row>
    <row r="2502" spans="1:10" x14ac:dyDescent="0.25">
      <c r="A2502" t="str">
        <f>""</f>
        <v/>
      </c>
      <c r="B2502" t="str">
        <f>""</f>
        <v/>
      </c>
      <c r="G2502" t="str">
        <f>""</f>
        <v/>
      </c>
      <c r="H2502" t="str">
        <f>""</f>
        <v/>
      </c>
      <c r="I2502" s="4">
        <v>1497.2</v>
      </c>
      <c r="J2502" t="str">
        <f t="shared" si="72"/>
        <v>BCBS PAYABLE</v>
      </c>
    </row>
    <row r="2503" spans="1:10" x14ac:dyDescent="0.25">
      <c r="A2503" t="str">
        <f>""</f>
        <v/>
      </c>
      <c r="B2503" t="str">
        <f>""</f>
        <v/>
      </c>
      <c r="G2503" t="str">
        <f>""</f>
        <v/>
      </c>
      <c r="H2503" t="str">
        <f>""</f>
        <v/>
      </c>
      <c r="I2503" s="4">
        <v>748.6</v>
      </c>
      <c r="J2503" t="str">
        <f t="shared" si="72"/>
        <v>BCBS PAYABLE</v>
      </c>
    </row>
    <row r="2504" spans="1:10" x14ac:dyDescent="0.25">
      <c r="A2504" t="str">
        <f>""</f>
        <v/>
      </c>
      <c r="B2504" t="str">
        <f>""</f>
        <v/>
      </c>
      <c r="G2504" t="str">
        <f>""</f>
        <v/>
      </c>
      <c r="H2504" t="str">
        <f>""</f>
        <v/>
      </c>
      <c r="I2504" s="4">
        <v>18.07</v>
      </c>
      <c r="J2504" t="str">
        <f t="shared" si="72"/>
        <v>BCBS PAYABLE</v>
      </c>
    </row>
    <row r="2505" spans="1:10" x14ac:dyDescent="0.25">
      <c r="A2505" t="str">
        <f>""</f>
        <v/>
      </c>
      <c r="B2505" t="str">
        <f>""</f>
        <v/>
      </c>
      <c r="G2505" t="str">
        <f>""</f>
        <v/>
      </c>
      <c r="H2505" t="str">
        <f>""</f>
        <v/>
      </c>
      <c r="I2505" s="4">
        <v>53.14</v>
      </c>
      <c r="J2505" t="str">
        <f t="shared" si="72"/>
        <v>BCBS PAYABLE</v>
      </c>
    </row>
    <row r="2506" spans="1:10" x14ac:dyDescent="0.25">
      <c r="A2506" t="str">
        <f>""</f>
        <v/>
      </c>
      <c r="B2506" t="str">
        <f>""</f>
        <v/>
      </c>
      <c r="G2506" t="str">
        <f>""</f>
        <v/>
      </c>
      <c r="H2506" t="str">
        <f>""</f>
        <v/>
      </c>
      <c r="I2506" s="4">
        <v>15058.6</v>
      </c>
      <c r="J2506" t="str">
        <f t="shared" si="72"/>
        <v>BCBS PAYABLE</v>
      </c>
    </row>
    <row r="2507" spans="1:10" x14ac:dyDescent="0.25">
      <c r="A2507" t="str">
        <f>""</f>
        <v/>
      </c>
      <c r="B2507" t="str">
        <f>""</f>
        <v/>
      </c>
      <c r="G2507" t="str">
        <f>"2EC202202169062"</f>
        <v>2EC202202169062</v>
      </c>
      <c r="H2507" t="str">
        <f>"BCBS PAYABLE"</f>
        <v>BCBS PAYABLE</v>
      </c>
      <c r="I2507" s="4">
        <v>1497.2</v>
      </c>
      <c r="J2507" t="str">
        <f t="shared" si="72"/>
        <v>BCBS PAYABLE</v>
      </c>
    </row>
    <row r="2508" spans="1:10" x14ac:dyDescent="0.25">
      <c r="A2508" t="str">
        <f>""</f>
        <v/>
      </c>
      <c r="B2508" t="str">
        <f>""</f>
        <v/>
      </c>
      <c r="G2508" t="str">
        <f>""</f>
        <v/>
      </c>
      <c r="H2508" t="str">
        <f>""</f>
        <v/>
      </c>
      <c r="I2508" s="4">
        <v>560.32000000000005</v>
      </c>
      <c r="J2508" t="str">
        <f t="shared" si="72"/>
        <v>BCBS PAYABLE</v>
      </c>
    </row>
    <row r="2509" spans="1:10" x14ac:dyDescent="0.25">
      <c r="A2509" t="str">
        <f>""</f>
        <v/>
      </c>
      <c r="B2509" t="str">
        <f>""</f>
        <v/>
      </c>
      <c r="G2509" t="str">
        <f>"2EF202202028715"</f>
        <v>2EF202202028715</v>
      </c>
      <c r="H2509" t="str">
        <f>"BCBS PAYABLE"</f>
        <v>BCBS PAYABLE</v>
      </c>
      <c r="I2509" s="4">
        <v>374.3</v>
      </c>
      <c r="J2509" t="str">
        <f t="shared" si="72"/>
        <v>BCBS PAYABLE</v>
      </c>
    </row>
    <row r="2510" spans="1:10" x14ac:dyDescent="0.25">
      <c r="A2510" t="str">
        <f>""</f>
        <v/>
      </c>
      <c r="B2510" t="str">
        <f>""</f>
        <v/>
      </c>
      <c r="G2510" t="str">
        <f>""</f>
        <v/>
      </c>
      <c r="H2510" t="str">
        <f>""</f>
        <v/>
      </c>
      <c r="I2510" s="4">
        <v>9.32</v>
      </c>
      <c r="J2510" t="str">
        <f t="shared" si="72"/>
        <v>BCBS PAYABLE</v>
      </c>
    </row>
    <row r="2511" spans="1:10" x14ac:dyDescent="0.25">
      <c r="A2511" t="str">
        <f>""</f>
        <v/>
      </c>
      <c r="B2511" t="str">
        <f>""</f>
        <v/>
      </c>
      <c r="G2511" t="str">
        <f>""</f>
        <v/>
      </c>
      <c r="H2511" t="str">
        <f>""</f>
        <v/>
      </c>
      <c r="I2511" s="4">
        <v>739.28</v>
      </c>
      <c r="J2511" t="str">
        <f t="shared" si="72"/>
        <v>BCBS PAYABLE</v>
      </c>
    </row>
    <row r="2512" spans="1:10" x14ac:dyDescent="0.25">
      <c r="A2512" t="str">
        <f>""</f>
        <v/>
      </c>
      <c r="B2512" t="str">
        <f>""</f>
        <v/>
      </c>
      <c r="G2512" t="str">
        <f>""</f>
        <v/>
      </c>
      <c r="H2512" t="str">
        <f>""</f>
        <v/>
      </c>
      <c r="I2512" s="4">
        <v>2450.44</v>
      </c>
      <c r="J2512" t="str">
        <f t="shared" si="72"/>
        <v>BCBS PAYABLE</v>
      </c>
    </row>
    <row r="2513" spans="1:10" x14ac:dyDescent="0.25">
      <c r="A2513" t="str">
        <f>""</f>
        <v/>
      </c>
      <c r="B2513" t="str">
        <f>""</f>
        <v/>
      </c>
      <c r="G2513" t="str">
        <f>"2EF202202169060"</f>
        <v>2EF202202169060</v>
      </c>
      <c r="H2513" t="str">
        <f>"BCBS PAYABLE"</f>
        <v>BCBS PAYABLE</v>
      </c>
      <c r="I2513" s="4">
        <v>374.3</v>
      </c>
      <c r="J2513" t="str">
        <f t="shared" si="72"/>
        <v>BCBS PAYABLE</v>
      </c>
    </row>
    <row r="2514" spans="1:10" x14ac:dyDescent="0.25">
      <c r="A2514" t="str">
        <f>""</f>
        <v/>
      </c>
      <c r="B2514" t="str">
        <f>""</f>
        <v/>
      </c>
      <c r="G2514" t="str">
        <f>""</f>
        <v/>
      </c>
      <c r="H2514" t="str">
        <f>""</f>
        <v/>
      </c>
      <c r="I2514" s="4">
        <v>9.32</v>
      </c>
      <c r="J2514" t="str">
        <f t="shared" si="72"/>
        <v>BCBS PAYABLE</v>
      </c>
    </row>
    <row r="2515" spans="1:10" x14ac:dyDescent="0.25">
      <c r="A2515" t="str">
        <f>""</f>
        <v/>
      </c>
      <c r="B2515" t="str">
        <f>""</f>
        <v/>
      </c>
      <c r="G2515" t="str">
        <f>""</f>
        <v/>
      </c>
      <c r="H2515" t="str">
        <f>""</f>
        <v/>
      </c>
      <c r="I2515" s="4">
        <v>739.28</v>
      </c>
      <c r="J2515" t="str">
        <f t="shared" si="72"/>
        <v>BCBS PAYABLE</v>
      </c>
    </row>
    <row r="2516" spans="1:10" x14ac:dyDescent="0.25">
      <c r="A2516" t="str">
        <f>""</f>
        <v/>
      </c>
      <c r="B2516" t="str">
        <f>""</f>
        <v/>
      </c>
      <c r="G2516" t="str">
        <f>""</f>
        <v/>
      </c>
      <c r="H2516" t="str">
        <f>""</f>
        <v/>
      </c>
      <c r="I2516" s="4">
        <v>2450.44</v>
      </c>
      <c r="J2516" t="str">
        <f t="shared" si="72"/>
        <v>BCBS PAYABLE</v>
      </c>
    </row>
    <row r="2517" spans="1:10" x14ac:dyDescent="0.25">
      <c r="A2517" t="str">
        <f>""</f>
        <v/>
      </c>
      <c r="B2517" t="str">
        <f>""</f>
        <v/>
      </c>
      <c r="G2517" t="str">
        <f>"2EO202202028715"</f>
        <v>2EO202202028715</v>
      </c>
      <c r="H2517" t="str">
        <f>"BCBS PAYABLE"</f>
        <v>BCBS PAYABLE</v>
      </c>
      <c r="I2517" s="4">
        <v>748.6</v>
      </c>
      <c r="J2517" t="str">
        <f t="shared" si="72"/>
        <v>BCBS PAYABLE</v>
      </c>
    </row>
    <row r="2518" spans="1:10" x14ac:dyDescent="0.25">
      <c r="A2518" t="str">
        <f>""</f>
        <v/>
      </c>
      <c r="B2518" t="str">
        <f>""</f>
        <v/>
      </c>
      <c r="G2518" t="str">
        <f>""</f>
        <v/>
      </c>
      <c r="H2518" t="str">
        <f>""</f>
        <v/>
      </c>
      <c r="I2518" s="4">
        <v>488.4</v>
      </c>
      <c r="J2518" t="str">
        <f t="shared" si="72"/>
        <v>BCBS PAYABLE</v>
      </c>
    </row>
    <row r="2519" spans="1:10" x14ac:dyDescent="0.25">
      <c r="A2519" t="str">
        <f>""</f>
        <v/>
      </c>
      <c r="B2519" t="str">
        <f>""</f>
        <v/>
      </c>
      <c r="G2519" t="str">
        <f>""</f>
        <v/>
      </c>
      <c r="H2519" t="str">
        <f>""</f>
        <v/>
      </c>
      <c r="I2519" s="4">
        <v>2207.8200000000002</v>
      </c>
      <c r="J2519" t="str">
        <f t="shared" si="72"/>
        <v>BCBS PAYABLE</v>
      </c>
    </row>
    <row r="2520" spans="1:10" x14ac:dyDescent="0.25">
      <c r="A2520" t="str">
        <f>""</f>
        <v/>
      </c>
      <c r="B2520" t="str">
        <f>""</f>
        <v/>
      </c>
      <c r="G2520" t="str">
        <f>""</f>
        <v/>
      </c>
      <c r="H2520" t="str">
        <f>""</f>
        <v/>
      </c>
      <c r="I2520" s="4">
        <v>748.6</v>
      </c>
      <c r="J2520" t="str">
        <f t="shared" si="72"/>
        <v>BCBS PAYABLE</v>
      </c>
    </row>
    <row r="2521" spans="1:10" x14ac:dyDescent="0.25">
      <c r="A2521" t="str">
        <f>""</f>
        <v/>
      </c>
      <c r="B2521" t="str">
        <f>""</f>
        <v/>
      </c>
      <c r="G2521" t="str">
        <f>""</f>
        <v/>
      </c>
      <c r="H2521" t="str">
        <f>""</f>
        <v/>
      </c>
      <c r="I2521" s="4">
        <v>374.3</v>
      </c>
      <c r="J2521" t="str">
        <f t="shared" si="72"/>
        <v>BCBS PAYABLE</v>
      </c>
    </row>
    <row r="2522" spans="1:10" x14ac:dyDescent="0.25">
      <c r="A2522" t="str">
        <f>""</f>
        <v/>
      </c>
      <c r="B2522" t="str">
        <f>""</f>
        <v/>
      </c>
      <c r="G2522" t="str">
        <f>""</f>
        <v/>
      </c>
      <c r="H2522" t="str">
        <f>""</f>
        <v/>
      </c>
      <c r="I2522" s="4">
        <v>748.6</v>
      </c>
      <c r="J2522" t="str">
        <f t="shared" si="72"/>
        <v>BCBS PAYABLE</v>
      </c>
    </row>
    <row r="2523" spans="1:10" x14ac:dyDescent="0.25">
      <c r="A2523" t="str">
        <f>""</f>
        <v/>
      </c>
      <c r="B2523" t="str">
        <f>""</f>
        <v/>
      </c>
      <c r="G2523" t="str">
        <f>""</f>
        <v/>
      </c>
      <c r="H2523" t="str">
        <f>""</f>
        <v/>
      </c>
      <c r="I2523" s="4">
        <v>5988.8</v>
      </c>
      <c r="J2523" t="str">
        <f t="shared" si="72"/>
        <v>BCBS PAYABLE</v>
      </c>
    </row>
    <row r="2524" spans="1:10" x14ac:dyDescent="0.25">
      <c r="A2524" t="str">
        <f>""</f>
        <v/>
      </c>
      <c r="B2524" t="str">
        <f>""</f>
        <v/>
      </c>
      <c r="G2524" t="str">
        <f>""</f>
        <v/>
      </c>
      <c r="H2524" t="str">
        <f>""</f>
        <v/>
      </c>
      <c r="I2524" s="4">
        <v>748.6</v>
      </c>
      <c r="J2524" t="str">
        <f t="shared" si="72"/>
        <v>BCBS PAYABLE</v>
      </c>
    </row>
    <row r="2525" spans="1:10" x14ac:dyDescent="0.25">
      <c r="A2525" t="str">
        <f>""</f>
        <v/>
      </c>
      <c r="B2525" t="str">
        <f>""</f>
        <v/>
      </c>
      <c r="G2525" t="str">
        <f>""</f>
        <v/>
      </c>
      <c r="H2525" t="str">
        <f>""</f>
        <v/>
      </c>
      <c r="I2525" s="4">
        <v>1497.2</v>
      </c>
      <c r="J2525" t="str">
        <f t="shared" si="72"/>
        <v>BCBS PAYABLE</v>
      </c>
    </row>
    <row r="2526" spans="1:10" x14ac:dyDescent="0.25">
      <c r="A2526" t="str">
        <f>""</f>
        <v/>
      </c>
      <c r="B2526" t="str">
        <f>""</f>
        <v/>
      </c>
      <c r="G2526" t="str">
        <f>""</f>
        <v/>
      </c>
      <c r="H2526" t="str">
        <f>""</f>
        <v/>
      </c>
      <c r="I2526" s="4">
        <v>3743</v>
      </c>
      <c r="J2526" t="str">
        <f t="shared" si="72"/>
        <v>BCBS PAYABLE</v>
      </c>
    </row>
    <row r="2527" spans="1:10" x14ac:dyDescent="0.25">
      <c r="A2527" t="str">
        <f>""</f>
        <v/>
      </c>
      <c r="B2527" t="str">
        <f>""</f>
        <v/>
      </c>
      <c r="G2527" t="str">
        <f>""</f>
        <v/>
      </c>
      <c r="H2527" t="str">
        <f>""</f>
        <v/>
      </c>
      <c r="I2527" s="4">
        <v>748.6</v>
      </c>
      <c r="J2527" t="str">
        <f t="shared" si="72"/>
        <v>BCBS PAYABLE</v>
      </c>
    </row>
    <row r="2528" spans="1:10" x14ac:dyDescent="0.25">
      <c r="A2528" t="str">
        <f>""</f>
        <v/>
      </c>
      <c r="B2528" t="str">
        <f>""</f>
        <v/>
      </c>
      <c r="G2528" t="str">
        <f>""</f>
        <v/>
      </c>
      <c r="H2528" t="str">
        <f>""</f>
        <v/>
      </c>
      <c r="I2528" s="4">
        <v>1122.9000000000001</v>
      </c>
      <c r="J2528" t="str">
        <f t="shared" si="72"/>
        <v>BCBS PAYABLE</v>
      </c>
    </row>
    <row r="2529" spans="1:10" x14ac:dyDescent="0.25">
      <c r="A2529" t="str">
        <f>""</f>
        <v/>
      </c>
      <c r="B2529" t="str">
        <f>""</f>
        <v/>
      </c>
      <c r="G2529" t="str">
        <f>""</f>
        <v/>
      </c>
      <c r="H2529" t="str">
        <f>""</f>
        <v/>
      </c>
      <c r="I2529" s="4">
        <v>374.3</v>
      </c>
      <c r="J2529" t="str">
        <f t="shared" si="72"/>
        <v>BCBS PAYABLE</v>
      </c>
    </row>
    <row r="2530" spans="1:10" x14ac:dyDescent="0.25">
      <c r="A2530" t="str">
        <f>""</f>
        <v/>
      </c>
      <c r="B2530" t="str">
        <f>""</f>
        <v/>
      </c>
      <c r="G2530" t="str">
        <f>""</f>
        <v/>
      </c>
      <c r="H2530" t="str">
        <f>""</f>
        <v/>
      </c>
      <c r="I2530" s="4">
        <v>1122.9000000000001</v>
      </c>
      <c r="J2530" t="str">
        <f t="shared" si="72"/>
        <v>BCBS PAYABLE</v>
      </c>
    </row>
    <row r="2531" spans="1:10" x14ac:dyDescent="0.25">
      <c r="A2531" t="str">
        <f>""</f>
        <v/>
      </c>
      <c r="B2531" t="str">
        <f>""</f>
        <v/>
      </c>
      <c r="G2531" t="str">
        <f>""</f>
        <v/>
      </c>
      <c r="H2531" t="str">
        <f>""</f>
        <v/>
      </c>
      <c r="I2531" s="4">
        <v>748.6</v>
      </c>
      <c r="J2531" t="str">
        <f t="shared" si="72"/>
        <v>BCBS PAYABLE</v>
      </c>
    </row>
    <row r="2532" spans="1:10" x14ac:dyDescent="0.25">
      <c r="A2532" t="str">
        <f>""</f>
        <v/>
      </c>
      <c r="B2532" t="str">
        <f>""</f>
        <v/>
      </c>
      <c r="G2532" t="str">
        <f>""</f>
        <v/>
      </c>
      <c r="H2532" t="str">
        <f>""</f>
        <v/>
      </c>
      <c r="I2532" s="4">
        <v>3719.53</v>
      </c>
      <c r="J2532" t="str">
        <f t="shared" si="72"/>
        <v>BCBS PAYABLE</v>
      </c>
    </row>
    <row r="2533" spans="1:10" x14ac:dyDescent="0.25">
      <c r="A2533" t="str">
        <f>""</f>
        <v/>
      </c>
      <c r="B2533" t="str">
        <f>""</f>
        <v/>
      </c>
      <c r="G2533" t="str">
        <f>""</f>
        <v/>
      </c>
      <c r="H2533" t="str">
        <f>""</f>
        <v/>
      </c>
      <c r="I2533" s="4">
        <v>1122.9000000000001</v>
      </c>
      <c r="J2533" t="str">
        <f t="shared" si="72"/>
        <v>BCBS PAYABLE</v>
      </c>
    </row>
    <row r="2534" spans="1:10" x14ac:dyDescent="0.25">
      <c r="A2534" t="str">
        <f>""</f>
        <v/>
      </c>
      <c r="B2534" t="str">
        <f>""</f>
        <v/>
      </c>
      <c r="G2534" t="str">
        <f>""</f>
        <v/>
      </c>
      <c r="H2534" t="str">
        <f>""</f>
        <v/>
      </c>
      <c r="I2534" s="4">
        <v>748.6</v>
      </c>
      <c r="J2534" t="str">
        <f t="shared" si="72"/>
        <v>BCBS PAYABLE</v>
      </c>
    </row>
    <row r="2535" spans="1:10" x14ac:dyDescent="0.25">
      <c r="A2535" t="str">
        <f>""</f>
        <v/>
      </c>
      <c r="B2535" t="str">
        <f>""</f>
        <v/>
      </c>
      <c r="G2535" t="str">
        <f>""</f>
        <v/>
      </c>
      <c r="H2535" t="str">
        <f>""</f>
        <v/>
      </c>
      <c r="I2535" s="4">
        <v>374.3</v>
      </c>
      <c r="J2535" t="str">
        <f t="shared" si="72"/>
        <v>BCBS PAYABLE</v>
      </c>
    </row>
    <row r="2536" spans="1:10" x14ac:dyDescent="0.25">
      <c r="A2536" t="str">
        <f>""</f>
        <v/>
      </c>
      <c r="B2536" t="str">
        <f>""</f>
        <v/>
      </c>
      <c r="G2536" t="str">
        <f>""</f>
        <v/>
      </c>
      <c r="H2536" t="str">
        <f>""</f>
        <v/>
      </c>
      <c r="I2536" s="4">
        <v>4117.3</v>
      </c>
      <c r="J2536" t="str">
        <f t="shared" si="72"/>
        <v>BCBS PAYABLE</v>
      </c>
    </row>
    <row r="2537" spans="1:10" x14ac:dyDescent="0.25">
      <c r="A2537" t="str">
        <f>""</f>
        <v/>
      </c>
      <c r="B2537" t="str">
        <f>""</f>
        <v/>
      </c>
      <c r="G2537" t="str">
        <f>""</f>
        <v/>
      </c>
      <c r="H2537" t="str">
        <f>""</f>
        <v/>
      </c>
      <c r="I2537" s="4">
        <v>1497.2</v>
      </c>
      <c r="J2537" t="str">
        <f t="shared" si="72"/>
        <v>BCBS PAYABLE</v>
      </c>
    </row>
    <row r="2538" spans="1:10" x14ac:dyDescent="0.25">
      <c r="A2538" t="str">
        <f>""</f>
        <v/>
      </c>
      <c r="B2538" t="str">
        <f>""</f>
        <v/>
      </c>
      <c r="G2538" t="str">
        <f>""</f>
        <v/>
      </c>
      <c r="H2538" t="str">
        <f>""</f>
        <v/>
      </c>
      <c r="I2538" s="4">
        <v>2994.4</v>
      </c>
      <c r="J2538" t="str">
        <f t="shared" si="72"/>
        <v>BCBS PAYABLE</v>
      </c>
    </row>
    <row r="2539" spans="1:10" x14ac:dyDescent="0.25">
      <c r="A2539" t="str">
        <f>""</f>
        <v/>
      </c>
      <c r="B2539" t="str">
        <f>""</f>
        <v/>
      </c>
      <c r="G2539" t="str">
        <f>""</f>
        <v/>
      </c>
      <c r="H2539" t="str">
        <f>""</f>
        <v/>
      </c>
      <c r="I2539" s="4">
        <v>3368.7</v>
      </c>
      <c r="J2539" t="str">
        <f t="shared" si="72"/>
        <v>BCBS PAYABLE</v>
      </c>
    </row>
    <row r="2540" spans="1:10" x14ac:dyDescent="0.25">
      <c r="A2540" t="str">
        <f>""</f>
        <v/>
      </c>
      <c r="B2540" t="str">
        <f>""</f>
        <v/>
      </c>
      <c r="G2540" t="str">
        <f>""</f>
        <v/>
      </c>
      <c r="H2540" t="str">
        <f>""</f>
        <v/>
      </c>
      <c r="I2540" s="4">
        <v>4122.91</v>
      </c>
      <c r="J2540" t="str">
        <f t="shared" si="72"/>
        <v>BCBS PAYABLE</v>
      </c>
    </row>
    <row r="2541" spans="1:10" x14ac:dyDescent="0.25">
      <c r="A2541" t="str">
        <f>""</f>
        <v/>
      </c>
      <c r="B2541" t="str">
        <f>""</f>
        <v/>
      </c>
      <c r="G2541" t="str">
        <f>""</f>
        <v/>
      </c>
      <c r="H2541" t="str">
        <f>""</f>
        <v/>
      </c>
      <c r="I2541" s="4">
        <v>374.3</v>
      </c>
      <c r="J2541" t="str">
        <f t="shared" si="72"/>
        <v>BCBS PAYABLE</v>
      </c>
    </row>
    <row r="2542" spans="1:10" x14ac:dyDescent="0.25">
      <c r="A2542" t="str">
        <f>""</f>
        <v/>
      </c>
      <c r="B2542" t="str">
        <f>""</f>
        <v/>
      </c>
      <c r="G2542" t="str">
        <f>""</f>
        <v/>
      </c>
      <c r="H2542" t="str">
        <f>""</f>
        <v/>
      </c>
      <c r="I2542" s="4">
        <v>374.3</v>
      </c>
      <c r="J2542" t="str">
        <f t="shared" si="72"/>
        <v>BCBS PAYABLE</v>
      </c>
    </row>
    <row r="2543" spans="1:10" x14ac:dyDescent="0.25">
      <c r="A2543" t="str">
        <f>""</f>
        <v/>
      </c>
      <c r="B2543" t="str">
        <f>""</f>
        <v/>
      </c>
      <c r="G2543" t="str">
        <f>""</f>
        <v/>
      </c>
      <c r="H2543" t="str">
        <f>""</f>
        <v/>
      </c>
      <c r="I2543" s="4">
        <v>21356.99</v>
      </c>
      <c r="J2543" t="str">
        <f t="shared" si="72"/>
        <v>BCBS PAYABLE</v>
      </c>
    </row>
    <row r="2544" spans="1:10" x14ac:dyDescent="0.25">
      <c r="A2544" t="str">
        <f>""</f>
        <v/>
      </c>
      <c r="B2544" t="str">
        <f>""</f>
        <v/>
      </c>
      <c r="G2544" t="str">
        <f>""</f>
        <v/>
      </c>
      <c r="H2544" t="str">
        <f>""</f>
        <v/>
      </c>
      <c r="I2544" s="4">
        <v>1089.94</v>
      </c>
      <c r="J2544" t="str">
        <f t="shared" si="72"/>
        <v>BCBS PAYABLE</v>
      </c>
    </row>
    <row r="2545" spans="1:10" x14ac:dyDescent="0.25">
      <c r="A2545" t="str">
        <f>""</f>
        <v/>
      </c>
      <c r="B2545" t="str">
        <f>""</f>
        <v/>
      </c>
      <c r="G2545" t="str">
        <f>""</f>
        <v/>
      </c>
      <c r="H2545" t="str">
        <f>""</f>
        <v/>
      </c>
      <c r="I2545" s="4">
        <v>23593.51</v>
      </c>
      <c r="J2545" t="str">
        <f t="shared" si="72"/>
        <v>BCBS PAYABLE</v>
      </c>
    </row>
    <row r="2546" spans="1:10" x14ac:dyDescent="0.25">
      <c r="A2546" t="str">
        <f>""</f>
        <v/>
      </c>
      <c r="B2546" t="str">
        <f>""</f>
        <v/>
      </c>
      <c r="G2546" t="str">
        <f>""</f>
        <v/>
      </c>
      <c r="H2546" t="str">
        <f>""</f>
        <v/>
      </c>
      <c r="I2546" s="4">
        <v>6363.1</v>
      </c>
      <c r="J2546" t="str">
        <f t="shared" si="72"/>
        <v>BCBS PAYABLE</v>
      </c>
    </row>
    <row r="2547" spans="1:10" x14ac:dyDescent="0.25">
      <c r="A2547" t="str">
        <f>""</f>
        <v/>
      </c>
      <c r="B2547" t="str">
        <f>""</f>
        <v/>
      </c>
      <c r="G2547" t="str">
        <f>""</f>
        <v/>
      </c>
      <c r="H2547" t="str">
        <f>""</f>
        <v/>
      </c>
      <c r="I2547" s="4">
        <v>748.6</v>
      </c>
      <c r="J2547" t="str">
        <f t="shared" si="72"/>
        <v>BCBS PAYABLE</v>
      </c>
    </row>
    <row r="2548" spans="1:10" x14ac:dyDescent="0.25">
      <c r="A2548" t="str">
        <f>""</f>
        <v/>
      </c>
      <c r="B2548" t="str">
        <f>""</f>
        <v/>
      </c>
      <c r="G2548" t="str">
        <f>""</f>
        <v/>
      </c>
      <c r="H2548" t="str">
        <f>""</f>
        <v/>
      </c>
      <c r="I2548" s="4">
        <v>1497.2</v>
      </c>
      <c r="J2548" t="str">
        <f t="shared" si="72"/>
        <v>BCBS PAYABLE</v>
      </c>
    </row>
    <row r="2549" spans="1:10" x14ac:dyDescent="0.25">
      <c r="A2549" t="str">
        <f>""</f>
        <v/>
      </c>
      <c r="B2549" t="str">
        <f>""</f>
        <v/>
      </c>
      <c r="G2549" t="str">
        <f>""</f>
        <v/>
      </c>
      <c r="H2549" t="str">
        <f>""</f>
        <v/>
      </c>
      <c r="I2549" s="4">
        <v>95.82</v>
      </c>
      <c r="J2549" t="str">
        <f t="shared" si="72"/>
        <v>BCBS PAYABLE</v>
      </c>
    </row>
    <row r="2550" spans="1:10" x14ac:dyDescent="0.25">
      <c r="A2550" t="str">
        <f>""</f>
        <v/>
      </c>
      <c r="B2550" t="str">
        <f>""</f>
        <v/>
      </c>
      <c r="G2550" t="str">
        <f>""</f>
        <v/>
      </c>
      <c r="H2550" t="str">
        <f>""</f>
        <v/>
      </c>
      <c r="I2550" s="4">
        <v>748.6</v>
      </c>
      <c r="J2550" t="str">
        <f t="shared" si="72"/>
        <v>BCBS PAYABLE</v>
      </c>
    </row>
    <row r="2551" spans="1:10" x14ac:dyDescent="0.25">
      <c r="A2551" t="str">
        <f>""</f>
        <v/>
      </c>
      <c r="B2551" t="str">
        <f>""</f>
        <v/>
      </c>
      <c r="G2551" t="str">
        <f>""</f>
        <v/>
      </c>
      <c r="H2551" t="str">
        <f>""</f>
        <v/>
      </c>
      <c r="I2551" s="4">
        <v>374.3</v>
      </c>
      <c r="J2551" t="str">
        <f t="shared" si="72"/>
        <v>BCBS PAYABLE</v>
      </c>
    </row>
    <row r="2552" spans="1:10" x14ac:dyDescent="0.25">
      <c r="A2552" t="str">
        <f>""</f>
        <v/>
      </c>
      <c r="B2552" t="str">
        <f>""</f>
        <v/>
      </c>
      <c r="G2552" t="str">
        <f>""</f>
        <v/>
      </c>
      <c r="H2552" t="str">
        <f>""</f>
        <v/>
      </c>
      <c r="I2552" s="4">
        <v>1497.2</v>
      </c>
      <c r="J2552" t="str">
        <f t="shared" si="72"/>
        <v>BCBS PAYABLE</v>
      </c>
    </row>
    <row r="2553" spans="1:10" x14ac:dyDescent="0.25">
      <c r="A2553" t="str">
        <f>""</f>
        <v/>
      </c>
      <c r="B2553" t="str">
        <f>""</f>
        <v/>
      </c>
      <c r="G2553" t="str">
        <f>""</f>
        <v/>
      </c>
      <c r="H2553" t="str">
        <f>""</f>
        <v/>
      </c>
      <c r="I2553" s="4">
        <v>748.6</v>
      </c>
      <c r="J2553" t="str">
        <f t="shared" si="72"/>
        <v>BCBS PAYABLE</v>
      </c>
    </row>
    <row r="2554" spans="1:10" x14ac:dyDescent="0.25">
      <c r="A2554" t="str">
        <f>""</f>
        <v/>
      </c>
      <c r="B2554" t="str">
        <f>""</f>
        <v/>
      </c>
      <c r="G2554" t="str">
        <f>""</f>
        <v/>
      </c>
      <c r="H2554" t="str">
        <f>""</f>
        <v/>
      </c>
      <c r="I2554" s="4">
        <v>37.979999999999997</v>
      </c>
      <c r="J2554" t="str">
        <f t="shared" si="72"/>
        <v>BCBS PAYABLE</v>
      </c>
    </row>
    <row r="2555" spans="1:10" x14ac:dyDescent="0.25">
      <c r="A2555" t="str">
        <f>""</f>
        <v/>
      </c>
      <c r="B2555" t="str">
        <f>""</f>
        <v/>
      </c>
      <c r="G2555" t="str">
        <f>""</f>
        <v/>
      </c>
      <c r="H2555" t="str">
        <f>""</f>
        <v/>
      </c>
      <c r="I2555" s="4">
        <v>3460.88</v>
      </c>
      <c r="J2555" t="str">
        <f t="shared" si="72"/>
        <v>BCBS PAYABLE</v>
      </c>
    </row>
    <row r="2556" spans="1:10" x14ac:dyDescent="0.25">
      <c r="A2556" t="str">
        <f>""</f>
        <v/>
      </c>
      <c r="B2556" t="str">
        <f>""</f>
        <v/>
      </c>
      <c r="G2556" t="str">
        <f>""</f>
        <v/>
      </c>
      <c r="H2556" t="str">
        <f>""</f>
        <v/>
      </c>
      <c r="I2556" s="4">
        <v>2175.1799999999998</v>
      </c>
      <c r="J2556" t="str">
        <f t="shared" si="72"/>
        <v>BCBS PAYABLE</v>
      </c>
    </row>
    <row r="2557" spans="1:10" x14ac:dyDescent="0.25">
      <c r="A2557" t="str">
        <f>""</f>
        <v/>
      </c>
      <c r="B2557" t="str">
        <f>""</f>
        <v/>
      </c>
      <c r="G2557" t="str">
        <f>""</f>
        <v/>
      </c>
      <c r="H2557" t="str">
        <f>""</f>
        <v/>
      </c>
      <c r="I2557" s="4">
        <v>4795.28</v>
      </c>
      <c r="J2557" t="str">
        <f t="shared" si="72"/>
        <v>BCBS PAYABLE</v>
      </c>
    </row>
    <row r="2558" spans="1:10" x14ac:dyDescent="0.25">
      <c r="A2558" t="str">
        <f>""</f>
        <v/>
      </c>
      <c r="B2558" t="str">
        <f>""</f>
        <v/>
      </c>
      <c r="G2558" t="str">
        <f>""</f>
        <v/>
      </c>
      <c r="H2558" t="str">
        <f>""</f>
        <v/>
      </c>
      <c r="I2558" s="4">
        <v>4420.95</v>
      </c>
      <c r="J2558" t="str">
        <f t="shared" si="72"/>
        <v>BCBS PAYABLE</v>
      </c>
    </row>
    <row r="2559" spans="1:10" x14ac:dyDescent="0.25">
      <c r="A2559" t="str">
        <f>""</f>
        <v/>
      </c>
      <c r="B2559" t="str">
        <f>""</f>
        <v/>
      </c>
      <c r="G2559" t="str">
        <f>""</f>
        <v/>
      </c>
      <c r="H2559" t="str">
        <f>""</f>
        <v/>
      </c>
      <c r="I2559" s="4">
        <v>652.78</v>
      </c>
      <c r="J2559" t="str">
        <f t="shared" si="72"/>
        <v>BCBS PAYABLE</v>
      </c>
    </row>
    <row r="2560" spans="1:10" x14ac:dyDescent="0.25">
      <c r="A2560" t="str">
        <f>""</f>
        <v/>
      </c>
      <c r="B2560" t="str">
        <f>""</f>
        <v/>
      </c>
      <c r="G2560" t="str">
        <f>""</f>
        <v/>
      </c>
      <c r="H2560" t="str">
        <f>""</f>
        <v/>
      </c>
      <c r="I2560" s="4">
        <v>9.7200000000000006</v>
      </c>
      <c r="J2560" t="str">
        <f t="shared" si="72"/>
        <v>BCBS PAYABLE</v>
      </c>
    </row>
    <row r="2561" spans="1:10" x14ac:dyDescent="0.25">
      <c r="A2561" t="str">
        <f>""</f>
        <v/>
      </c>
      <c r="B2561" t="str">
        <f>""</f>
        <v/>
      </c>
      <c r="G2561" t="str">
        <f>""</f>
        <v/>
      </c>
      <c r="H2561" t="str">
        <f>""</f>
        <v/>
      </c>
      <c r="I2561" s="4">
        <v>13.75</v>
      </c>
      <c r="J2561" t="str">
        <f t="shared" si="72"/>
        <v>BCBS PAYABLE</v>
      </c>
    </row>
    <row r="2562" spans="1:10" x14ac:dyDescent="0.25">
      <c r="A2562" t="str">
        <f>""</f>
        <v/>
      </c>
      <c r="B2562" t="str">
        <f>""</f>
        <v/>
      </c>
      <c r="G2562" t="str">
        <f>""</f>
        <v/>
      </c>
      <c r="H2562" t="str">
        <f>""</f>
        <v/>
      </c>
      <c r="I2562" s="4">
        <v>372.76</v>
      </c>
      <c r="J2562" t="str">
        <f t="shared" si="72"/>
        <v>BCBS PAYABLE</v>
      </c>
    </row>
    <row r="2563" spans="1:10" x14ac:dyDescent="0.25">
      <c r="A2563" t="str">
        <f>""</f>
        <v/>
      </c>
      <c r="B2563" t="str">
        <f>""</f>
        <v/>
      </c>
      <c r="G2563" t="str">
        <f>"2EO202202028716"</f>
        <v>2EO202202028716</v>
      </c>
      <c r="H2563" t="str">
        <f>"BCBS PAYABLE"</f>
        <v>BCBS PAYABLE</v>
      </c>
      <c r="I2563" s="4">
        <v>2994.4</v>
      </c>
      <c r="J2563" t="str">
        <f t="shared" si="72"/>
        <v>BCBS PAYABLE</v>
      </c>
    </row>
    <row r="2564" spans="1:10" x14ac:dyDescent="0.25">
      <c r="A2564" t="str">
        <f>""</f>
        <v/>
      </c>
      <c r="B2564" t="str">
        <f>""</f>
        <v/>
      </c>
      <c r="G2564" t="str">
        <f>"2EO202202169060"</f>
        <v>2EO202202169060</v>
      </c>
      <c r="H2564" t="str">
        <f>"BCBS PAYABLE"</f>
        <v>BCBS PAYABLE</v>
      </c>
      <c r="I2564" s="4">
        <v>748.6</v>
      </c>
      <c r="J2564" t="str">
        <f t="shared" si="72"/>
        <v>BCBS PAYABLE</v>
      </c>
    </row>
    <row r="2565" spans="1:10" x14ac:dyDescent="0.25">
      <c r="A2565" t="str">
        <f>""</f>
        <v/>
      </c>
      <c r="B2565" t="str">
        <f>""</f>
        <v/>
      </c>
      <c r="G2565" t="str">
        <f>""</f>
        <v/>
      </c>
      <c r="H2565" t="str">
        <f>""</f>
        <v/>
      </c>
      <c r="I2565" s="4">
        <v>488.4</v>
      </c>
      <c r="J2565" t="str">
        <f t="shared" ref="J2565:J2628" si="73">"BCBS PAYABLE"</f>
        <v>BCBS PAYABLE</v>
      </c>
    </row>
    <row r="2566" spans="1:10" x14ac:dyDescent="0.25">
      <c r="A2566" t="str">
        <f>""</f>
        <v/>
      </c>
      <c r="B2566" t="str">
        <f>""</f>
        <v/>
      </c>
      <c r="G2566" t="str">
        <f>""</f>
        <v/>
      </c>
      <c r="H2566" t="str">
        <f>""</f>
        <v/>
      </c>
      <c r="I2566" s="4">
        <v>2035.79</v>
      </c>
      <c r="J2566" t="str">
        <f t="shared" si="73"/>
        <v>BCBS PAYABLE</v>
      </c>
    </row>
    <row r="2567" spans="1:10" x14ac:dyDescent="0.25">
      <c r="A2567" t="str">
        <f>""</f>
        <v/>
      </c>
      <c r="B2567" t="str">
        <f>""</f>
        <v/>
      </c>
      <c r="G2567" t="str">
        <f>""</f>
        <v/>
      </c>
      <c r="H2567" t="str">
        <f>""</f>
        <v/>
      </c>
      <c r="I2567" s="4">
        <v>748.6</v>
      </c>
      <c r="J2567" t="str">
        <f t="shared" si="73"/>
        <v>BCBS PAYABLE</v>
      </c>
    </row>
    <row r="2568" spans="1:10" x14ac:dyDescent="0.25">
      <c r="A2568" t="str">
        <f>""</f>
        <v/>
      </c>
      <c r="B2568" t="str">
        <f>""</f>
        <v/>
      </c>
      <c r="G2568" t="str">
        <f>""</f>
        <v/>
      </c>
      <c r="H2568" t="str">
        <f>""</f>
        <v/>
      </c>
      <c r="I2568" s="4">
        <v>374.3</v>
      </c>
      <c r="J2568" t="str">
        <f t="shared" si="73"/>
        <v>BCBS PAYABLE</v>
      </c>
    </row>
    <row r="2569" spans="1:10" x14ac:dyDescent="0.25">
      <c r="A2569" t="str">
        <f>""</f>
        <v/>
      </c>
      <c r="B2569" t="str">
        <f>""</f>
        <v/>
      </c>
      <c r="G2569" t="str">
        <f>""</f>
        <v/>
      </c>
      <c r="H2569" t="str">
        <f>""</f>
        <v/>
      </c>
      <c r="I2569" s="4">
        <v>564.12</v>
      </c>
      <c r="J2569" t="str">
        <f t="shared" si="73"/>
        <v>BCBS PAYABLE</v>
      </c>
    </row>
    <row r="2570" spans="1:10" x14ac:dyDescent="0.25">
      <c r="A2570" t="str">
        <f>""</f>
        <v/>
      </c>
      <c r="B2570" t="str">
        <f>""</f>
        <v/>
      </c>
      <c r="G2570" t="str">
        <f>""</f>
        <v/>
      </c>
      <c r="H2570" t="str">
        <f>""</f>
        <v/>
      </c>
      <c r="I2570" s="4">
        <v>5988.8</v>
      </c>
      <c r="J2570" t="str">
        <f t="shared" si="73"/>
        <v>BCBS PAYABLE</v>
      </c>
    </row>
    <row r="2571" spans="1:10" x14ac:dyDescent="0.25">
      <c r="A2571" t="str">
        <f>""</f>
        <v/>
      </c>
      <c r="B2571" t="str">
        <f>""</f>
        <v/>
      </c>
      <c r="G2571" t="str">
        <f>""</f>
        <v/>
      </c>
      <c r="H2571" t="str">
        <f>""</f>
        <v/>
      </c>
      <c r="I2571" s="4">
        <v>748.6</v>
      </c>
      <c r="J2571" t="str">
        <f t="shared" si="73"/>
        <v>BCBS PAYABLE</v>
      </c>
    </row>
    <row r="2572" spans="1:10" x14ac:dyDescent="0.25">
      <c r="A2572" t="str">
        <f>""</f>
        <v/>
      </c>
      <c r="B2572" t="str">
        <f>""</f>
        <v/>
      </c>
      <c r="G2572" t="str">
        <f>""</f>
        <v/>
      </c>
      <c r="H2572" t="str">
        <f>""</f>
        <v/>
      </c>
      <c r="I2572" s="4">
        <v>1497.2</v>
      </c>
      <c r="J2572" t="str">
        <f t="shared" si="73"/>
        <v>BCBS PAYABLE</v>
      </c>
    </row>
    <row r="2573" spans="1:10" x14ac:dyDescent="0.25">
      <c r="A2573" t="str">
        <f>""</f>
        <v/>
      </c>
      <c r="B2573" t="str">
        <f>""</f>
        <v/>
      </c>
      <c r="G2573" t="str">
        <f>""</f>
        <v/>
      </c>
      <c r="H2573" t="str">
        <f>""</f>
        <v/>
      </c>
      <c r="I2573" s="4">
        <v>3743</v>
      </c>
      <c r="J2573" t="str">
        <f t="shared" si="73"/>
        <v>BCBS PAYABLE</v>
      </c>
    </row>
    <row r="2574" spans="1:10" x14ac:dyDescent="0.25">
      <c r="A2574" t="str">
        <f>""</f>
        <v/>
      </c>
      <c r="B2574" t="str">
        <f>""</f>
        <v/>
      </c>
      <c r="G2574" t="str">
        <f>""</f>
        <v/>
      </c>
      <c r="H2574" t="str">
        <f>""</f>
        <v/>
      </c>
      <c r="I2574" s="4">
        <v>748.6</v>
      </c>
      <c r="J2574" t="str">
        <f t="shared" si="73"/>
        <v>BCBS PAYABLE</v>
      </c>
    </row>
    <row r="2575" spans="1:10" x14ac:dyDescent="0.25">
      <c r="A2575" t="str">
        <f>""</f>
        <v/>
      </c>
      <c r="B2575" t="str">
        <f>""</f>
        <v/>
      </c>
      <c r="G2575" t="str">
        <f>""</f>
        <v/>
      </c>
      <c r="H2575" t="str">
        <f>""</f>
        <v/>
      </c>
      <c r="I2575" s="4">
        <v>1122.9000000000001</v>
      </c>
      <c r="J2575" t="str">
        <f t="shared" si="73"/>
        <v>BCBS PAYABLE</v>
      </c>
    </row>
    <row r="2576" spans="1:10" x14ac:dyDescent="0.25">
      <c r="A2576" t="str">
        <f>""</f>
        <v/>
      </c>
      <c r="B2576" t="str">
        <f>""</f>
        <v/>
      </c>
      <c r="G2576" t="str">
        <f>""</f>
        <v/>
      </c>
      <c r="H2576" t="str">
        <f>""</f>
        <v/>
      </c>
      <c r="I2576" s="4">
        <v>374.3</v>
      </c>
      <c r="J2576" t="str">
        <f t="shared" si="73"/>
        <v>BCBS PAYABLE</v>
      </c>
    </row>
    <row r="2577" spans="1:10" x14ac:dyDescent="0.25">
      <c r="A2577" t="str">
        <f>""</f>
        <v/>
      </c>
      <c r="B2577" t="str">
        <f>""</f>
        <v/>
      </c>
      <c r="G2577" t="str">
        <f>""</f>
        <v/>
      </c>
      <c r="H2577" t="str">
        <f>""</f>
        <v/>
      </c>
      <c r="I2577" s="4">
        <v>1122.9000000000001</v>
      </c>
      <c r="J2577" t="str">
        <f t="shared" si="73"/>
        <v>BCBS PAYABLE</v>
      </c>
    </row>
    <row r="2578" spans="1:10" x14ac:dyDescent="0.25">
      <c r="A2578" t="str">
        <f>""</f>
        <v/>
      </c>
      <c r="B2578" t="str">
        <f>""</f>
        <v/>
      </c>
      <c r="G2578" t="str">
        <f>""</f>
        <v/>
      </c>
      <c r="H2578" t="str">
        <f>""</f>
        <v/>
      </c>
      <c r="I2578" s="4">
        <v>748.6</v>
      </c>
      <c r="J2578" t="str">
        <f t="shared" si="73"/>
        <v>BCBS PAYABLE</v>
      </c>
    </row>
    <row r="2579" spans="1:10" x14ac:dyDescent="0.25">
      <c r="A2579" t="str">
        <f>""</f>
        <v/>
      </c>
      <c r="B2579" t="str">
        <f>""</f>
        <v/>
      </c>
      <c r="G2579" t="str">
        <f>""</f>
        <v/>
      </c>
      <c r="H2579" t="str">
        <f>""</f>
        <v/>
      </c>
      <c r="I2579" s="4">
        <v>3719.53</v>
      </c>
      <c r="J2579" t="str">
        <f t="shared" si="73"/>
        <v>BCBS PAYABLE</v>
      </c>
    </row>
    <row r="2580" spans="1:10" x14ac:dyDescent="0.25">
      <c r="A2580" t="str">
        <f>""</f>
        <v/>
      </c>
      <c r="B2580" t="str">
        <f>""</f>
        <v/>
      </c>
      <c r="G2580" t="str">
        <f>""</f>
        <v/>
      </c>
      <c r="H2580" t="str">
        <f>""</f>
        <v/>
      </c>
      <c r="I2580" s="4">
        <v>1122.9000000000001</v>
      </c>
      <c r="J2580" t="str">
        <f t="shared" si="73"/>
        <v>BCBS PAYABLE</v>
      </c>
    </row>
    <row r="2581" spans="1:10" x14ac:dyDescent="0.25">
      <c r="A2581" t="str">
        <f>""</f>
        <v/>
      </c>
      <c r="B2581" t="str">
        <f>""</f>
        <v/>
      </c>
      <c r="G2581" t="str">
        <f>""</f>
        <v/>
      </c>
      <c r="H2581" t="str">
        <f>""</f>
        <v/>
      </c>
      <c r="I2581" s="4">
        <v>748.6</v>
      </c>
      <c r="J2581" t="str">
        <f t="shared" si="73"/>
        <v>BCBS PAYABLE</v>
      </c>
    </row>
    <row r="2582" spans="1:10" x14ac:dyDescent="0.25">
      <c r="A2582" t="str">
        <f>""</f>
        <v/>
      </c>
      <c r="B2582" t="str">
        <f>""</f>
        <v/>
      </c>
      <c r="G2582" t="str">
        <f>""</f>
        <v/>
      </c>
      <c r="H2582" t="str">
        <f>""</f>
        <v/>
      </c>
      <c r="I2582" s="4">
        <v>374.3</v>
      </c>
      <c r="J2582" t="str">
        <f t="shared" si="73"/>
        <v>BCBS PAYABLE</v>
      </c>
    </row>
    <row r="2583" spans="1:10" x14ac:dyDescent="0.25">
      <c r="A2583" t="str">
        <f>""</f>
        <v/>
      </c>
      <c r="B2583" t="str">
        <f>""</f>
        <v/>
      </c>
      <c r="G2583" t="str">
        <f>""</f>
        <v/>
      </c>
      <c r="H2583" t="str">
        <f>""</f>
        <v/>
      </c>
      <c r="I2583" s="4">
        <v>4117.3</v>
      </c>
      <c r="J2583" t="str">
        <f t="shared" si="73"/>
        <v>BCBS PAYABLE</v>
      </c>
    </row>
    <row r="2584" spans="1:10" x14ac:dyDescent="0.25">
      <c r="A2584" t="str">
        <f>""</f>
        <v/>
      </c>
      <c r="B2584" t="str">
        <f>""</f>
        <v/>
      </c>
      <c r="G2584" t="str">
        <f>""</f>
        <v/>
      </c>
      <c r="H2584" t="str">
        <f>""</f>
        <v/>
      </c>
      <c r="I2584" s="4">
        <v>1497.2</v>
      </c>
      <c r="J2584" t="str">
        <f t="shared" si="73"/>
        <v>BCBS PAYABLE</v>
      </c>
    </row>
    <row r="2585" spans="1:10" x14ac:dyDescent="0.25">
      <c r="A2585" t="str">
        <f>""</f>
        <v/>
      </c>
      <c r="B2585" t="str">
        <f>""</f>
        <v/>
      </c>
      <c r="G2585" t="str">
        <f>""</f>
        <v/>
      </c>
      <c r="H2585" t="str">
        <f>""</f>
        <v/>
      </c>
      <c r="I2585" s="4">
        <v>2994.4</v>
      </c>
      <c r="J2585" t="str">
        <f t="shared" si="73"/>
        <v>BCBS PAYABLE</v>
      </c>
    </row>
    <row r="2586" spans="1:10" x14ac:dyDescent="0.25">
      <c r="A2586" t="str">
        <f>""</f>
        <v/>
      </c>
      <c r="B2586" t="str">
        <f>""</f>
        <v/>
      </c>
      <c r="G2586" t="str">
        <f>""</f>
        <v/>
      </c>
      <c r="H2586" t="str">
        <f>""</f>
        <v/>
      </c>
      <c r="I2586" s="4">
        <v>3368.7</v>
      </c>
      <c r="J2586" t="str">
        <f t="shared" si="73"/>
        <v>BCBS PAYABLE</v>
      </c>
    </row>
    <row r="2587" spans="1:10" x14ac:dyDescent="0.25">
      <c r="A2587" t="str">
        <f>""</f>
        <v/>
      </c>
      <c r="B2587" t="str">
        <f>""</f>
        <v/>
      </c>
      <c r="G2587" t="str">
        <f>""</f>
        <v/>
      </c>
      <c r="H2587" t="str">
        <f>""</f>
        <v/>
      </c>
      <c r="I2587" s="4">
        <v>4310.0600000000004</v>
      </c>
      <c r="J2587" t="str">
        <f t="shared" si="73"/>
        <v>BCBS PAYABLE</v>
      </c>
    </row>
    <row r="2588" spans="1:10" x14ac:dyDescent="0.25">
      <c r="A2588" t="str">
        <f>""</f>
        <v/>
      </c>
      <c r="B2588" t="str">
        <f>""</f>
        <v/>
      </c>
      <c r="G2588" t="str">
        <f>""</f>
        <v/>
      </c>
      <c r="H2588" t="str">
        <f>""</f>
        <v/>
      </c>
      <c r="I2588" s="4">
        <v>374.3</v>
      </c>
      <c r="J2588" t="str">
        <f t="shared" si="73"/>
        <v>BCBS PAYABLE</v>
      </c>
    </row>
    <row r="2589" spans="1:10" x14ac:dyDescent="0.25">
      <c r="A2589" t="str">
        <f>""</f>
        <v/>
      </c>
      <c r="B2589" t="str">
        <f>""</f>
        <v/>
      </c>
      <c r="G2589" t="str">
        <f>""</f>
        <v/>
      </c>
      <c r="H2589" t="str">
        <f>""</f>
        <v/>
      </c>
      <c r="I2589" s="4">
        <v>374.3</v>
      </c>
      <c r="J2589" t="str">
        <f t="shared" si="73"/>
        <v>BCBS PAYABLE</v>
      </c>
    </row>
    <row r="2590" spans="1:10" x14ac:dyDescent="0.25">
      <c r="A2590" t="str">
        <f>""</f>
        <v/>
      </c>
      <c r="B2590" t="str">
        <f>""</f>
        <v/>
      </c>
      <c r="G2590" t="str">
        <f>""</f>
        <v/>
      </c>
      <c r="H2590" t="str">
        <f>""</f>
        <v/>
      </c>
      <c r="I2590" s="4">
        <v>21356.57</v>
      </c>
      <c r="J2590" t="str">
        <f t="shared" si="73"/>
        <v>BCBS PAYABLE</v>
      </c>
    </row>
    <row r="2591" spans="1:10" x14ac:dyDescent="0.25">
      <c r="A2591" t="str">
        <f>""</f>
        <v/>
      </c>
      <c r="B2591" t="str">
        <f>""</f>
        <v/>
      </c>
      <c r="G2591" t="str">
        <f>""</f>
        <v/>
      </c>
      <c r="H2591" t="str">
        <f>""</f>
        <v/>
      </c>
      <c r="I2591" s="4">
        <v>1032.3699999999999</v>
      </c>
      <c r="J2591" t="str">
        <f t="shared" si="73"/>
        <v>BCBS PAYABLE</v>
      </c>
    </row>
    <row r="2592" spans="1:10" x14ac:dyDescent="0.25">
      <c r="A2592" t="str">
        <f>""</f>
        <v/>
      </c>
      <c r="B2592" t="str">
        <f>""</f>
        <v/>
      </c>
      <c r="G2592" t="str">
        <f>""</f>
        <v/>
      </c>
      <c r="H2592" t="str">
        <f>""</f>
        <v/>
      </c>
      <c r="I2592" s="4">
        <v>23583.29</v>
      </c>
      <c r="J2592" t="str">
        <f t="shared" si="73"/>
        <v>BCBS PAYABLE</v>
      </c>
    </row>
    <row r="2593" spans="1:10" x14ac:dyDescent="0.25">
      <c r="A2593" t="str">
        <f>""</f>
        <v/>
      </c>
      <c r="B2593" t="str">
        <f>""</f>
        <v/>
      </c>
      <c r="G2593" t="str">
        <f>""</f>
        <v/>
      </c>
      <c r="H2593" t="str">
        <f>""</f>
        <v/>
      </c>
      <c r="I2593" s="4">
        <v>6363.1</v>
      </c>
      <c r="J2593" t="str">
        <f t="shared" si="73"/>
        <v>BCBS PAYABLE</v>
      </c>
    </row>
    <row r="2594" spans="1:10" x14ac:dyDescent="0.25">
      <c r="A2594" t="str">
        <f>""</f>
        <v/>
      </c>
      <c r="B2594" t="str">
        <f>""</f>
        <v/>
      </c>
      <c r="G2594" t="str">
        <f>""</f>
        <v/>
      </c>
      <c r="H2594" t="str">
        <f>""</f>
        <v/>
      </c>
      <c r="I2594" s="4">
        <v>748.6</v>
      </c>
      <c r="J2594" t="str">
        <f t="shared" si="73"/>
        <v>BCBS PAYABLE</v>
      </c>
    </row>
    <row r="2595" spans="1:10" x14ac:dyDescent="0.25">
      <c r="A2595" t="str">
        <f>""</f>
        <v/>
      </c>
      <c r="B2595" t="str">
        <f>""</f>
        <v/>
      </c>
      <c r="G2595" t="str">
        <f>""</f>
        <v/>
      </c>
      <c r="H2595" t="str">
        <f>""</f>
        <v/>
      </c>
      <c r="I2595" s="4">
        <v>1565.41</v>
      </c>
      <c r="J2595" t="str">
        <f t="shared" si="73"/>
        <v>BCBS PAYABLE</v>
      </c>
    </row>
    <row r="2596" spans="1:10" x14ac:dyDescent="0.25">
      <c r="A2596" t="str">
        <f>""</f>
        <v/>
      </c>
      <c r="B2596" t="str">
        <f>""</f>
        <v/>
      </c>
      <c r="G2596" t="str">
        <f>""</f>
        <v/>
      </c>
      <c r="H2596" t="str">
        <f>""</f>
        <v/>
      </c>
      <c r="I2596" s="4">
        <v>95.82</v>
      </c>
      <c r="J2596" t="str">
        <f t="shared" si="73"/>
        <v>BCBS PAYABLE</v>
      </c>
    </row>
    <row r="2597" spans="1:10" x14ac:dyDescent="0.25">
      <c r="A2597" t="str">
        <f>""</f>
        <v/>
      </c>
      <c r="B2597" t="str">
        <f>""</f>
        <v/>
      </c>
      <c r="G2597" t="str">
        <f>""</f>
        <v/>
      </c>
      <c r="H2597" t="str">
        <f>""</f>
        <v/>
      </c>
      <c r="I2597" s="4">
        <v>1122.9000000000001</v>
      </c>
      <c r="J2597" t="str">
        <f t="shared" si="73"/>
        <v>BCBS PAYABLE</v>
      </c>
    </row>
    <row r="2598" spans="1:10" x14ac:dyDescent="0.25">
      <c r="A2598" t="str">
        <f>""</f>
        <v/>
      </c>
      <c r="B2598" t="str">
        <f>""</f>
        <v/>
      </c>
      <c r="G2598" t="str">
        <f>""</f>
        <v/>
      </c>
      <c r="H2598" t="str">
        <f>""</f>
        <v/>
      </c>
      <c r="I2598" s="4">
        <v>374.3</v>
      </c>
      <c r="J2598" t="str">
        <f t="shared" si="73"/>
        <v>BCBS PAYABLE</v>
      </c>
    </row>
    <row r="2599" spans="1:10" x14ac:dyDescent="0.25">
      <c r="A2599" t="str">
        <f>""</f>
        <v/>
      </c>
      <c r="B2599" t="str">
        <f>""</f>
        <v/>
      </c>
      <c r="G2599" t="str">
        <f>""</f>
        <v/>
      </c>
      <c r="H2599" t="str">
        <f>""</f>
        <v/>
      </c>
      <c r="I2599" s="4">
        <v>1684.35</v>
      </c>
      <c r="J2599" t="str">
        <f t="shared" si="73"/>
        <v>BCBS PAYABLE</v>
      </c>
    </row>
    <row r="2600" spans="1:10" x14ac:dyDescent="0.25">
      <c r="A2600" t="str">
        <f>""</f>
        <v/>
      </c>
      <c r="B2600" t="str">
        <f>""</f>
        <v/>
      </c>
      <c r="G2600" t="str">
        <f>""</f>
        <v/>
      </c>
      <c r="H2600" t="str">
        <f>""</f>
        <v/>
      </c>
      <c r="I2600" s="4">
        <v>748.6</v>
      </c>
      <c r="J2600" t="str">
        <f t="shared" si="73"/>
        <v>BCBS PAYABLE</v>
      </c>
    </row>
    <row r="2601" spans="1:10" x14ac:dyDescent="0.25">
      <c r="A2601" t="str">
        <f>""</f>
        <v/>
      </c>
      <c r="B2601" t="str">
        <f>""</f>
        <v/>
      </c>
      <c r="G2601" t="str">
        <f>""</f>
        <v/>
      </c>
      <c r="H2601" t="str">
        <f>""</f>
        <v/>
      </c>
      <c r="I2601" s="4">
        <v>20.190000000000001</v>
      </c>
      <c r="J2601" t="str">
        <f t="shared" si="73"/>
        <v>BCBS PAYABLE</v>
      </c>
    </row>
    <row r="2602" spans="1:10" x14ac:dyDescent="0.25">
      <c r="A2602" t="str">
        <f>""</f>
        <v/>
      </c>
      <c r="B2602" t="str">
        <f>""</f>
        <v/>
      </c>
      <c r="G2602" t="str">
        <f>""</f>
        <v/>
      </c>
      <c r="H2602" t="str">
        <f>""</f>
        <v/>
      </c>
      <c r="I2602" s="4">
        <v>3460.87</v>
      </c>
      <c r="J2602" t="str">
        <f t="shared" si="73"/>
        <v>BCBS PAYABLE</v>
      </c>
    </row>
    <row r="2603" spans="1:10" x14ac:dyDescent="0.25">
      <c r="A2603" t="str">
        <f>""</f>
        <v/>
      </c>
      <c r="B2603" t="str">
        <f>""</f>
        <v/>
      </c>
      <c r="G2603" t="str">
        <f>""</f>
        <v/>
      </c>
      <c r="H2603" t="str">
        <f>""</f>
        <v/>
      </c>
      <c r="I2603" s="4">
        <v>2175.1799999999998</v>
      </c>
      <c r="J2603" t="str">
        <f t="shared" si="73"/>
        <v>BCBS PAYABLE</v>
      </c>
    </row>
    <row r="2604" spans="1:10" x14ac:dyDescent="0.25">
      <c r="A2604" t="str">
        <f>""</f>
        <v/>
      </c>
      <c r="B2604" t="str">
        <f>""</f>
        <v/>
      </c>
      <c r="G2604" t="str">
        <f>""</f>
        <v/>
      </c>
      <c r="H2604" t="str">
        <f>""</f>
        <v/>
      </c>
      <c r="I2604" s="4">
        <v>4795.28</v>
      </c>
      <c r="J2604" t="str">
        <f t="shared" si="73"/>
        <v>BCBS PAYABLE</v>
      </c>
    </row>
    <row r="2605" spans="1:10" x14ac:dyDescent="0.25">
      <c r="A2605" t="str">
        <f>""</f>
        <v/>
      </c>
      <c r="B2605" t="str">
        <f>""</f>
        <v/>
      </c>
      <c r="G2605" t="str">
        <f>""</f>
        <v/>
      </c>
      <c r="H2605" t="str">
        <f>""</f>
        <v/>
      </c>
      <c r="I2605" s="4">
        <v>4420.96</v>
      </c>
      <c r="J2605" t="str">
        <f t="shared" si="73"/>
        <v>BCBS PAYABLE</v>
      </c>
    </row>
    <row r="2606" spans="1:10" x14ac:dyDescent="0.25">
      <c r="A2606" t="str">
        <f>""</f>
        <v/>
      </c>
      <c r="B2606" t="str">
        <f>""</f>
        <v/>
      </c>
      <c r="G2606" t="str">
        <f>""</f>
        <v/>
      </c>
      <c r="H2606" t="str">
        <f>""</f>
        <v/>
      </c>
      <c r="I2606" s="4">
        <v>652.78</v>
      </c>
      <c r="J2606" t="str">
        <f t="shared" si="73"/>
        <v>BCBS PAYABLE</v>
      </c>
    </row>
    <row r="2607" spans="1:10" x14ac:dyDescent="0.25">
      <c r="A2607" t="str">
        <f>""</f>
        <v/>
      </c>
      <c r="B2607" t="str">
        <f>""</f>
        <v/>
      </c>
      <c r="G2607" t="str">
        <f>""</f>
        <v/>
      </c>
      <c r="H2607" t="str">
        <f>""</f>
        <v/>
      </c>
      <c r="I2607" s="4">
        <v>9.7200000000000006</v>
      </c>
      <c r="J2607" t="str">
        <f t="shared" si="73"/>
        <v>BCBS PAYABLE</v>
      </c>
    </row>
    <row r="2608" spans="1:10" x14ac:dyDescent="0.25">
      <c r="A2608" t="str">
        <f>""</f>
        <v/>
      </c>
      <c r="B2608" t="str">
        <f>""</f>
        <v/>
      </c>
      <c r="G2608" t="str">
        <f>""</f>
        <v/>
      </c>
      <c r="H2608" t="str">
        <f>""</f>
        <v/>
      </c>
      <c r="I2608" s="4">
        <v>13.75</v>
      </c>
      <c r="J2608" t="str">
        <f t="shared" si="73"/>
        <v>BCBS PAYABLE</v>
      </c>
    </row>
    <row r="2609" spans="1:10" x14ac:dyDescent="0.25">
      <c r="A2609" t="str">
        <f>""</f>
        <v/>
      </c>
      <c r="B2609" t="str">
        <f>""</f>
        <v/>
      </c>
      <c r="G2609" t="str">
        <f>""</f>
        <v/>
      </c>
      <c r="H2609" t="str">
        <f>""</f>
        <v/>
      </c>
      <c r="I2609" s="4">
        <v>372.76</v>
      </c>
      <c r="J2609" t="str">
        <f t="shared" si="73"/>
        <v>BCBS PAYABLE</v>
      </c>
    </row>
    <row r="2610" spans="1:10" x14ac:dyDescent="0.25">
      <c r="A2610" t="str">
        <f>""</f>
        <v/>
      </c>
      <c r="B2610" t="str">
        <f>""</f>
        <v/>
      </c>
      <c r="G2610" t="str">
        <f>"2EO202202169062"</f>
        <v>2EO202202169062</v>
      </c>
      <c r="H2610" t="str">
        <f>"BCBS PAYABLE"</f>
        <v>BCBS PAYABLE</v>
      </c>
      <c r="I2610" s="4">
        <v>2620.1</v>
      </c>
      <c r="J2610" t="str">
        <f t="shared" si="73"/>
        <v>BCBS PAYABLE</v>
      </c>
    </row>
    <row r="2611" spans="1:10" x14ac:dyDescent="0.25">
      <c r="A2611" t="str">
        <f>""</f>
        <v/>
      </c>
      <c r="B2611" t="str">
        <f>""</f>
        <v/>
      </c>
      <c r="G2611" t="str">
        <f>"2ES202202028715"</f>
        <v>2ES202202028715</v>
      </c>
      <c r="H2611" t="str">
        <f>"BCBS PAYABLE"</f>
        <v>BCBS PAYABLE</v>
      </c>
      <c r="I2611" s="4">
        <v>374.3</v>
      </c>
      <c r="J2611" t="str">
        <f t="shared" si="73"/>
        <v>BCBS PAYABLE</v>
      </c>
    </row>
    <row r="2612" spans="1:10" x14ac:dyDescent="0.25">
      <c r="A2612" t="str">
        <f>""</f>
        <v/>
      </c>
      <c r="B2612" t="str">
        <f>""</f>
        <v/>
      </c>
      <c r="G2612" t="str">
        <f>""</f>
        <v/>
      </c>
      <c r="H2612" t="str">
        <f>""</f>
        <v/>
      </c>
      <c r="I2612" s="4">
        <v>374.3</v>
      </c>
      <c r="J2612" t="str">
        <f t="shared" si="73"/>
        <v>BCBS PAYABLE</v>
      </c>
    </row>
    <row r="2613" spans="1:10" x14ac:dyDescent="0.25">
      <c r="A2613" t="str">
        <f>""</f>
        <v/>
      </c>
      <c r="B2613" t="str">
        <f>""</f>
        <v/>
      </c>
      <c r="G2613" t="str">
        <f>""</f>
        <v/>
      </c>
      <c r="H2613" t="str">
        <f>""</f>
        <v/>
      </c>
      <c r="I2613" s="4">
        <v>748.6</v>
      </c>
      <c r="J2613" t="str">
        <f t="shared" si="73"/>
        <v>BCBS PAYABLE</v>
      </c>
    </row>
    <row r="2614" spans="1:10" x14ac:dyDescent="0.25">
      <c r="A2614" t="str">
        <f>""</f>
        <v/>
      </c>
      <c r="B2614" t="str">
        <f>""</f>
        <v/>
      </c>
      <c r="G2614" t="str">
        <f>""</f>
        <v/>
      </c>
      <c r="H2614" t="str">
        <f>""</f>
        <v/>
      </c>
      <c r="I2614" s="4">
        <v>374.3</v>
      </c>
      <c r="J2614" t="str">
        <f t="shared" si="73"/>
        <v>BCBS PAYABLE</v>
      </c>
    </row>
    <row r="2615" spans="1:10" x14ac:dyDescent="0.25">
      <c r="A2615" t="str">
        <f>""</f>
        <v/>
      </c>
      <c r="B2615" t="str">
        <f>""</f>
        <v/>
      </c>
      <c r="G2615" t="str">
        <f>""</f>
        <v/>
      </c>
      <c r="H2615" t="str">
        <f>""</f>
        <v/>
      </c>
      <c r="I2615" s="4">
        <v>374.3</v>
      </c>
      <c r="J2615" t="str">
        <f t="shared" si="73"/>
        <v>BCBS PAYABLE</v>
      </c>
    </row>
    <row r="2616" spans="1:10" x14ac:dyDescent="0.25">
      <c r="A2616" t="str">
        <f>""</f>
        <v/>
      </c>
      <c r="B2616" t="str">
        <f>""</f>
        <v/>
      </c>
      <c r="G2616" t="str">
        <f>""</f>
        <v/>
      </c>
      <c r="H2616" t="str">
        <f>""</f>
        <v/>
      </c>
      <c r="I2616" s="4">
        <v>374.3</v>
      </c>
      <c r="J2616" t="str">
        <f t="shared" si="73"/>
        <v>BCBS PAYABLE</v>
      </c>
    </row>
    <row r="2617" spans="1:10" x14ac:dyDescent="0.25">
      <c r="A2617" t="str">
        <f>""</f>
        <v/>
      </c>
      <c r="B2617" t="str">
        <f>""</f>
        <v/>
      </c>
      <c r="G2617" t="str">
        <f>""</f>
        <v/>
      </c>
      <c r="H2617" t="str">
        <f>""</f>
        <v/>
      </c>
      <c r="I2617" s="4">
        <v>374.3</v>
      </c>
      <c r="J2617" t="str">
        <f t="shared" si="73"/>
        <v>BCBS PAYABLE</v>
      </c>
    </row>
    <row r="2618" spans="1:10" x14ac:dyDescent="0.25">
      <c r="A2618" t="str">
        <f>""</f>
        <v/>
      </c>
      <c r="B2618" t="str">
        <f>""</f>
        <v/>
      </c>
      <c r="G2618" t="str">
        <f>""</f>
        <v/>
      </c>
      <c r="H2618" t="str">
        <f>""</f>
        <v/>
      </c>
      <c r="I2618" s="4">
        <v>374.3</v>
      </c>
      <c r="J2618" t="str">
        <f t="shared" si="73"/>
        <v>BCBS PAYABLE</v>
      </c>
    </row>
    <row r="2619" spans="1:10" x14ac:dyDescent="0.25">
      <c r="A2619" t="str">
        <f>""</f>
        <v/>
      </c>
      <c r="B2619" t="str">
        <f>""</f>
        <v/>
      </c>
      <c r="G2619" t="str">
        <f>""</f>
        <v/>
      </c>
      <c r="H2619" t="str">
        <f>""</f>
        <v/>
      </c>
      <c r="I2619" s="4">
        <v>374.3</v>
      </c>
      <c r="J2619" t="str">
        <f t="shared" si="73"/>
        <v>BCBS PAYABLE</v>
      </c>
    </row>
    <row r="2620" spans="1:10" x14ac:dyDescent="0.25">
      <c r="A2620" t="str">
        <f>""</f>
        <v/>
      </c>
      <c r="B2620" t="str">
        <f>""</f>
        <v/>
      </c>
      <c r="G2620" t="str">
        <f>""</f>
        <v/>
      </c>
      <c r="H2620" t="str">
        <f>""</f>
        <v/>
      </c>
      <c r="I2620" s="4">
        <v>748.6</v>
      </c>
      <c r="J2620" t="str">
        <f t="shared" si="73"/>
        <v>BCBS PAYABLE</v>
      </c>
    </row>
    <row r="2621" spans="1:10" x14ac:dyDescent="0.25">
      <c r="A2621" t="str">
        <f>""</f>
        <v/>
      </c>
      <c r="B2621" t="str">
        <f>""</f>
        <v/>
      </c>
      <c r="G2621" t="str">
        <f>""</f>
        <v/>
      </c>
      <c r="H2621" t="str">
        <f>""</f>
        <v/>
      </c>
      <c r="I2621" s="4">
        <v>3391.97</v>
      </c>
      <c r="J2621" t="str">
        <f t="shared" si="73"/>
        <v>BCBS PAYABLE</v>
      </c>
    </row>
    <row r="2622" spans="1:10" x14ac:dyDescent="0.25">
      <c r="A2622" t="str">
        <f>""</f>
        <v/>
      </c>
      <c r="B2622" t="str">
        <f>""</f>
        <v/>
      </c>
      <c r="G2622" t="str">
        <f>""</f>
        <v/>
      </c>
      <c r="H2622" t="str">
        <f>""</f>
        <v/>
      </c>
      <c r="I2622" s="4">
        <v>1848.23</v>
      </c>
      <c r="J2622" t="str">
        <f t="shared" si="73"/>
        <v>BCBS PAYABLE</v>
      </c>
    </row>
    <row r="2623" spans="1:10" x14ac:dyDescent="0.25">
      <c r="A2623" t="str">
        <f>""</f>
        <v/>
      </c>
      <c r="B2623" t="str">
        <f>""</f>
        <v/>
      </c>
      <c r="G2623" t="str">
        <f>""</f>
        <v/>
      </c>
      <c r="H2623" t="str">
        <f>""</f>
        <v/>
      </c>
      <c r="I2623" s="4">
        <v>374.3</v>
      </c>
      <c r="J2623" t="str">
        <f t="shared" si="73"/>
        <v>BCBS PAYABLE</v>
      </c>
    </row>
    <row r="2624" spans="1:10" x14ac:dyDescent="0.25">
      <c r="A2624" t="str">
        <f>""</f>
        <v/>
      </c>
      <c r="B2624" t="str">
        <f>""</f>
        <v/>
      </c>
      <c r="G2624" t="str">
        <f>""</f>
        <v/>
      </c>
      <c r="H2624" t="str">
        <f>""</f>
        <v/>
      </c>
      <c r="I2624" s="4">
        <v>374.3</v>
      </c>
      <c r="J2624" t="str">
        <f t="shared" si="73"/>
        <v>BCBS PAYABLE</v>
      </c>
    </row>
    <row r="2625" spans="1:10" x14ac:dyDescent="0.25">
      <c r="A2625" t="str">
        <f>""</f>
        <v/>
      </c>
      <c r="B2625" t="str">
        <f>""</f>
        <v/>
      </c>
      <c r="G2625" t="str">
        <f>""</f>
        <v/>
      </c>
      <c r="H2625" t="str">
        <f>""</f>
        <v/>
      </c>
      <c r="I2625" s="4">
        <v>374.3</v>
      </c>
      <c r="J2625" t="str">
        <f t="shared" si="73"/>
        <v>BCBS PAYABLE</v>
      </c>
    </row>
    <row r="2626" spans="1:10" x14ac:dyDescent="0.25">
      <c r="A2626" t="str">
        <f>""</f>
        <v/>
      </c>
      <c r="B2626" t="str">
        <f>""</f>
        <v/>
      </c>
      <c r="G2626" t="str">
        <f>""</f>
        <v/>
      </c>
      <c r="H2626" t="str">
        <f>""</f>
        <v/>
      </c>
      <c r="I2626" s="4">
        <v>374.3</v>
      </c>
      <c r="J2626" t="str">
        <f t="shared" si="73"/>
        <v>BCBS PAYABLE</v>
      </c>
    </row>
    <row r="2627" spans="1:10" x14ac:dyDescent="0.25">
      <c r="A2627" t="str">
        <f>""</f>
        <v/>
      </c>
      <c r="B2627" t="str">
        <f>""</f>
        <v/>
      </c>
      <c r="G2627" t="str">
        <f>""</f>
        <v/>
      </c>
      <c r="H2627" t="str">
        <f>""</f>
        <v/>
      </c>
      <c r="I2627" s="4">
        <v>748.6</v>
      </c>
      <c r="J2627" t="str">
        <f t="shared" si="73"/>
        <v>BCBS PAYABLE</v>
      </c>
    </row>
    <row r="2628" spans="1:10" x14ac:dyDescent="0.25">
      <c r="A2628" t="str">
        <f>""</f>
        <v/>
      </c>
      <c r="B2628" t="str">
        <f>""</f>
        <v/>
      </c>
      <c r="G2628" t="str">
        <f>""</f>
        <v/>
      </c>
      <c r="H2628" t="str">
        <f>""</f>
        <v/>
      </c>
      <c r="I2628" s="4">
        <v>7071.04</v>
      </c>
      <c r="J2628" t="str">
        <f t="shared" si="73"/>
        <v>BCBS PAYABLE</v>
      </c>
    </row>
    <row r="2629" spans="1:10" x14ac:dyDescent="0.25">
      <c r="A2629" t="str">
        <f>""</f>
        <v/>
      </c>
      <c r="B2629" t="str">
        <f>""</f>
        <v/>
      </c>
      <c r="G2629" t="str">
        <f>"2ES202202028716"</f>
        <v>2ES202202028716</v>
      </c>
      <c r="H2629" t="str">
        <f>"BCBS PAYABLE"</f>
        <v>BCBS PAYABLE</v>
      </c>
      <c r="I2629" s="4">
        <v>374.3</v>
      </c>
      <c r="J2629" t="str">
        <f t="shared" ref="J2629:J2650" si="74">"BCBS PAYABLE"</f>
        <v>BCBS PAYABLE</v>
      </c>
    </row>
    <row r="2630" spans="1:10" x14ac:dyDescent="0.25">
      <c r="A2630" t="str">
        <f>""</f>
        <v/>
      </c>
      <c r="B2630" t="str">
        <f>""</f>
        <v/>
      </c>
      <c r="G2630" t="str">
        <f>""</f>
        <v/>
      </c>
      <c r="H2630" t="str">
        <f>""</f>
        <v/>
      </c>
      <c r="I2630" s="4">
        <v>220.97</v>
      </c>
      <c r="J2630" t="str">
        <f t="shared" si="74"/>
        <v>BCBS PAYABLE</v>
      </c>
    </row>
    <row r="2631" spans="1:10" x14ac:dyDescent="0.25">
      <c r="A2631" t="str">
        <f>""</f>
        <v/>
      </c>
      <c r="B2631" t="str">
        <f>""</f>
        <v/>
      </c>
      <c r="G2631" t="str">
        <f>"2ES202202169060"</f>
        <v>2ES202202169060</v>
      </c>
      <c r="H2631" t="str">
        <f>"BCBS PAYABLE"</f>
        <v>BCBS PAYABLE</v>
      </c>
      <c r="I2631" s="4">
        <v>374.3</v>
      </c>
      <c r="J2631" t="str">
        <f t="shared" si="74"/>
        <v>BCBS PAYABLE</v>
      </c>
    </row>
    <row r="2632" spans="1:10" x14ac:dyDescent="0.25">
      <c r="A2632" t="str">
        <f>""</f>
        <v/>
      </c>
      <c r="B2632" t="str">
        <f>""</f>
        <v/>
      </c>
      <c r="G2632" t="str">
        <f>""</f>
        <v/>
      </c>
      <c r="H2632" t="str">
        <f>""</f>
        <v/>
      </c>
      <c r="I2632" s="4">
        <v>374.3</v>
      </c>
      <c r="J2632" t="str">
        <f t="shared" si="74"/>
        <v>BCBS PAYABLE</v>
      </c>
    </row>
    <row r="2633" spans="1:10" x14ac:dyDescent="0.25">
      <c r="A2633" t="str">
        <f>""</f>
        <v/>
      </c>
      <c r="B2633" t="str">
        <f>""</f>
        <v/>
      </c>
      <c r="G2633" t="str">
        <f>""</f>
        <v/>
      </c>
      <c r="H2633" t="str">
        <f>""</f>
        <v/>
      </c>
      <c r="I2633" s="4">
        <v>748.6</v>
      </c>
      <c r="J2633" t="str">
        <f t="shared" si="74"/>
        <v>BCBS PAYABLE</v>
      </c>
    </row>
    <row r="2634" spans="1:10" x14ac:dyDescent="0.25">
      <c r="A2634" t="str">
        <f>""</f>
        <v/>
      </c>
      <c r="B2634" t="str">
        <f>""</f>
        <v/>
      </c>
      <c r="G2634" t="str">
        <f>""</f>
        <v/>
      </c>
      <c r="H2634" t="str">
        <f>""</f>
        <v/>
      </c>
      <c r="I2634" s="4">
        <v>374.3</v>
      </c>
      <c r="J2634" t="str">
        <f t="shared" si="74"/>
        <v>BCBS PAYABLE</v>
      </c>
    </row>
    <row r="2635" spans="1:10" x14ac:dyDescent="0.25">
      <c r="A2635" t="str">
        <f>""</f>
        <v/>
      </c>
      <c r="B2635" t="str">
        <f>""</f>
        <v/>
      </c>
      <c r="G2635" t="str">
        <f>""</f>
        <v/>
      </c>
      <c r="H2635" t="str">
        <f>""</f>
        <v/>
      </c>
      <c r="I2635" s="4">
        <v>374.3</v>
      </c>
      <c r="J2635" t="str">
        <f t="shared" si="74"/>
        <v>BCBS PAYABLE</v>
      </c>
    </row>
    <row r="2636" spans="1:10" x14ac:dyDescent="0.25">
      <c r="A2636" t="str">
        <f>""</f>
        <v/>
      </c>
      <c r="B2636" t="str">
        <f>""</f>
        <v/>
      </c>
      <c r="G2636" t="str">
        <f>""</f>
        <v/>
      </c>
      <c r="H2636" t="str">
        <f>""</f>
        <v/>
      </c>
      <c r="I2636" s="4">
        <v>374.3</v>
      </c>
      <c r="J2636" t="str">
        <f t="shared" si="74"/>
        <v>BCBS PAYABLE</v>
      </c>
    </row>
    <row r="2637" spans="1:10" x14ac:dyDescent="0.25">
      <c r="A2637" t="str">
        <f>""</f>
        <v/>
      </c>
      <c r="B2637" t="str">
        <f>""</f>
        <v/>
      </c>
      <c r="G2637" t="str">
        <f>""</f>
        <v/>
      </c>
      <c r="H2637" t="str">
        <f>""</f>
        <v/>
      </c>
      <c r="I2637" s="4">
        <v>374.3</v>
      </c>
      <c r="J2637" t="str">
        <f t="shared" si="74"/>
        <v>BCBS PAYABLE</v>
      </c>
    </row>
    <row r="2638" spans="1:10" x14ac:dyDescent="0.25">
      <c r="A2638" t="str">
        <f>""</f>
        <v/>
      </c>
      <c r="B2638" t="str">
        <f>""</f>
        <v/>
      </c>
      <c r="G2638" t="str">
        <f>""</f>
        <v/>
      </c>
      <c r="H2638" t="str">
        <f>""</f>
        <v/>
      </c>
      <c r="I2638" s="4">
        <v>374.3</v>
      </c>
      <c r="J2638" t="str">
        <f t="shared" si="74"/>
        <v>BCBS PAYABLE</v>
      </c>
    </row>
    <row r="2639" spans="1:10" x14ac:dyDescent="0.25">
      <c r="A2639" t="str">
        <f>""</f>
        <v/>
      </c>
      <c r="B2639" t="str">
        <f>""</f>
        <v/>
      </c>
      <c r="G2639" t="str">
        <f>""</f>
        <v/>
      </c>
      <c r="H2639" t="str">
        <f>""</f>
        <v/>
      </c>
      <c r="I2639" s="4">
        <v>374.3</v>
      </c>
      <c r="J2639" t="str">
        <f t="shared" si="74"/>
        <v>BCBS PAYABLE</v>
      </c>
    </row>
    <row r="2640" spans="1:10" x14ac:dyDescent="0.25">
      <c r="A2640" t="str">
        <f>""</f>
        <v/>
      </c>
      <c r="B2640" t="str">
        <f>""</f>
        <v/>
      </c>
      <c r="G2640" t="str">
        <f>""</f>
        <v/>
      </c>
      <c r="H2640" t="str">
        <f>""</f>
        <v/>
      </c>
      <c r="I2640" s="4">
        <v>748.6</v>
      </c>
      <c r="J2640" t="str">
        <f t="shared" si="74"/>
        <v>BCBS PAYABLE</v>
      </c>
    </row>
    <row r="2641" spans="1:10" x14ac:dyDescent="0.25">
      <c r="A2641" t="str">
        <f>""</f>
        <v/>
      </c>
      <c r="B2641" t="str">
        <f>""</f>
        <v/>
      </c>
      <c r="G2641" t="str">
        <f>""</f>
        <v/>
      </c>
      <c r="H2641" t="str">
        <f>""</f>
        <v/>
      </c>
      <c r="I2641" s="4">
        <v>3391.97</v>
      </c>
      <c r="J2641" t="str">
        <f t="shared" si="74"/>
        <v>BCBS PAYABLE</v>
      </c>
    </row>
    <row r="2642" spans="1:10" x14ac:dyDescent="0.25">
      <c r="A2642" t="str">
        <f>""</f>
        <v/>
      </c>
      <c r="B2642" t="str">
        <f>""</f>
        <v/>
      </c>
      <c r="G2642" t="str">
        <f>""</f>
        <v/>
      </c>
      <c r="H2642" t="str">
        <f>""</f>
        <v/>
      </c>
      <c r="I2642" s="4">
        <v>1848.23</v>
      </c>
      <c r="J2642" t="str">
        <f t="shared" si="74"/>
        <v>BCBS PAYABLE</v>
      </c>
    </row>
    <row r="2643" spans="1:10" x14ac:dyDescent="0.25">
      <c r="A2643" t="str">
        <f>""</f>
        <v/>
      </c>
      <c r="B2643" t="str">
        <f>""</f>
        <v/>
      </c>
      <c r="G2643" t="str">
        <f>""</f>
        <v/>
      </c>
      <c r="H2643" t="str">
        <f>""</f>
        <v/>
      </c>
      <c r="I2643" s="4">
        <v>374.3</v>
      </c>
      <c r="J2643" t="str">
        <f t="shared" si="74"/>
        <v>BCBS PAYABLE</v>
      </c>
    </row>
    <row r="2644" spans="1:10" x14ac:dyDescent="0.25">
      <c r="A2644" t="str">
        <f>""</f>
        <v/>
      </c>
      <c r="B2644" t="str">
        <f>""</f>
        <v/>
      </c>
      <c r="G2644" t="str">
        <f>""</f>
        <v/>
      </c>
      <c r="H2644" t="str">
        <f>""</f>
        <v/>
      </c>
      <c r="I2644" s="4">
        <v>374.3</v>
      </c>
      <c r="J2644" t="str">
        <f t="shared" si="74"/>
        <v>BCBS PAYABLE</v>
      </c>
    </row>
    <row r="2645" spans="1:10" x14ac:dyDescent="0.25">
      <c r="A2645" t="str">
        <f>""</f>
        <v/>
      </c>
      <c r="B2645" t="str">
        <f>""</f>
        <v/>
      </c>
      <c r="G2645" t="str">
        <f>""</f>
        <v/>
      </c>
      <c r="H2645" t="str">
        <f>""</f>
        <v/>
      </c>
      <c r="I2645" s="4">
        <v>374.3</v>
      </c>
      <c r="J2645" t="str">
        <f t="shared" si="74"/>
        <v>BCBS PAYABLE</v>
      </c>
    </row>
    <row r="2646" spans="1:10" x14ac:dyDescent="0.25">
      <c r="A2646" t="str">
        <f>""</f>
        <v/>
      </c>
      <c r="B2646" t="str">
        <f>""</f>
        <v/>
      </c>
      <c r="G2646" t="str">
        <f>""</f>
        <v/>
      </c>
      <c r="H2646" t="str">
        <f>""</f>
        <v/>
      </c>
      <c r="I2646" s="4">
        <v>374.3</v>
      </c>
      <c r="J2646" t="str">
        <f t="shared" si="74"/>
        <v>BCBS PAYABLE</v>
      </c>
    </row>
    <row r="2647" spans="1:10" x14ac:dyDescent="0.25">
      <c r="A2647" t="str">
        <f>""</f>
        <v/>
      </c>
      <c r="B2647" t="str">
        <f>""</f>
        <v/>
      </c>
      <c r="G2647" t="str">
        <f>""</f>
        <v/>
      </c>
      <c r="H2647" t="str">
        <f>""</f>
        <v/>
      </c>
      <c r="I2647" s="4">
        <v>748.6</v>
      </c>
      <c r="J2647" t="str">
        <f t="shared" si="74"/>
        <v>BCBS PAYABLE</v>
      </c>
    </row>
    <row r="2648" spans="1:10" x14ac:dyDescent="0.25">
      <c r="A2648" t="str">
        <f>""</f>
        <v/>
      </c>
      <c r="B2648" t="str">
        <f>""</f>
        <v/>
      </c>
      <c r="G2648" t="str">
        <f>""</f>
        <v/>
      </c>
      <c r="H2648" t="str">
        <f>""</f>
        <v/>
      </c>
      <c r="I2648" s="4">
        <v>7071.04</v>
      </c>
      <c r="J2648" t="str">
        <f t="shared" si="74"/>
        <v>BCBS PAYABLE</v>
      </c>
    </row>
    <row r="2649" spans="1:10" x14ac:dyDescent="0.25">
      <c r="A2649" t="str">
        <f>""</f>
        <v/>
      </c>
      <c r="B2649" t="str">
        <f>""</f>
        <v/>
      </c>
      <c r="G2649" t="str">
        <f>"2ES202202169062"</f>
        <v>2ES202202169062</v>
      </c>
      <c r="H2649" t="str">
        <f>"BCBS PAYABLE"</f>
        <v>BCBS PAYABLE</v>
      </c>
      <c r="I2649" s="4">
        <v>374.3</v>
      </c>
      <c r="J2649" t="str">
        <f t="shared" si="74"/>
        <v>BCBS PAYABLE</v>
      </c>
    </row>
    <row r="2650" spans="1:10" x14ac:dyDescent="0.25">
      <c r="A2650" t="str">
        <f>""</f>
        <v/>
      </c>
      <c r="B2650" t="str">
        <f>""</f>
        <v/>
      </c>
      <c r="G2650" t="str">
        <f>""</f>
        <v/>
      </c>
      <c r="H2650" t="str">
        <f>""</f>
        <v/>
      </c>
      <c r="I2650" s="4">
        <v>220.97</v>
      </c>
      <c r="J2650" t="str">
        <f t="shared" si="74"/>
        <v>BCBS PAYABLE</v>
      </c>
    </row>
    <row r="2651" spans="1:10" x14ac:dyDescent="0.25">
      <c r="A2651" t="str">
        <f>"01"</f>
        <v>01</v>
      </c>
      <c r="B2651" t="str">
        <f>"TCG457"</f>
        <v>TCG457</v>
      </c>
      <c r="C2651" t="s">
        <v>522</v>
      </c>
      <c r="D2651">
        <v>1601</v>
      </c>
      <c r="E2651" s="4">
        <v>7159.8</v>
      </c>
      <c r="F2651" s="5">
        <v>44596</v>
      </c>
      <c r="G2651" t="str">
        <f>"CPI202202028715"</f>
        <v>CPI202202028715</v>
      </c>
      <c r="H2651" t="str">
        <f>"DEFERRED COMP 457B PAYABLE"</f>
        <v>DEFERRED COMP 457B PAYABLE</v>
      </c>
      <c r="I2651" s="4">
        <v>5295.23</v>
      </c>
      <c r="J2651" t="str">
        <f>"DEFERRED COMP 457B PAYABLE"</f>
        <v>DEFERRED COMP 457B PAYABLE</v>
      </c>
    </row>
    <row r="2652" spans="1:10" x14ac:dyDescent="0.25">
      <c r="A2652" t="str">
        <f>""</f>
        <v/>
      </c>
      <c r="B2652" t="str">
        <f>""</f>
        <v/>
      </c>
      <c r="G2652" t="str">
        <f>"CPI202202028716"</f>
        <v>CPI202202028716</v>
      </c>
      <c r="H2652" t="str">
        <f>"DEFERRED COMP 457B PAYABLE"</f>
        <v>DEFERRED COMP 457B PAYABLE</v>
      </c>
      <c r="I2652" s="4">
        <v>120</v>
      </c>
      <c r="J2652" t="str">
        <f>"DEFERRED COMP 457B PAYABLE"</f>
        <v>DEFERRED COMP 457B PAYABLE</v>
      </c>
    </row>
    <row r="2653" spans="1:10" x14ac:dyDescent="0.25">
      <c r="A2653" t="str">
        <f>""</f>
        <v/>
      </c>
      <c r="B2653" t="str">
        <f>""</f>
        <v/>
      </c>
      <c r="G2653" t="str">
        <f>"CPL202202028715"</f>
        <v>CPL202202028715</v>
      </c>
      <c r="H2653" t="str">
        <f>"LOAN ON DEFERRED COMP"</f>
        <v>LOAN ON DEFERRED COMP</v>
      </c>
      <c r="I2653" s="4">
        <v>1744.57</v>
      </c>
      <c r="J2653" t="str">
        <f>"LOAN ON DEFERRED COMP"</f>
        <v>LOAN ON DEFERRED COMP</v>
      </c>
    </row>
    <row r="2654" spans="1:10" x14ac:dyDescent="0.25">
      <c r="A2654" t="str">
        <f>"01"</f>
        <v>01</v>
      </c>
      <c r="B2654" t="str">
        <f>"TCG457"</f>
        <v>TCG457</v>
      </c>
      <c r="C2654" t="s">
        <v>522</v>
      </c>
      <c r="D2654">
        <v>1610</v>
      </c>
      <c r="E2654" s="4">
        <v>7159.8</v>
      </c>
      <c r="F2654" s="5">
        <v>44610</v>
      </c>
      <c r="G2654" t="str">
        <f>"CPI202202169060"</f>
        <v>CPI202202169060</v>
      </c>
      <c r="H2654" t="str">
        <f>"DEFERRED COMP 457B PAYABLE"</f>
        <v>DEFERRED COMP 457B PAYABLE</v>
      </c>
      <c r="I2654" s="4">
        <v>5295.23</v>
      </c>
      <c r="J2654" t="str">
        <f>"DEFERRED COMP 457B PAYABLE"</f>
        <v>DEFERRED COMP 457B PAYABLE</v>
      </c>
    </row>
    <row r="2655" spans="1:10" x14ac:dyDescent="0.25">
      <c r="A2655" t="str">
        <f>""</f>
        <v/>
      </c>
      <c r="B2655" t="str">
        <f>""</f>
        <v/>
      </c>
      <c r="G2655" t="str">
        <f>"CPI202202169062"</f>
        <v>CPI202202169062</v>
      </c>
      <c r="H2655" t="str">
        <f>"DEFERRED COMP 457B PAYABLE"</f>
        <v>DEFERRED COMP 457B PAYABLE</v>
      </c>
      <c r="I2655" s="4">
        <v>120</v>
      </c>
      <c r="J2655" t="str">
        <f>"DEFERRED COMP 457B PAYABLE"</f>
        <v>DEFERRED COMP 457B PAYABLE</v>
      </c>
    </row>
    <row r="2656" spans="1:10" x14ac:dyDescent="0.25">
      <c r="A2656" t="str">
        <f>""</f>
        <v/>
      </c>
      <c r="B2656" t="str">
        <f>""</f>
        <v/>
      </c>
      <c r="G2656" t="str">
        <f>"CPL202202169060"</f>
        <v>CPL202202169060</v>
      </c>
      <c r="H2656" t="str">
        <f>"LOAN ON DEFERRED COMP"</f>
        <v>LOAN ON DEFERRED COMP</v>
      </c>
      <c r="I2656" s="4">
        <v>1744.57</v>
      </c>
      <c r="J2656" t="str">
        <f>"LOAN ON DEFERRED COMP"</f>
        <v>LOAN ON DEFERRED COMP</v>
      </c>
    </row>
    <row r="2657" spans="1:10" x14ac:dyDescent="0.25">
      <c r="A2657" t="str">
        <f>"01"</f>
        <v>01</v>
      </c>
      <c r="B2657" t="str">
        <f>"TAGO"</f>
        <v>TAGO</v>
      </c>
      <c r="C2657" t="s">
        <v>523</v>
      </c>
      <c r="D2657">
        <v>1600</v>
      </c>
      <c r="E2657" s="4">
        <v>5702.82</v>
      </c>
      <c r="F2657" s="5">
        <v>44596</v>
      </c>
      <c r="G2657" t="str">
        <f>"C1 202202028715"</f>
        <v>C1 202202028715</v>
      </c>
      <c r="H2657" t="str">
        <f>"0014064250D1FM190075"</f>
        <v>0014064250D1FM190075</v>
      </c>
      <c r="I2657" s="4">
        <v>468.6</v>
      </c>
      <c r="J2657" t="str">
        <f>"0014064250D1FM190075"</f>
        <v>0014064250D1FM190075</v>
      </c>
    </row>
    <row r="2658" spans="1:10" x14ac:dyDescent="0.25">
      <c r="A2658" t="str">
        <f>""</f>
        <v/>
      </c>
      <c r="B2658" t="str">
        <f>""</f>
        <v/>
      </c>
      <c r="G2658" t="str">
        <f>"c1 202202028715"</f>
        <v>c1 202202028715</v>
      </c>
      <c r="H2658" t="str">
        <f>"0014219638202948FC4"</f>
        <v>0014219638202948FC4</v>
      </c>
      <c r="I2658" s="4">
        <v>547.85</v>
      </c>
      <c r="J2658" t="str">
        <f>"0014219638202948FC4"</f>
        <v>0014219638202948FC4</v>
      </c>
    </row>
    <row r="2659" spans="1:10" x14ac:dyDescent="0.25">
      <c r="A2659" t="str">
        <f>""</f>
        <v/>
      </c>
      <c r="B2659" t="str">
        <f>""</f>
        <v/>
      </c>
      <c r="G2659" t="str">
        <f>"C2 202202028716"</f>
        <v>C2 202202028716</v>
      </c>
      <c r="H2659" t="str">
        <f>"0012982132CCL7445"</f>
        <v>0012982132CCL7445</v>
      </c>
      <c r="I2659" s="4">
        <v>692.31</v>
      </c>
      <c r="J2659" t="str">
        <f>"0012982132CCL7445"</f>
        <v>0012982132CCL7445</v>
      </c>
    </row>
    <row r="2660" spans="1:10" x14ac:dyDescent="0.25">
      <c r="A2660" t="str">
        <f>""</f>
        <v/>
      </c>
      <c r="B2660" t="str">
        <f>""</f>
        <v/>
      </c>
      <c r="G2660" t="str">
        <f>"C20202202028715"</f>
        <v>C20202202028715</v>
      </c>
      <c r="H2660" t="str">
        <f>"001003981107-12252"</f>
        <v>001003981107-12252</v>
      </c>
      <c r="I2660" s="4">
        <v>115.39</v>
      </c>
      <c r="J2660" t="str">
        <f>"001003981107-12252"</f>
        <v>001003981107-12252</v>
      </c>
    </row>
    <row r="2661" spans="1:10" x14ac:dyDescent="0.25">
      <c r="A2661" t="str">
        <f>""</f>
        <v/>
      </c>
      <c r="B2661" t="str">
        <f>""</f>
        <v/>
      </c>
      <c r="G2661" t="str">
        <f>"C42202202028715"</f>
        <v>C42202202028715</v>
      </c>
      <c r="H2661" t="str">
        <f>"001236769211-14410"</f>
        <v>001236769211-14410</v>
      </c>
      <c r="I2661" s="4">
        <v>230.31</v>
      </c>
      <c r="J2661" t="str">
        <f>"001236769211-14410"</f>
        <v>001236769211-14410</v>
      </c>
    </row>
    <row r="2662" spans="1:10" x14ac:dyDescent="0.25">
      <c r="A2662" t="str">
        <f>""</f>
        <v/>
      </c>
      <c r="B2662" t="str">
        <f>""</f>
        <v/>
      </c>
      <c r="G2662" t="str">
        <f>"C46202202028715"</f>
        <v>C46202202028715</v>
      </c>
      <c r="H2662" t="str">
        <f>"CAUSE# 11-14911"</f>
        <v>CAUSE# 11-14911</v>
      </c>
      <c r="I2662" s="4">
        <v>238.62</v>
      </c>
      <c r="J2662" t="str">
        <f>"CAUSE# 11-14911"</f>
        <v>CAUSE# 11-14911</v>
      </c>
    </row>
    <row r="2663" spans="1:10" x14ac:dyDescent="0.25">
      <c r="A2663" t="str">
        <f>""</f>
        <v/>
      </c>
      <c r="B2663" t="str">
        <f>""</f>
        <v/>
      </c>
      <c r="G2663" t="str">
        <f>"C60202202028715"</f>
        <v>C60202202028715</v>
      </c>
      <c r="H2663" t="str">
        <f>"00130730762012V300"</f>
        <v>00130730762012V300</v>
      </c>
      <c r="I2663" s="4">
        <v>399.32</v>
      </c>
      <c r="J2663" t="str">
        <f>"00130730762012V300"</f>
        <v>00130730762012V300</v>
      </c>
    </row>
    <row r="2664" spans="1:10" x14ac:dyDescent="0.25">
      <c r="A2664" t="str">
        <f>""</f>
        <v/>
      </c>
      <c r="B2664" t="str">
        <f>""</f>
        <v/>
      </c>
      <c r="G2664" t="str">
        <f>"C62202202028715"</f>
        <v>C62202202028715</v>
      </c>
      <c r="H2664" t="str">
        <f>"# 0012128865"</f>
        <v># 0012128865</v>
      </c>
      <c r="I2664" s="4">
        <v>243.23</v>
      </c>
      <c r="J2664" t="str">
        <f>"# 0012128865"</f>
        <v># 0012128865</v>
      </c>
    </row>
    <row r="2665" spans="1:10" x14ac:dyDescent="0.25">
      <c r="A2665" t="str">
        <f>""</f>
        <v/>
      </c>
      <c r="B2665" t="str">
        <f>""</f>
        <v/>
      </c>
      <c r="G2665" t="str">
        <f>"C66202202028715"</f>
        <v>C66202202028715</v>
      </c>
      <c r="H2665" t="str">
        <f>"# 0012871801"</f>
        <v># 0012871801</v>
      </c>
      <c r="I2665" s="4">
        <v>90</v>
      </c>
      <c r="J2665" t="str">
        <f>"# 0012871801"</f>
        <v># 0012871801</v>
      </c>
    </row>
    <row r="2666" spans="1:10" x14ac:dyDescent="0.25">
      <c r="A2666" t="str">
        <f>""</f>
        <v/>
      </c>
      <c r="B2666" t="str">
        <f>""</f>
        <v/>
      </c>
      <c r="G2666" t="str">
        <f>"C67202202028715"</f>
        <v>C67202202028715</v>
      </c>
      <c r="H2666" t="str">
        <f>"13154657"</f>
        <v>13154657</v>
      </c>
      <c r="I2666" s="4">
        <v>101.99</v>
      </c>
      <c r="J2666" t="str">
        <f>"13154657"</f>
        <v>13154657</v>
      </c>
    </row>
    <row r="2667" spans="1:10" x14ac:dyDescent="0.25">
      <c r="A2667" t="str">
        <f>""</f>
        <v/>
      </c>
      <c r="B2667" t="str">
        <f>""</f>
        <v/>
      </c>
      <c r="G2667" t="str">
        <f>"C69202202028715"</f>
        <v>C69202202028715</v>
      </c>
      <c r="H2667" t="str">
        <f>"0012046911423672"</f>
        <v>0012046911423672</v>
      </c>
      <c r="I2667" s="4">
        <v>138.91999999999999</v>
      </c>
      <c r="J2667" t="str">
        <f>"0012046911423672"</f>
        <v>0012046911423672</v>
      </c>
    </row>
    <row r="2668" spans="1:10" x14ac:dyDescent="0.25">
      <c r="A2668" t="str">
        <f>""</f>
        <v/>
      </c>
      <c r="B2668" t="str">
        <f>""</f>
        <v/>
      </c>
      <c r="G2668" t="str">
        <f>"C72202202028715"</f>
        <v>C72202202028715</v>
      </c>
      <c r="H2668" t="str">
        <f>"0012797601C20130529B"</f>
        <v>0012797601C20130529B</v>
      </c>
      <c r="I2668" s="4">
        <v>241.85</v>
      </c>
      <c r="J2668" t="str">
        <f>"0012797601C20130529B"</f>
        <v>0012797601C20130529B</v>
      </c>
    </row>
    <row r="2669" spans="1:10" x14ac:dyDescent="0.25">
      <c r="A2669" t="str">
        <f>""</f>
        <v/>
      </c>
      <c r="B2669" t="str">
        <f>""</f>
        <v/>
      </c>
      <c r="G2669" t="str">
        <f>"C78202202028715"</f>
        <v>C78202202028715</v>
      </c>
      <c r="H2669" t="str">
        <f>"00105115972005106221"</f>
        <v>00105115972005106221</v>
      </c>
      <c r="I2669" s="4">
        <v>245.08</v>
      </c>
      <c r="J2669" t="str">
        <f>"00105115972005106221"</f>
        <v>00105115972005106221</v>
      </c>
    </row>
    <row r="2670" spans="1:10" x14ac:dyDescent="0.25">
      <c r="A2670" t="str">
        <f>""</f>
        <v/>
      </c>
      <c r="B2670" t="str">
        <f>""</f>
        <v/>
      </c>
      <c r="G2670" t="str">
        <f>"C85202202028715"</f>
        <v>C85202202028715</v>
      </c>
      <c r="H2670" t="str">
        <f>"0012469425201770874"</f>
        <v>0012469425201770874</v>
      </c>
      <c r="I2670" s="4">
        <v>138.46</v>
      </c>
      <c r="J2670" t="str">
        <f>"0012469425201770874"</f>
        <v>0012469425201770874</v>
      </c>
    </row>
    <row r="2671" spans="1:10" x14ac:dyDescent="0.25">
      <c r="A2671" t="str">
        <f>""</f>
        <v/>
      </c>
      <c r="B2671" t="str">
        <f>""</f>
        <v/>
      </c>
      <c r="G2671" t="str">
        <f>"C86202202028715"</f>
        <v>C86202202028715</v>
      </c>
      <c r="H2671" t="str">
        <f>"0013854015101285F"</f>
        <v>0013854015101285F</v>
      </c>
      <c r="I2671" s="4">
        <v>241.85</v>
      </c>
      <c r="J2671" t="str">
        <f>"0013854015101285F"</f>
        <v>0013854015101285F</v>
      </c>
    </row>
    <row r="2672" spans="1:10" x14ac:dyDescent="0.25">
      <c r="A2672" t="str">
        <f>""</f>
        <v/>
      </c>
      <c r="B2672" t="str">
        <f>""</f>
        <v/>
      </c>
      <c r="G2672" t="str">
        <f>"C87202202028715"</f>
        <v>C87202202028715</v>
      </c>
      <c r="H2672" t="str">
        <f>"0012963634L130019CVB"</f>
        <v>0012963634L130019CVB</v>
      </c>
      <c r="I2672" s="4">
        <v>249.23</v>
      </c>
      <c r="J2672" t="str">
        <f>"0012963634L130019CVB"</f>
        <v>0012963634L130019CVB</v>
      </c>
    </row>
    <row r="2673" spans="1:10" x14ac:dyDescent="0.25">
      <c r="A2673" t="str">
        <f>""</f>
        <v/>
      </c>
      <c r="B2673" t="str">
        <f>""</f>
        <v/>
      </c>
      <c r="G2673" t="str">
        <f>"C89202202028715"</f>
        <v>C89202202028715</v>
      </c>
      <c r="H2673" t="str">
        <f>"00127760434232477"</f>
        <v>00127760434232477</v>
      </c>
      <c r="I2673" s="4">
        <v>129.69</v>
      </c>
      <c r="J2673" t="str">
        <f>"00127760434232477"</f>
        <v>00127760434232477</v>
      </c>
    </row>
    <row r="2674" spans="1:10" x14ac:dyDescent="0.25">
      <c r="A2674" t="str">
        <f>""</f>
        <v/>
      </c>
      <c r="B2674" t="str">
        <f>""</f>
        <v/>
      </c>
      <c r="G2674" t="str">
        <f>"C94202202028715"</f>
        <v>C94202202028715</v>
      </c>
      <c r="H2674" t="str">
        <f>"00135877551718312"</f>
        <v>00135877551718312</v>
      </c>
      <c r="I2674" s="4">
        <v>221.54</v>
      </c>
      <c r="J2674" t="str">
        <f>"00135877551718312"</f>
        <v>00135877551718312</v>
      </c>
    </row>
    <row r="2675" spans="1:10" x14ac:dyDescent="0.25">
      <c r="A2675" t="str">
        <f>""</f>
        <v/>
      </c>
      <c r="B2675" t="str">
        <f>""</f>
        <v/>
      </c>
      <c r="G2675" t="str">
        <f>"C95202202028715"</f>
        <v>C95202202028715</v>
      </c>
      <c r="H2675" t="str">
        <f>"0011792526423338"</f>
        <v>0011792526423338</v>
      </c>
      <c r="I2675" s="4">
        <v>154.62</v>
      </c>
      <c r="J2675" t="str">
        <f>"0011792526423338"</f>
        <v>0011792526423338</v>
      </c>
    </row>
    <row r="2676" spans="1:10" x14ac:dyDescent="0.25">
      <c r="A2676" t="str">
        <f>""</f>
        <v/>
      </c>
      <c r="B2676" t="str">
        <f>""</f>
        <v/>
      </c>
      <c r="G2676" t="str">
        <f>"C96202202028715"</f>
        <v>C96202202028715</v>
      </c>
      <c r="H2676" t="str">
        <f>"00141985294237814"</f>
        <v>00141985294237814</v>
      </c>
      <c r="I2676" s="4">
        <v>230.77</v>
      </c>
      <c r="J2676" t="str">
        <f>"00141985294237814"</f>
        <v>00141985294237814</v>
      </c>
    </row>
    <row r="2677" spans="1:10" x14ac:dyDescent="0.25">
      <c r="A2677" t="str">
        <f>""</f>
        <v/>
      </c>
      <c r="B2677" t="str">
        <f>""</f>
        <v/>
      </c>
      <c r="G2677" t="str">
        <f>"C98202202028715"</f>
        <v>C98202202028715</v>
      </c>
      <c r="H2677" t="str">
        <f>"00115180722007EM5054"</f>
        <v>00115180722007EM5054</v>
      </c>
      <c r="I2677" s="4">
        <v>119.34</v>
      </c>
      <c r="J2677" t="str">
        <f>"00115180722007EM5054"</f>
        <v>00115180722007EM5054</v>
      </c>
    </row>
    <row r="2678" spans="1:10" x14ac:dyDescent="0.25">
      <c r="A2678" t="str">
        <f>""</f>
        <v/>
      </c>
      <c r="B2678" t="str">
        <f>""</f>
        <v/>
      </c>
      <c r="G2678" t="str">
        <f>"C99202202028715"</f>
        <v>C99202202028715</v>
      </c>
      <c r="H2678" t="str">
        <f>"00140071614235972"</f>
        <v>00140071614235972</v>
      </c>
      <c r="I2678" s="4">
        <v>463.85</v>
      </c>
      <c r="J2678" t="str">
        <f>"00140071614235972"</f>
        <v>00140071614235972</v>
      </c>
    </row>
    <row r="2679" spans="1:10" x14ac:dyDescent="0.25">
      <c r="A2679" t="str">
        <f>"01"</f>
        <v>01</v>
      </c>
      <c r="B2679" t="str">
        <f>"TAGO"</f>
        <v>TAGO</v>
      </c>
      <c r="C2679" t="s">
        <v>523</v>
      </c>
      <c r="D2679">
        <v>1609</v>
      </c>
      <c r="E2679" s="4">
        <v>5837.59</v>
      </c>
      <c r="F2679" s="5">
        <v>44610</v>
      </c>
      <c r="G2679" t="str">
        <f>"C1 202202169060"</f>
        <v>C1 202202169060</v>
      </c>
      <c r="H2679" t="str">
        <f>"0014064250D1FM190075"</f>
        <v>0014064250D1FM190075</v>
      </c>
      <c r="I2679" s="4">
        <v>468.6</v>
      </c>
      <c r="J2679" t="str">
        <f>"0014064250D1FM190075"</f>
        <v>0014064250D1FM190075</v>
      </c>
    </row>
    <row r="2680" spans="1:10" x14ac:dyDescent="0.25">
      <c r="A2680" t="str">
        <f>""</f>
        <v/>
      </c>
      <c r="B2680" t="str">
        <f>""</f>
        <v/>
      </c>
      <c r="G2680" t="str">
        <f>"c1 202202169060"</f>
        <v>c1 202202169060</v>
      </c>
      <c r="H2680" t="str">
        <f>"0014219638202948FC4"</f>
        <v>0014219638202948FC4</v>
      </c>
      <c r="I2680" s="4">
        <v>547.85</v>
      </c>
      <c r="J2680" t="str">
        <f>"0014219638202948FC4"</f>
        <v>0014219638202948FC4</v>
      </c>
    </row>
    <row r="2681" spans="1:10" x14ac:dyDescent="0.25">
      <c r="A2681" t="str">
        <f>""</f>
        <v/>
      </c>
      <c r="B2681" t="str">
        <f>""</f>
        <v/>
      </c>
      <c r="G2681" t="str">
        <f>"C2 202202169062"</f>
        <v>C2 202202169062</v>
      </c>
      <c r="H2681" t="str">
        <f>"0012982132CCL7445"</f>
        <v>0012982132CCL7445</v>
      </c>
      <c r="I2681" s="4">
        <v>692.31</v>
      </c>
      <c r="J2681" t="str">
        <f>"0012982132CCL7445"</f>
        <v>0012982132CCL7445</v>
      </c>
    </row>
    <row r="2682" spans="1:10" x14ac:dyDescent="0.25">
      <c r="A2682" t="str">
        <f>""</f>
        <v/>
      </c>
      <c r="B2682" t="str">
        <f>""</f>
        <v/>
      </c>
      <c r="G2682" t="str">
        <f>"C20202202169060"</f>
        <v>C20202202169060</v>
      </c>
      <c r="H2682" t="str">
        <f>"001003981107-12252"</f>
        <v>001003981107-12252</v>
      </c>
      <c r="I2682" s="4">
        <v>115.39</v>
      </c>
      <c r="J2682" t="str">
        <f>"001003981107-12252"</f>
        <v>001003981107-12252</v>
      </c>
    </row>
    <row r="2683" spans="1:10" x14ac:dyDescent="0.25">
      <c r="A2683" t="str">
        <f>""</f>
        <v/>
      </c>
      <c r="B2683" t="str">
        <f>""</f>
        <v/>
      </c>
      <c r="G2683" t="str">
        <f>"C42202202169060"</f>
        <v>C42202202169060</v>
      </c>
      <c r="H2683" t="str">
        <f>"001236769211-14410"</f>
        <v>001236769211-14410</v>
      </c>
      <c r="I2683" s="4">
        <v>230.31</v>
      </c>
      <c r="J2683" t="str">
        <f>"001236769211-14410"</f>
        <v>001236769211-14410</v>
      </c>
    </row>
    <row r="2684" spans="1:10" x14ac:dyDescent="0.25">
      <c r="A2684" t="str">
        <f>""</f>
        <v/>
      </c>
      <c r="B2684" t="str">
        <f>""</f>
        <v/>
      </c>
      <c r="G2684" t="str">
        <f>"C46202202169060"</f>
        <v>C46202202169060</v>
      </c>
      <c r="H2684" t="str">
        <f>"CAUSE# 11-14911"</f>
        <v>CAUSE# 11-14911</v>
      </c>
      <c r="I2684" s="4">
        <v>238.62</v>
      </c>
      <c r="J2684" t="str">
        <f>"CAUSE# 11-14911"</f>
        <v>CAUSE# 11-14911</v>
      </c>
    </row>
    <row r="2685" spans="1:10" x14ac:dyDescent="0.25">
      <c r="A2685" t="str">
        <f>""</f>
        <v/>
      </c>
      <c r="B2685" t="str">
        <f>""</f>
        <v/>
      </c>
      <c r="G2685" t="str">
        <f>"C60202202169060"</f>
        <v>C60202202169060</v>
      </c>
      <c r="H2685" t="str">
        <f>"00130730762012V300"</f>
        <v>00130730762012V300</v>
      </c>
      <c r="I2685" s="4">
        <v>399.32</v>
      </c>
      <c r="J2685" t="str">
        <f>"00130730762012V300"</f>
        <v>00130730762012V300</v>
      </c>
    </row>
    <row r="2686" spans="1:10" x14ac:dyDescent="0.25">
      <c r="A2686" t="str">
        <f>""</f>
        <v/>
      </c>
      <c r="B2686" t="str">
        <f>""</f>
        <v/>
      </c>
      <c r="G2686" t="str">
        <f>"C62202202169060"</f>
        <v>C62202202169060</v>
      </c>
      <c r="H2686" t="str">
        <f>"# 0012128865"</f>
        <v># 0012128865</v>
      </c>
      <c r="I2686" s="4">
        <v>243.23</v>
      </c>
      <c r="J2686" t="str">
        <f>"# 0012128865"</f>
        <v># 0012128865</v>
      </c>
    </row>
    <row r="2687" spans="1:10" x14ac:dyDescent="0.25">
      <c r="A2687" t="str">
        <f>""</f>
        <v/>
      </c>
      <c r="B2687" t="str">
        <f>""</f>
        <v/>
      </c>
      <c r="G2687" t="str">
        <f>"C66202202169060"</f>
        <v>C66202202169060</v>
      </c>
      <c r="H2687" t="str">
        <f>"# 0012871801"</f>
        <v># 0012871801</v>
      </c>
      <c r="I2687" s="4">
        <v>90</v>
      </c>
      <c r="J2687" t="str">
        <f>"# 0012871801"</f>
        <v># 0012871801</v>
      </c>
    </row>
    <row r="2688" spans="1:10" x14ac:dyDescent="0.25">
      <c r="A2688" t="str">
        <f>""</f>
        <v/>
      </c>
      <c r="B2688" t="str">
        <f>""</f>
        <v/>
      </c>
      <c r="G2688" t="str">
        <f>"C67202202169060"</f>
        <v>C67202202169060</v>
      </c>
      <c r="H2688" t="str">
        <f>"13154657"</f>
        <v>13154657</v>
      </c>
      <c r="I2688" s="4">
        <v>101.99</v>
      </c>
      <c r="J2688" t="str">
        <f>"13154657"</f>
        <v>13154657</v>
      </c>
    </row>
    <row r="2689" spans="1:10" x14ac:dyDescent="0.25">
      <c r="A2689" t="str">
        <f>""</f>
        <v/>
      </c>
      <c r="B2689" t="str">
        <f>""</f>
        <v/>
      </c>
      <c r="G2689" t="str">
        <f>"C69202202169060"</f>
        <v>C69202202169060</v>
      </c>
      <c r="H2689" t="str">
        <f>"0012046911423672"</f>
        <v>0012046911423672</v>
      </c>
      <c r="I2689" s="4">
        <v>138.91999999999999</v>
      </c>
      <c r="J2689" t="str">
        <f>"0012046911423672"</f>
        <v>0012046911423672</v>
      </c>
    </row>
    <row r="2690" spans="1:10" x14ac:dyDescent="0.25">
      <c r="A2690" t="str">
        <f>""</f>
        <v/>
      </c>
      <c r="B2690" t="str">
        <f>""</f>
        <v/>
      </c>
      <c r="G2690" t="str">
        <f>"C72202202169060"</f>
        <v>C72202202169060</v>
      </c>
      <c r="H2690" t="str">
        <f>"0012797601C20130529B"</f>
        <v>0012797601C20130529B</v>
      </c>
      <c r="I2690" s="4">
        <v>241.85</v>
      </c>
      <c r="J2690" t="str">
        <f>"0012797601C20130529B"</f>
        <v>0012797601C20130529B</v>
      </c>
    </row>
    <row r="2691" spans="1:10" x14ac:dyDescent="0.25">
      <c r="A2691" t="str">
        <f>""</f>
        <v/>
      </c>
      <c r="B2691" t="str">
        <f>""</f>
        <v/>
      </c>
      <c r="G2691" t="str">
        <f>"C78202202169060"</f>
        <v>C78202202169060</v>
      </c>
      <c r="H2691" t="str">
        <f>"00105115972005106221"</f>
        <v>00105115972005106221</v>
      </c>
      <c r="I2691" s="4">
        <v>245.08</v>
      </c>
      <c r="J2691" t="str">
        <f>"00105115972005106221"</f>
        <v>00105115972005106221</v>
      </c>
    </row>
    <row r="2692" spans="1:10" x14ac:dyDescent="0.25">
      <c r="A2692" t="str">
        <f>""</f>
        <v/>
      </c>
      <c r="B2692" t="str">
        <f>""</f>
        <v/>
      </c>
      <c r="G2692" t="str">
        <f>"C85202202169060"</f>
        <v>C85202202169060</v>
      </c>
      <c r="H2692" t="str">
        <f>"0012469425201770874"</f>
        <v>0012469425201770874</v>
      </c>
      <c r="I2692" s="4">
        <v>138.46</v>
      </c>
      <c r="J2692" t="str">
        <f>"0012469425201770874"</f>
        <v>0012469425201770874</v>
      </c>
    </row>
    <row r="2693" spans="1:10" x14ac:dyDescent="0.25">
      <c r="A2693" t="str">
        <f>""</f>
        <v/>
      </c>
      <c r="B2693" t="str">
        <f>""</f>
        <v/>
      </c>
      <c r="G2693" t="str">
        <f>"C86202202169060"</f>
        <v>C86202202169060</v>
      </c>
      <c r="H2693" t="str">
        <f>"0013854015101285F"</f>
        <v>0013854015101285F</v>
      </c>
      <c r="I2693" s="4">
        <v>241.85</v>
      </c>
      <c r="J2693" t="str">
        <f>"0013854015101285F"</f>
        <v>0013854015101285F</v>
      </c>
    </row>
    <row r="2694" spans="1:10" x14ac:dyDescent="0.25">
      <c r="A2694" t="str">
        <f>""</f>
        <v/>
      </c>
      <c r="B2694" t="str">
        <f>""</f>
        <v/>
      </c>
      <c r="G2694" t="str">
        <f>"C87202202169060"</f>
        <v>C87202202169060</v>
      </c>
      <c r="H2694" t="str">
        <f>"0012963634L130019CVB"</f>
        <v>0012963634L130019CVB</v>
      </c>
      <c r="I2694" s="4">
        <v>249.23</v>
      </c>
      <c r="J2694" t="str">
        <f>"0012963634L130019CVB"</f>
        <v>0012963634L130019CVB</v>
      </c>
    </row>
    <row r="2695" spans="1:10" x14ac:dyDescent="0.25">
      <c r="A2695" t="str">
        <f>""</f>
        <v/>
      </c>
      <c r="B2695" t="str">
        <f>""</f>
        <v/>
      </c>
      <c r="G2695" t="str">
        <f>"C89202202169060"</f>
        <v>C89202202169060</v>
      </c>
      <c r="H2695" t="str">
        <f>"00127760434232477"</f>
        <v>00127760434232477</v>
      </c>
      <c r="I2695" s="4">
        <v>129.69</v>
      </c>
      <c r="J2695" t="str">
        <f>"00127760434232477"</f>
        <v>00127760434232477</v>
      </c>
    </row>
    <row r="2696" spans="1:10" x14ac:dyDescent="0.25">
      <c r="A2696" t="str">
        <f>""</f>
        <v/>
      </c>
      <c r="B2696" t="str">
        <f>""</f>
        <v/>
      </c>
      <c r="G2696" t="str">
        <f>"C90202202169060"</f>
        <v>C90202202169060</v>
      </c>
      <c r="H2696" t="str">
        <f>"00116477472008EM5013"</f>
        <v>00116477472008EM5013</v>
      </c>
      <c r="I2696" s="4">
        <v>134.77000000000001</v>
      </c>
      <c r="J2696" t="str">
        <f>"00116477472008EM5013"</f>
        <v>00116477472008EM5013</v>
      </c>
    </row>
    <row r="2697" spans="1:10" x14ac:dyDescent="0.25">
      <c r="A2697" t="str">
        <f>""</f>
        <v/>
      </c>
      <c r="B2697" t="str">
        <f>""</f>
        <v/>
      </c>
      <c r="G2697" t="str">
        <f>"C94202202169060"</f>
        <v>C94202202169060</v>
      </c>
      <c r="H2697" t="str">
        <f>"00135877551718312"</f>
        <v>00135877551718312</v>
      </c>
      <c r="I2697" s="4">
        <v>221.54</v>
      </c>
      <c r="J2697" t="str">
        <f>"00135877551718312"</f>
        <v>00135877551718312</v>
      </c>
    </row>
    <row r="2698" spans="1:10" x14ac:dyDescent="0.25">
      <c r="A2698" t="str">
        <f>""</f>
        <v/>
      </c>
      <c r="B2698" t="str">
        <f>""</f>
        <v/>
      </c>
      <c r="G2698" t="str">
        <f>"C95202202169060"</f>
        <v>C95202202169060</v>
      </c>
      <c r="H2698" t="str">
        <f>"0011792526423338"</f>
        <v>0011792526423338</v>
      </c>
      <c r="I2698" s="4">
        <v>154.62</v>
      </c>
      <c r="J2698" t="str">
        <f>"0011792526423338"</f>
        <v>0011792526423338</v>
      </c>
    </row>
    <row r="2699" spans="1:10" x14ac:dyDescent="0.25">
      <c r="A2699" t="str">
        <f>""</f>
        <v/>
      </c>
      <c r="B2699" t="str">
        <f>""</f>
        <v/>
      </c>
      <c r="G2699" t="str">
        <f>"C96202202169060"</f>
        <v>C96202202169060</v>
      </c>
      <c r="H2699" t="str">
        <f>"00141985294237814"</f>
        <v>00141985294237814</v>
      </c>
      <c r="I2699" s="4">
        <v>230.77</v>
      </c>
      <c r="J2699" t="str">
        <f>"00141985294237814"</f>
        <v>00141985294237814</v>
      </c>
    </row>
    <row r="2700" spans="1:10" x14ac:dyDescent="0.25">
      <c r="A2700" t="str">
        <f>""</f>
        <v/>
      </c>
      <c r="B2700" t="str">
        <f>""</f>
        <v/>
      </c>
      <c r="G2700" t="str">
        <f>"C98202202169060"</f>
        <v>C98202202169060</v>
      </c>
      <c r="H2700" t="str">
        <f>"00115180722007EM5054"</f>
        <v>00115180722007EM5054</v>
      </c>
      <c r="I2700" s="4">
        <v>119.34</v>
      </c>
      <c r="J2700" t="str">
        <f>"00115180722007EM5054"</f>
        <v>00115180722007EM5054</v>
      </c>
    </row>
    <row r="2701" spans="1:10" x14ac:dyDescent="0.25">
      <c r="A2701" t="str">
        <f>""</f>
        <v/>
      </c>
      <c r="B2701" t="str">
        <f>""</f>
        <v/>
      </c>
      <c r="G2701" t="str">
        <f>"C99202202169060"</f>
        <v>C99202202169060</v>
      </c>
      <c r="H2701" t="str">
        <f>"00140071614235972"</f>
        <v>00140071614235972</v>
      </c>
      <c r="I2701" s="4">
        <v>463.85</v>
      </c>
      <c r="J2701" t="str">
        <f>"00140071614235972"</f>
        <v>00140071614235972</v>
      </c>
    </row>
    <row r="2702" spans="1:10" x14ac:dyDescent="0.25">
      <c r="A2702" t="str">
        <f>"01"</f>
        <v>01</v>
      </c>
      <c r="B2702" t="str">
        <f>"TCDRS"</f>
        <v>TCDRS</v>
      </c>
      <c r="C2702" t="s">
        <v>524</v>
      </c>
      <c r="D2702">
        <v>1611</v>
      </c>
      <c r="E2702" s="4">
        <v>417088.86</v>
      </c>
      <c r="F2702" s="5">
        <v>44610</v>
      </c>
      <c r="G2702" t="str">
        <f>"RET202202028715"</f>
        <v>RET202202028715</v>
      </c>
      <c r="H2702" t="str">
        <f>"TEXAS COUNTY &amp; DISTRICT RET"</f>
        <v>TEXAS COUNTY &amp; DISTRICT RET</v>
      </c>
      <c r="I2702" s="4">
        <v>1064.75</v>
      </c>
      <c r="J2702" t="str">
        <f t="shared" ref="J2702:J2751" si="75">"TEXAS COUNTY &amp; DISTRICT RET"</f>
        <v>TEXAS COUNTY &amp; DISTRICT RET</v>
      </c>
    </row>
    <row r="2703" spans="1:10" x14ac:dyDescent="0.25">
      <c r="A2703" t="str">
        <f>""</f>
        <v/>
      </c>
      <c r="B2703" t="str">
        <f>""</f>
        <v/>
      </c>
      <c r="G2703" t="str">
        <f>""</f>
        <v/>
      </c>
      <c r="H2703" t="str">
        <f>""</f>
        <v/>
      </c>
      <c r="I2703" s="4">
        <v>758.12</v>
      </c>
      <c r="J2703" t="str">
        <f t="shared" si="75"/>
        <v>TEXAS COUNTY &amp; DISTRICT RET</v>
      </c>
    </row>
    <row r="2704" spans="1:10" x14ac:dyDescent="0.25">
      <c r="A2704" t="str">
        <f>""</f>
        <v/>
      </c>
      <c r="B2704" t="str">
        <f>""</f>
        <v/>
      </c>
      <c r="G2704" t="str">
        <f>""</f>
        <v/>
      </c>
      <c r="H2704" t="str">
        <f>""</f>
        <v/>
      </c>
      <c r="I2704" s="4">
        <v>2024.35</v>
      </c>
      <c r="J2704" t="str">
        <f t="shared" si="75"/>
        <v>TEXAS COUNTY &amp; DISTRICT RET</v>
      </c>
    </row>
    <row r="2705" spans="1:10" x14ac:dyDescent="0.25">
      <c r="A2705" t="str">
        <f>""</f>
        <v/>
      </c>
      <c r="B2705" t="str">
        <f>""</f>
        <v/>
      </c>
      <c r="G2705" t="str">
        <f>""</f>
        <v/>
      </c>
      <c r="H2705" t="str">
        <f>""</f>
        <v/>
      </c>
      <c r="I2705" s="4">
        <v>844.54</v>
      </c>
      <c r="J2705" t="str">
        <f t="shared" si="75"/>
        <v>TEXAS COUNTY &amp; DISTRICT RET</v>
      </c>
    </row>
    <row r="2706" spans="1:10" x14ac:dyDescent="0.25">
      <c r="A2706" t="str">
        <f>""</f>
        <v/>
      </c>
      <c r="B2706" t="str">
        <f>""</f>
        <v/>
      </c>
      <c r="G2706" t="str">
        <f>""</f>
        <v/>
      </c>
      <c r="H2706" t="str">
        <f>""</f>
        <v/>
      </c>
      <c r="I2706" s="4">
        <v>457.27</v>
      </c>
      <c r="J2706" t="str">
        <f t="shared" si="75"/>
        <v>TEXAS COUNTY &amp; DISTRICT RET</v>
      </c>
    </row>
    <row r="2707" spans="1:10" x14ac:dyDescent="0.25">
      <c r="A2707" t="str">
        <f>""</f>
        <v/>
      </c>
      <c r="B2707" t="str">
        <f>""</f>
        <v/>
      </c>
      <c r="G2707" t="str">
        <f>""</f>
        <v/>
      </c>
      <c r="H2707" t="str">
        <f>""</f>
        <v/>
      </c>
      <c r="I2707" s="4">
        <v>1555.16</v>
      </c>
      <c r="J2707" t="str">
        <f t="shared" si="75"/>
        <v>TEXAS COUNTY &amp; DISTRICT RET</v>
      </c>
    </row>
    <row r="2708" spans="1:10" x14ac:dyDescent="0.25">
      <c r="A2708" t="str">
        <f>""</f>
        <v/>
      </c>
      <c r="B2708" t="str">
        <f>""</f>
        <v/>
      </c>
      <c r="G2708" t="str">
        <f>""</f>
        <v/>
      </c>
      <c r="H2708" t="str">
        <f>""</f>
        <v/>
      </c>
      <c r="I2708" s="4">
        <v>4754.6499999999996</v>
      </c>
      <c r="J2708" t="str">
        <f t="shared" si="75"/>
        <v>TEXAS COUNTY &amp; DISTRICT RET</v>
      </c>
    </row>
    <row r="2709" spans="1:10" x14ac:dyDescent="0.25">
      <c r="A2709" t="str">
        <f>""</f>
        <v/>
      </c>
      <c r="B2709" t="str">
        <f>""</f>
        <v/>
      </c>
      <c r="G2709" t="str">
        <f>""</f>
        <v/>
      </c>
      <c r="H2709" t="str">
        <f>""</f>
        <v/>
      </c>
      <c r="I2709" s="4">
        <v>1691.76</v>
      </c>
      <c r="J2709" t="str">
        <f t="shared" si="75"/>
        <v>TEXAS COUNTY &amp; DISTRICT RET</v>
      </c>
    </row>
    <row r="2710" spans="1:10" x14ac:dyDescent="0.25">
      <c r="A2710" t="str">
        <f>""</f>
        <v/>
      </c>
      <c r="B2710" t="str">
        <f>""</f>
        <v/>
      </c>
      <c r="G2710" t="str">
        <f>""</f>
        <v/>
      </c>
      <c r="H2710" t="str">
        <f>""</f>
        <v/>
      </c>
      <c r="I2710" s="4">
        <v>1678.42</v>
      </c>
      <c r="J2710" t="str">
        <f t="shared" si="75"/>
        <v>TEXAS COUNTY &amp; DISTRICT RET</v>
      </c>
    </row>
    <row r="2711" spans="1:10" x14ac:dyDescent="0.25">
      <c r="A2711" t="str">
        <f>""</f>
        <v/>
      </c>
      <c r="B2711" t="str">
        <f>""</f>
        <v/>
      </c>
      <c r="G2711" t="str">
        <f>""</f>
        <v/>
      </c>
      <c r="H2711" t="str">
        <f>""</f>
        <v/>
      </c>
      <c r="I2711" s="4">
        <v>3213.48</v>
      </c>
      <c r="J2711" t="str">
        <f t="shared" si="75"/>
        <v>TEXAS COUNTY &amp; DISTRICT RET</v>
      </c>
    </row>
    <row r="2712" spans="1:10" x14ac:dyDescent="0.25">
      <c r="A2712" t="str">
        <f>""</f>
        <v/>
      </c>
      <c r="B2712" t="str">
        <f>""</f>
        <v/>
      </c>
      <c r="G2712" t="str">
        <f>""</f>
        <v/>
      </c>
      <c r="H2712" t="str">
        <f>""</f>
        <v/>
      </c>
      <c r="I2712" s="4">
        <v>942.71</v>
      </c>
      <c r="J2712" t="str">
        <f t="shared" si="75"/>
        <v>TEXAS COUNTY &amp; DISTRICT RET</v>
      </c>
    </row>
    <row r="2713" spans="1:10" x14ac:dyDescent="0.25">
      <c r="A2713" t="str">
        <f>""</f>
        <v/>
      </c>
      <c r="B2713" t="str">
        <f>""</f>
        <v/>
      </c>
      <c r="G2713" t="str">
        <f>""</f>
        <v/>
      </c>
      <c r="H2713" t="str">
        <f>""</f>
        <v/>
      </c>
      <c r="I2713" s="4">
        <v>973.01</v>
      </c>
      <c r="J2713" t="str">
        <f t="shared" si="75"/>
        <v>TEXAS COUNTY &amp; DISTRICT RET</v>
      </c>
    </row>
    <row r="2714" spans="1:10" x14ac:dyDescent="0.25">
      <c r="A2714" t="str">
        <f>""</f>
        <v/>
      </c>
      <c r="B2714" t="str">
        <f>""</f>
        <v/>
      </c>
      <c r="G2714" t="str">
        <f>""</f>
        <v/>
      </c>
      <c r="H2714" t="str">
        <f>""</f>
        <v/>
      </c>
      <c r="I2714" s="4">
        <v>842.62</v>
      </c>
      <c r="J2714" t="str">
        <f t="shared" si="75"/>
        <v>TEXAS COUNTY &amp; DISTRICT RET</v>
      </c>
    </row>
    <row r="2715" spans="1:10" x14ac:dyDescent="0.25">
      <c r="A2715" t="str">
        <f>""</f>
        <v/>
      </c>
      <c r="B2715" t="str">
        <f>""</f>
        <v/>
      </c>
      <c r="G2715" t="str">
        <f>""</f>
        <v/>
      </c>
      <c r="H2715" t="str">
        <f>""</f>
        <v/>
      </c>
      <c r="I2715" s="4">
        <v>859.77</v>
      </c>
      <c r="J2715" t="str">
        <f t="shared" si="75"/>
        <v>TEXAS COUNTY &amp; DISTRICT RET</v>
      </c>
    </row>
    <row r="2716" spans="1:10" x14ac:dyDescent="0.25">
      <c r="A2716" t="str">
        <f>""</f>
        <v/>
      </c>
      <c r="B2716" t="str">
        <f>""</f>
        <v/>
      </c>
      <c r="G2716" t="str">
        <f>""</f>
        <v/>
      </c>
      <c r="H2716" t="str">
        <f>""</f>
        <v/>
      </c>
      <c r="I2716" s="4">
        <v>451.2</v>
      </c>
      <c r="J2716" t="str">
        <f t="shared" si="75"/>
        <v>TEXAS COUNTY &amp; DISTRICT RET</v>
      </c>
    </row>
    <row r="2717" spans="1:10" x14ac:dyDescent="0.25">
      <c r="A2717" t="str">
        <f>""</f>
        <v/>
      </c>
      <c r="B2717" t="str">
        <f>""</f>
        <v/>
      </c>
      <c r="G2717" t="str">
        <f>""</f>
        <v/>
      </c>
      <c r="H2717" t="str">
        <f>""</f>
        <v/>
      </c>
      <c r="I2717" s="4">
        <v>5516.64</v>
      </c>
      <c r="J2717" t="str">
        <f t="shared" si="75"/>
        <v>TEXAS COUNTY &amp; DISTRICT RET</v>
      </c>
    </row>
    <row r="2718" spans="1:10" x14ac:dyDescent="0.25">
      <c r="A2718" t="str">
        <f>""</f>
        <v/>
      </c>
      <c r="B2718" t="str">
        <f>""</f>
        <v/>
      </c>
      <c r="G2718" t="str">
        <f>""</f>
        <v/>
      </c>
      <c r="H2718" t="str">
        <f>""</f>
        <v/>
      </c>
      <c r="I2718" s="4">
        <v>2253.96</v>
      </c>
      <c r="J2718" t="str">
        <f t="shared" si="75"/>
        <v>TEXAS COUNTY &amp; DISTRICT RET</v>
      </c>
    </row>
    <row r="2719" spans="1:10" x14ac:dyDescent="0.25">
      <c r="A2719" t="str">
        <f>""</f>
        <v/>
      </c>
      <c r="B2719" t="str">
        <f>""</f>
        <v/>
      </c>
      <c r="G2719" t="str">
        <f>""</f>
        <v/>
      </c>
      <c r="H2719" t="str">
        <f>""</f>
        <v/>
      </c>
      <c r="I2719" s="4">
        <v>1099.97</v>
      </c>
      <c r="J2719" t="str">
        <f t="shared" si="75"/>
        <v>TEXAS COUNTY &amp; DISTRICT RET</v>
      </c>
    </row>
    <row r="2720" spans="1:10" x14ac:dyDescent="0.25">
      <c r="A2720" t="str">
        <f>""</f>
        <v/>
      </c>
      <c r="B2720" t="str">
        <f>""</f>
        <v/>
      </c>
      <c r="G2720" t="str">
        <f>""</f>
        <v/>
      </c>
      <c r="H2720" t="str">
        <f>""</f>
        <v/>
      </c>
      <c r="I2720" s="4">
        <v>1009.52</v>
      </c>
      <c r="J2720" t="str">
        <f t="shared" si="75"/>
        <v>TEXAS COUNTY &amp; DISTRICT RET</v>
      </c>
    </row>
    <row r="2721" spans="1:10" x14ac:dyDescent="0.25">
      <c r="A2721" t="str">
        <f>""</f>
        <v/>
      </c>
      <c r="B2721" t="str">
        <f>""</f>
        <v/>
      </c>
      <c r="G2721" t="str">
        <f>""</f>
        <v/>
      </c>
      <c r="H2721" t="str">
        <f>""</f>
        <v/>
      </c>
      <c r="I2721" s="4">
        <v>2939.54</v>
      </c>
      <c r="J2721" t="str">
        <f t="shared" si="75"/>
        <v>TEXAS COUNTY &amp; DISTRICT RET</v>
      </c>
    </row>
    <row r="2722" spans="1:10" x14ac:dyDescent="0.25">
      <c r="A2722" t="str">
        <f>""</f>
        <v/>
      </c>
      <c r="B2722" t="str">
        <f>""</f>
        <v/>
      </c>
      <c r="G2722" t="str">
        <f>""</f>
        <v/>
      </c>
      <c r="H2722" t="str">
        <f>""</f>
        <v/>
      </c>
      <c r="I2722" s="4">
        <v>1493.11</v>
      </c>
      <c r="J2722" t="str">
        <f t="shared" si="75"/>
        <v>TEXAS COUNTY &amp; DISTRICT RET</v>
      </c>
    </row>
    <row r="2723" spans="1:10" x14ac:dyDescent="0.25">
      <c r="A2723" t="str">
        <f>""</f>
        <v/>
      </c>
      <c r="B2723" t="str">
        <f>""</f>
        <v/>
      </c>
      <c r="G2723" t="str">
        <f>""</f>
        <v/>
      </c>
      <c r="H2723" t="str">
        <f>""</f>
        <v/>
      </c>
      <c r="I2723" s="4">
        <v>3740.63</v>
      </c>
      <c r="J2723" t="str">
        <f t="shared" si="75"/>
        <v>TEXAS COUNTY &amp; DISTRICT RET</v>
      </c>
    </row>
    <row r="2724" spans="1:10" x14ac:dyDescent="0.25">
      <c r="A2724" t="str">
        <f>""</f>
        <v/>
      </c>
      <c r="B2724" t="str">
        <f>""</f>
        <v/>
      </c>
      <c r="G2724" t="str">
        <f>""</f>
        <v/>
      </c>
      <c r="H2724" t="str">
        <f>""</f>
        <v/>
      </c>
      <c r="I2724" s="4">
        <v>2517.27</v>
      </c>
      <c r="J2724" t="str">
        <f t="shared" si="75"/>
        <v>TEXAS COUNTY &amp; DISTRICT RET</v>
      </c>
    </row>
    <row r="2725" spans="1:10" x14ac:dyDescent="0.25">
      <c r="A2725" t="str">
        <f>""</f>
        <v/>
      </c>
      <c r="B2725" t="str">
        <f>""</f>
        <v/>
      </c>
      <c r="G2725" t="str">
        <f>""</f>
        <v/>
      </c>
      <c r="H2725" t="str">
        <f>""</f>
        <v/>
      </c>
      <c r="I2725" s="4">
        <v>4916.6899999999996</v>
      </c>
      <c r="J2725" t="str">
        <f t="shared" si="75"/>
        <v>TEXAS COUNTY &amp; DISTRICT RET</v>
      </c>
    </row>
    <row r="2726" spans="1:10" x14ac:dyDescent="0.25">
      <c r="A2726" t="str">
        <f>""</f>
        <v/>
      </c>
      <c r="B2726" t="str">
        <f>""</f>
        <v/>
      </c>
      <c r="G2726" t="str">
        <f>""</f>
        <v/>
      </c>
      <c r="H2726" t="str">
        <f>""</f>
        <v/>
      </c>
      <c r="I2726" s="4">
        <v>281.35000000000002</v>
      </c>
      <c r="J2726" t="str">
        <f t="shared" si="75"/>
        <v>TEXAS COUNTY &amp; DISTRICT RET</v>
      </c>
    </row>
    <row r="2727" spans="1:10" x14ac:dyDescent="0.25">
      <c r="A2727" t="str">
        <f>""</f>
        <v/>
      </c>
      <c r="B2727" t="str">
        <f>""</f>
        <v/>
      </c>
      <c r="G2727" t="str">
        <f>""</f>
        <v/>
      </c>
      <c r="H2727" t="str">
        <f>""</f>
        <v/>
      </c>
      <c r="I2727" s="4">
        <v>281.35000000000002</v>
      </c>
      <c r="J2727" t="str">
        <f t="shared" si="75"/>
        <v>TEXAS COUNTY &amp; DISTRICT RET</v>
      </c>
    </row>
    <row r="2728" spans="1:10" x14ac:dyDescent="0.25">
      <c r="A2728" t="str">
        <f>""</f>
        <v/>
      </c>
      <c r="B2728" t="str">
        <f>""</f>
        <v/>
      </c>
      <c r="G2728" t="str">
        <f>""</f>
        <v/>
      </c>
      <c r="H2728" t="str">
        <f>""</f>
        <v/>
      </c>
      <c r="I2728" s="4">
        <v>281.35000000000002</v>
      </c>
      <c r="J2728" t="str">
        <f t="shared" si="75"/>
        <v>TEXAS COUNTY &amp; DISTRICT RET</v>
      </c>
    </row>
    <row r="2729" spans="1:10" x14ac:dyDescent="0.25">
      <c r="A2729" t="str">
        <f>""</f>
        <v/>
      </c>
      <c r="B2729" t="str">
        <f>""</f>
        <v/>
      </c>
      <c r="G2729" t="str">
        <f>""</f>
        <v/>
      </c>
      <c r="H2729" t="str">
        <f>""</f>
        <v/>
      </c>
      <c r="I2729" s="4">
        <v>281.35000000000002</v>
      </c>
      <c r="J2729" t="str">
        <f t="shared" si="75"/>
        <v>TEXAS COUNTY &amp; DISTRICT RET</v>
      </c>
    </row>
    <row r="2730" spans="1:10" x14ac:dyDescent="0.25">
      <c r="A2730" t="str">
        <f>""</f>
        <v/>
      </c>
      <c r="B2730" t="str">
        <f>""</f>
        <v/>
      </c>
      <c r="G2730" t="str">
        <f>""</f>
        <v/>
      </c>
      <c r="H2730" t="str">
        <f>""</f>
        <v/>
      </c>
      <c r="I2730" s="4">
        <v>27842.34</v>
      </c>
      <c r="J2730" t="str">
        <f t="shared" si="75"/>
        <v>TEXAS COUNTY &amp; DISTRICT RET</v>
      </c>
    </row>
    <row r="2731" spans="1:10" x14ac:dyDescent="0.25">
      <c r="A2731" t="str">
        <f>""</f>
        <v/>
      </c>
      <c r="B2731" t="str">
        <f>""</f>
        <v/>
      </c>
      <c r="G2731" t="str">
        <f>""</f>
        <v/>
      </c>
      <c r="H2731" t="str">
        <f>""</f>
        <v/>
      </c>
      <c r="I2731" s="4">
        <v>1239.25</v>
      </c>
      <c r="J2731" t="str">
        <f t="shared" si="75"/>
        <v>TEXAS COUNTY &amp; DISTRICT RET</v>
      </c>
    </row>
    <row r="2732" spans="1:10" x14ac:dyDescent="0.25">
      <c r="A2732" t="str">
        <f>""</f>
        <v/>
      </c>
      <c r="B2732" t="str">
        <f>""</f>
        <v/>
      </c>
      <c r="G2732" t="str">
        <f>""</f>
        <v/>
      </c>
      <c r="H2732" t="str">
        <f>""</f>
        <v/>
      </c>
      <c r="I2732" s="4">
        <v>22698.7</v>
      </c>
      <c r="J2732" t="str">
        <f t="shared" si="75"/>
        <v>TEXAS COUNTY &amp; DISTRICT RET</v>
      </c>
    </row>
    <row r="2733" spans="1:10" x14ac:dyDescent="0.25">
      <c r="A2733" t="str">
        <f>""</f>
        <v/>
      </c>
      <c r="B2733" t="str">
        <f>""</f>
        <v/>
      </c>
      <c r="G2733" t="str">
        <f>""</f>
        <v/>
      </c>
      <c r="H2733" t="str">
        <f>""</f>
        <v/>
      </c>
      <c r="I2733" s="4">
        <v>3701.69</v>
      </c>
      <c r="J2733" t="str">
        <f t="shared" si="75"/>
        <v>TEXAS COUNTY &amp; DISTRICT RET</v>
      </c>
    </row>
    <row r="2734" spans="1:10" x14ac:dyDescent="0.25">
      <c r="A2734" t="str">
        <f>""</f>
        <v/>
      </c>
      <c r="B2734" t="str">
        <f>""</f>
        <v/>
      </c>
      <c r="G2734" t="str">
        <f>""</f>
        <v/>
      </c>
      <c r="H2734" t="str">
        <f>""</f>
        <v/>
      </c>
      <c r="I2734" s="4">
        <v>447.74</v>
      </c>
      <c r="J2734" t="str">
        <f t="shared" si="75"/>
        <v>TEXAS COUNTY &amp; DISTRICT RET</v>
      </c>
    </row>
    <row r="2735" spans="1:10" x14ac:dyDescent="0.25">
      <c r="A2735" t="str">
        <f>""</f>
        <v/>
      </c>
      <c r="B2735" t="str">
        <f>""</f>
        <v/>
      </c>
      <c r="G2735" t="str">
        <f>""</f>
        <v/>
      </c>
      <c r="H2735" t="str">
        <f>""</f>
        <v/>
      </c>
      <c r="I2735" s="4">
        <v>1057.07</v>
      </c>
      <c r="J2735" t="str">
        <f t="shared" si="75"/>
        <v>TEXAS COUNTY &amp; DISTRICT RET</v>
      </c>
    </row>
    <row r="2736" spans="1:10" x14ac:dyDescent="0.25">
      <c r="A2736" t="str">
        <f>""</f>
        <v/>
      </c>
      <c r="B2736" t="str">
        <f>""</f>
        <v/>
      </c>
      <c r="G2736" t="str">
        <f>""</f>
        <v/>
      </c>
      <c r="H2736" t="str">
        <f>""</f>
        <v/>
      </c>
      <c r="I2736" s="4">
        <v>70.150000000000006</v>
      </c>
      <c r="J2736" t="str">
        <f t="shared" si="75"/>
        <v>TEXAS COUNTY &amp; DISTRICT RET</v>
      </c>
    </row>
    <row r="2737" spans="1:10" x14ac:dyDescent="0.25">
      <c r="A2737" t="str">
        <f>""</f>
        <v/>
      </c>
      <c r="B2737" t="str">
        <f>""</f>
        <v/>
      </c>
      <c r="G2737" t="str">
        <f>""</f>
        <v/>
      </c>
      <c r="H2737" t="str">
        <f>""</f>
        <v/>
      </c>
      <c r="I2737" s="4">
        <v>442.44</v>
      </c>
      <c r="J2737" t="str">
        <f t="shared" si="75"/>
        <v>TEXAS COUNTY &amp; DISTRICT RET</v>
      </c>
    </row>
    <row r="2738" spans="1:10" x14ac:dyDescent="0.25">
      <c r="A2738" t="str">
        <f>""</f>
        <v/>
      </c>
      <c r="B2738" t="str">
        <f>""</f>
        <v/>
      </c>
      <c r="G2738" t="str">
        <f>""</f>
        <v/>
      </c>
      <c r="H2738" t="str">
        <f>""</f>
        <v/>
      </c>
      <c r="I2738" s="4">
        <v>234.13</v>
      </c>
      <c r="J2738" t="str">
        <f t="shared" si="75"/>
        <v>TEXAS COUNTY &amp; DISTRICT RET</v>
      </c>
    </row>
    <row r="2739" spans="1:10" x14ac:dyDescent="0.25">
      <c r="A2739" t="str">
        <f>""</f>
        <v/>
      </c>
      <c r="B2739" t="str">
        <f>""</f>
        <v/>
      </c>
      <c r="G2739" t="str">
        <f>""</f>
        <v/>
      </c>
      <c r="H2739" t="str">
        <f>""</f>
        <v/>
      </c>
      <c r="I2739" s="4">
        <v>1370.84</v>
      </c>
      <c r="J2739" t="str">
        <f t="shared" si="75"/>
        <v>TEXAS COUNTY &amp; DISTRICT RET</v>
      </c>
    </row>
    <row r="2740" spans="1:10" x14ac:dyDescent="0.25">
      <c r="A2740" t="str">
        <f>""</f>
        <v/>
      </c>
      <c r="B2740" t="str">
        <f>""</f>
        <v/>
      </c>
      <c r="G2740" t="str">
        <f>""</f>
        <v/>
      </c>
      <c r="H2740" t="str">
        <f>""</f>
        <v/>
      </c>
      <c r="I2740" s="4">
        <v>399.87</v>
      </c>
      <c r="J2740" t="str">
        <f t="shared" si="75"/>
        <v>TEXAS COUNTY &amp; DISTRICT RET</v>
      </c>
    </row>
    <row r="2741" spans="1:10" x14ac:dyDescent="0.25">
      <c r="A2741" t="str">
        <f>""</f>
        <v/>
      </c>
      <c r="B2741" t="str">
        <f>""</f>
        <v/>
      </c>
      <c r="G2741" t="str">
        <f>""</f>
        <v/>
      </c>
      <c r="H2741" t="str">
        <f>""</f>
        <v/>
      </c>
      <c r="I2741" s="4">
        <v>115</v>
      </c>
      <c r="J2741" t="str">
        <f t="shared" si="75"/>
        <v>TEXAS COUNTY &amp; DISTRICT RET</v>
      </c>
    </row>
    <row r="2742" spans="1:10" x14ac:dyDescent="0.25">
      <c r="A2742" t="str">
        <f>""</f>
        <v/>
      </c>
      <c r="B2742" t="str">
        <f>""</f>
        <v/>
      </c>
      <c r="G2742" t="str">
        <f>""</f>
        <v/>
      </c>
      <c r="H2742" t="str">
        <f>""</f>
        <v/>
      </c>
      <c r="I2742" s="4">
        <v>2869.85</v>
      </c>
      <c r="J2742" t="str">
        <f t="shared" si="75"/>
        <v>TEXAS COUNTY &amp; DISTRICT RET</v>
      </c>
    </row>
    <row r="2743" spans="1:10" x14ac:dyDescent="0.25">
      <c r="A2743" t="str">
        <f>""</f>
        <v/>
      </c>
      <c r="B2743" t="str">
        <f>""</f>
        <v/>
      </c>
      <c r="G2743" t="str">
        <f>""</f>
        <v/>
      </c>
      <c r="H2743" t="str">
        <f>""</f>
        <v/>
      </c>
      <c r="I2743" s="4">
        <v>3593.28</v>
      </c>
      <c r="J2743" t="str">
        <f t="shared" si="75"/>
        <v>TEXAS COUNTY &amp; DISTRICT RET</v>
      </c>
    </row>
    <row r="2744" spans="1:10" x14ac:dyDescent="0.25">
      <c r="A2744" t="str">
        <f>""</f>
        <v/>
      </c>
      <c r="B2744" t="str">
        <f>""</f>
        <v/>
      </c>
      <c r="G2744" t="str">
        <f>""</f>
        <v/>
      </c>
      <c r="H2744" t="str">
        <f>""</f>
        <v/>
      </c>
      <c r="I2744" s="4">
        <v>3335.83</v>
      </c>
      <c r="J2744" t="str">
        <f t="shared" si="75"/>
        <v>TEXAS COUNTY &amp; DISTRICT RET</v>
      </c>
    </row>
    <row r="2745" spans="1:10" x14ac:dyDescent="0.25">
      <c r="A2745" t="str">
        <f>""</f>
        <v/>
      </c>
      <c r="B2745" t="str">
        <f>""</f>
        <v/>
      </c>
      <c r="G2745" t="str">
        <f>""</f>
        <v/>
      </c>
      <c r="H2745" t="str">
        <f>""</f>
        <v/>
      </c>
      <c r="I2745" s="4">
        <v>3941.56</v>
      </c>
      <c r="J2745" t="str">
        <f t="shared" si="75"/>
        <v>TEXAS COUNTY &amp; DISTRICT RET</v>
      </c>
    </row>
    <row r="2746" spans="1:10" x14ac:dyDescent="0.25">
      <c r="A2746" t="str">
        <f>""</f>
        <v/>
      </c>
      <c r="B2746" t="str">
        <f>""</f>
        <v/>
      </c>
      <c r="G2746" t="str">
        <f>""</f>
        <v/>
      </c>
      <c r="H2746" t="str">
        <f>""</f>
        <v/>
      </c>
      <c r="I2746" s="4">
        <v>472.45</v>
      </c>
      <c r="J2746" t="str">
        <f t="shared" si="75"/>
        <v>TEXAS COUNTY &amp; DISTRICT RET</v>
      </c>
    </row>
    <row r="2747" spans="1:10" x14ac:dyDescent="0.25">
      <c r="A2747" t="str">
        <f>""</f>
        <v/>
      </c>
      <c r="B2747" t="str">
        <f>""</f>
        <v/>
      </c>
      <c r="G2747" t="str">
        <f>""</f>
        <v/>
      </c>
      <c r="H2747" t="str">
        <f>""</f>
        <v/>
      </c>
      <c r="I2747" s="4">
        <v>9.51</v>
      </c>
      <c r="J2747" t="str">
        <f t="shared" si="75"/>
        <v>TEXAS COUNTY &amp; DISTRICT RET</v>
      </c>
    </row>
    <row r="2748" spans="1:10" x14ac:dyDescent="0.25">
      <c r="A2748" t="str">
        <f>""</f>
        <v/>
      </c>
      <c r="B2748" t="str">
        <f>""</f>
        <v/>
      </c>
      <c r="G2748" t="str">
        <f>""</f>
        <v/>
      </c>
      <c r="H2748" t="str">
        <f>""</f>
        <v/>
      </c>
      <c r="I2748" s="4">
        <v>35.61</v>
      </c>
      <c r="J2748" t="str">
        <f t="shared" si="75"/>
        <v>TEXAS COUNTY &amp; DISTRICT RET</v>
      </c>
    </row>
    <row r="2749" spans="1:10" x14ac:dyDescent="0.25">
      <c r="A2749" t="str">
        <f>""</f>
        <v/>
      </c>
      <c r="B2749" t="str">
        <f>""</f>
        <v/>
      </c>
      <c r="G2749" t="str">
        <f>""</f>
        <v/>
      </c>
      <c r="H2749" t="str">
        <f>""</f>
        <v/>
      </c>
      <c r="I2749" s="4">
        <v>44.46</v>
      </c>
      <c r="J2749" t="str">
        <f t="shared" si="75"/>
        <v>TEXAS COUNTY &amp; DISTRICT RET</v>
      </c>
    </row>
    <row r="2750" spans="1:10" x14ac:dyDescent="0.25">
      <c r="A2750" t="str">
        <f>""</f>
        <v/>
      </c>
      <c r="B2750" t="str">
        <f>""</f>
        <v/>
      </c>
      <c r="G2750" t="str">
        <f>""</f>
        <v/>
      </c>
      <c r="H2750" t="str">
        <f>""</f>
        <v/>
      </c>
      <c r="I2750" s="4">
        <v>743.57</v>
      </c>
      <c r="J2750" t="str">
        <f t="shared" si="75"/>
        <v>TEXAS COUNTY &amp; DISTRICT RET</v>
      </c>
    </row>
    <row r="2751" spans="1:10" x14ac:dyDescent="0.25">
      <c r="A2751" t="str">
        <f>""</f>
        <v/>
      </c>
      <c r="B2751" t="str">
        <f>""</f>
        <v/>
      </c>
      <c r="G2751" t="str">
        <f>""</f>
        <v/>
      </c>
      <c r="H2751" t="str">
        <f>""</f>
        <v/>
      </c>
      <c r="I2751" s="4">
        <v>70451.210000000006</v>
      </c>
      <c r="J2751" t="str">
        <f t="shared" si="75"/>
        <v>TEXAS COUNTY &amp; DISTRICT RET</v>
      </c>
    </row>
    <row r="2752" spans="1:10" x14ac:dyDescent="0.25">
      <c r="A2752" t="str">
        <f>""</f>
        <v/>
      </c>
      <c r="B2752" t="str">
        <f>""</f>
        <v/>
      </c>
      <c r="G2752" t="str">
        <f>"RET202202028716"</f>
        <v>RET202202028716</v>
      </c>
      <c r="H2752" t="str">
        <f>"TEXAS COUNTY  DISTRICT RET"</f>
        <v>TEXAS COUNTY  DISTRICT RET</v>
      </c>
      <c r="I2752" s="4">
        <v>4301.16</v>
      </c>
      <c r="J2752" t="str">
        <f>"TEXAS COUNTY  DISTRICT RET"</f>
        <v>TEXAS COUNTY  DISTRICT RET</v>
      </c>
    </row>
    <row r="2753" spans="1:10" x14ac:dyDescent="0.25">
      <c r="A2753" t="str">
        <f>""</f>
        <v/>
      </c>
      <c r="B2753" t="str">
        <f>""</f>
        <v/>
      </c>
      <c r="G2753" t="str">
        <f>""</f>
        <v/>
      </c>
      <c r="H2753" t="str">
        <f>""</f>
        <v/>
      </c>
      <c r="I2753" s="4">
        <v>2455.79</v>
      </c>
      <c r="J2753" t="str">
        <f>"TEXAS COUNTY  DISTRICT RET"</f>
        <v>TEXAS COUNTY  DISTRICT RET</v>
      </c>
    </row>
    <row r="2754" spans="1:10" x14ac:dyDescent="0.25">
      <c r="A2754" t="str">
        <f>""</f>
        <v/>
      </c>
      <c r="B2754" t="str">
        <f>""</f>
        <v/>
      </c>
      <c r="G2754" t="str">
        <f>"RET202202028717"</f>
        <v>RET202202028717</v>
      </c>
      <c r="H2754" t="str">
        <f>"TEXAS COUNTY &amp; DISTRICT RET"</f>
        <v>TEXAS COUNTY &amp; DISTRICT RET</v>
      </c>
      <c r="I2754" s="4">
        <v>4549.1400000000003</v>
      </c>
      <c r="J2754" t="str">
        <f t="shared" ref="J2754:J2805" si="76">"TEXAS COUNTY &amp; DISTRICT RET"</f>
        <v>TEXAS COUNTY &amp; DISTRICT RET</v>
      </c>
    </row>
    <row r="2755" spans="1:10" x14ac:dyDescent="0.25">
      <c r="A2755" t="str">
        <f>""</f>
        <v/>
      </c>
      <c r="B2755" t="str">
        <f>""</f>
        <v/>
      </c>
      <c r="G2755" t="str">
        <f>""</f>
        <v/>
      </c>
      <c r="H2755" t="str">
        <f>""</f>
        <v/>
      </c>
      <c r="I2755" s="4">
        <v>2597.38</v>
      </c>
      <c r="J2755" t="str">
        <f t="shared" si="76"/>
        <v>TEXAS COUNTY &amp; DISTRICT RET</v>
      </c>
    </row>
    <row r="2756" spans="1:10" x14ac:dyDescent="0.25">
      <c r="A2756" t="str">
        <f>""</f>
        <v/>
      </c>
      <c r="B2756" t="str">
        <f>""</f>
        <v/>
      </c>
      <c r="G2756" t="str">
        <f>"RET202202169060"</f>
        <v>RET202202169060</v>
      </c>
      <c r="H2756" t="str">
        <f>"TEXAS COUNTY &amp; DISTRICT RET"</f>
        <v>TEXAS COUNTY &amp; DISTRICT RET</v>
      </c>
      <c r="I2756" s="4">
        <v>1064.75</v>
      </c>
      <c r="J2756" t="str">
        <f t="shared" si="76"/>
        <v>TEXAS COUNTY &amp; DISTRICT RET</v>
      </c>
    </row>
    <row r="2757" spans="1:10" x14ac:dyDescent="0.25">
      <c r="A2757" t="str">
        <f>""</f>
        <v/>
      </c>
      <c r="B2757" t="str">
        <f>""</f>
        <v/>
      </c>
      <c r="G2757" t="str">
        <f>""</f>
        <v/>
      </c>
      <c r="H2757" t="str">
        <f>""</f>
        <v/>
      </c>
      <c r="I2757" s="4">
        <v>758.12</v>
      </c>
      <c r="J2757" t="str">
        <f t="shared" si="76"/>
        <v>TEXAS COUNTY &amp; DISTRICT RET</v>
      </c>
    </row>
    <row r="2758" spans="1:10" x14ac:dyDescent="0.25">
      <c r="A2758" t="str">
        <f>""</f>
        <v/>
      </c>
      <c r="B2758" t="str">
        <f>""</f>
        <v/>
      </c>
      <c r="G2758" t="str">
        <f>""</f>
        <v/>
      </c>
      <c r="H2758" t="str">
        <f>""</f>
        <v/>
      </c>
      <c r="I2758" s="4">
        <v>2022.54</v>
      </c>
      <c r="J2758" t="str">
        <f t="shared" si="76"/>
        <v>TEXAS COUNTY &amp; DISTRICT RET</v>
      </c>
    </row>
    <row r="2759" spans="1:10" x14ac:dyDescent="0.25">
      <c r="A2759" t="str">
        <f>""</f>
        <v/>
      </c>
      <c r="B2759" t="str">
        <f>""</f>
        <v/>
      </c>
      <c r="G2759" t="str">
        <f>""</f>
        <v/>
      </c>
      <c r="H2759" t="str">
        <f>""</f>
        <v/>
      </c>
      <c r="I2759" s="4">
        <v>844.54</v>
      </c>
      <c r="J2759" t="str">
        <f t="shared" si="76"/>
        <v>TEXAS COUNTY &amp; DISTRICT RET</v>
      </c>
    </row>
    <row r="2760" spans="1:10" x14ac:dyDescent="0.25">
      <c r="A2760" t="str">
        <f>""</f>
        <v/>
      </c>
      <c r="B2760" t="str">
        <f>""</f>
        <v/>
      </c>
      <c r="G2760" t="str">
        <f>""</f>
        <v/>
      </c>
      <c r="H2760" t="str">
        <f>""</f>
        <v/>
      </c>
      <c r="I2760" s="4">
        <v>457.27</v>
      </c>
      <c r="J2760" t="str">
        <f t="shared" si="76"/>
        <v>TEXAS COUNTY &amp; DISTRICT RET</v>
      </c>
    </row>
    <row r="2761" spans="1:10" x14ac:dyDescent="0.25">
      <c r="A2761" t="str">
        <f>""</f>
        <v/>
      </c>
      <c r="B2761" t="str">
        <f>""</f>
        <v/>
      </c>
      <c r="G2761" t="str">
        <f>""</f>
        <v/>
      </c>
      <c r="H2761" t="str">
        <f>""</f>
        <v/>
      </c>
      <c r="I2761" s="4">
        <v>1449.09</v>
      </c>
      <c r="J2761" t="str">
        <f t="shared" si="76"/>
        <v>TEXAS COUNTY &amp; DISTRICT RET</v>
      </c>
    </row>
    <row r="2762" spans="1:10" x14ac:dyDescent="0.25">
      <c r="A2762" t="str">
        <f>""</f>
        <v/>
      </c>
      <c r="B2762" t="str">
        <f>""</f>
        <v/>
      </c>
      <c r="G2762" t="str">
        <f>""</f>
        <v/>
      </c>
      <c r="H2762" t="str">
        <f>""</f>
        <v/>
      </c>
      <c r="I2762" s="4">
        <v>4675.67</v>
      </c>
      <c r="J2762" t="str">
        <f t="shared" si="76"/>
        <v>TEXAS COUNTY &amp; DISTRICT RET</v>
      </c>
    </row>
    <row r="2763" spans="1:10" x14ac:dyDescent="0.25">
      <c r="A2763" t="str">
        <f>""</f>
        <v/>
      </c>
      <c r="B2763" t="str">
        <f>""</f>
        <v/>
      </c>
      <c r="G2763" t="str">
        <f>""</f>
        <v/>
      </c>
      <c r="H2763" t="str">
        <f>""</f>
        <v/>
      </c>
      <c r="I2763" s="4">
        <v>1691.76</v>
      </c>
      <c r="J2763" t="str">
        <f t="shared" si="76"/>
        <v>TEXAS COUNTY &amp; DISTRICT RET</v>
      </c>
    </row>
    <row r="2764" spans="1:10" x14ac:dyDescent="0.25">
      <c r="A2764" t="str">
        <f>""</f>
        <v/>
      </c>
      <c r="B2764" t="str">
        <f>""</f>
        <v/>
      </c>
      <c r="G2764" t="str">
        <f>""</f>
        <v/>
      </c>
      <c r="H2764" t="str">
        <f>""</f>
        <v/>
      </c>
      <c r="I2764" s="4">
        <v>1545.94</v>
      </c>
      <c r="J2764" t="str">
        <f t="shared" si="76"/>
        <v>TEXAS COUNTY &amp; DISTRICT RET</v>
      </c>
    </row>
    <row r="2765" spans="1:10" x14ac:dyDescent="0.25">
      <c r="A2765" t="str">
        <f>""</f>
        <v/>
      </c>
      <c r="B2765" t="str">
        <f>""</f>
        <v/>
      </c>
      <c r="G2765" t="str">
        <f>""</f>
        <v/>
      </c>
      <c r="H2765" t="str">
        <f>""</f>
        <v/>
      </c>
      <c r="I2765" s="4">
        <v>3213.48</v>
      </c>
      <c r="J2765" t="str">
        <f t="shared" si="76"/>
        <v>TEXAS COUNTY &amp; DISTRICT RET</v>
      </c>
    </row>
    <row r="2766" spans="1:10" x14ac:dyDescent="0.25">
      <c r="A2766" t="str">
        <f>""</f>
        <v/>
      </c>
      <c r="B2766" t="str">
        <f>""</f>
        <v/>
      </c>
      <c r="G2766" t="str">
        <f>""</f>
        <v/>
      </c>
      <c r="H2766" t="str">
        <f>""</f>
        <v/>
      </c>
      <c r="I2766" s="4">
        <v>942.71</v>
      </c>
      <c r="J2766" t="str">
        <f t="shared" si="76"/>
        <v>TEXAS COUNTY &amp; DISTRICT RET</v>
      </c>
    </row>
    <row r="2767" spans="1:10" x14ac:dyDescent="0.25">
      <c r="A2767" t="str">
        <f>""</f>
        <v/>
      </c>
      <c r="B2767" t="str">
        <f>""</f>
        <v/>
      </c>
      <c r="G2767" t="str">
        <f>""</f>
        <v/>
      </c>
      <c r="H2767" t="str">
        <f>""</f>
        <v/>
      </c>
      <c r="I2767" s="4">
        <v>973.01</v>
      </c>
      <c r="J2767" t="str">
        <f t="shared" si="76"/>
        <v>TEXAS COUNTY &amp; DISTRICT RET</v>
      </c>
    </row>
    <row r="2768" spans="1:10" x14ac:dyDescent="0.25">
      <c r="A2768" t="str">
        <f>""</f>
        <v/>
      </c>
      <c r="B2768" t="str">
        <f>""</f>
        <v/>
      </c>
      <c r="G2768" t="str">
        <f>""</f>
        <v/>
      </c>
      <c r="H2768" t="str">
        <f>""</f>
        <v/>
      </c>
      <c r="I2768" s="4">
        <v>842.62</v>
      </c>
      <c r="J2768" t="str">
        <f t="shared" si="76"/>
        <v>TEXAS COUNTY &amp; DISTRICT RET</v>
      </c>
    </row>
    <row r="2769" spans="1:10" x14ac:dyDescent="0.25">
      <c r="A2769" t="str">
        <f>""</f>
        <v/>
      </c>
      <c r="B2769" t="str">
        <f>""</f>
        <v/>
      </c>
      <c r="G2769" t="str">
        <f>""</f>
        <v/>
      </c>
      <c r="H2769" t="str">
        <f>""</f>
        <v/>
      </c>
      <c r="I2769" s="4">
        <v>859.77</v>
      </c>
      <c r="J2769" t="str">
        <f t="shared" si="76"/>
        <v>TEXAS COUNTY &amp; DISTRICT RET</v>
      </c>
    </row>
    <row r="2770" spans="1:10" x14ac:dyDescent="0.25">
      <c r="A2770" t="str">
        <f>""</f>
        <v/>
      </c>
      <c r="B2770" t="str">
        <f>""</f>
        <v/>
      </c>
      <c r="G2770" t="str">
        <f>""</f>
        <v/>
      </c>
      <c r="H2770" t="str">
        <f>""</f>
        <v/>
      </c>
      <c r="I2770" s="4">
        <v>451.2</v>
      </c>
      <c r="J2770" t="str">
        <f t="shared" si="76"/>
        <v>TEXAS COUNTY &amp; DISTRICT RET</v>
      </c>
    </row>
    <row r="2771" spans="1:10" x14ac:dyDescent="0.25">
      <c r="A2771" t="str">
        <f>""</f>
        <v/>
      </c>
      <c r="B2771" t="str">
        <f>""</f>
        <v/>
      </c>
      <c r="G2771" t="str">
        <f>""</f>
        <v/>
      </c>
      <c r="H2771" t="str">
        <f>""</f>
        <v/>
      </c>
      <c r="I2771" s="4">
        <v>5519.22</v>
      </c>
      <c r="J2771" t="str">
        <f t="shared" si="76"/>
        <v>TEXAS COUNTY &amp; DISTRICT RET</v>
      </c>
    </row>
    <row r="2772" spans="1:10" x14ac:dyDescent="0.25">
      <c r="A2772" t="str">
        <f>""</f>
        <v/>
      </c>
      <c r="B2772" t="str">
        <f>""</f>
        <v/>
      </c>
      <c r="G2772" t="str">
        <f>""</f>
        <v/>
      </c>
      <c r="H2772" t="str">
        <f>""</f>
        <v/>
      </c>
      <c r="I2772" s="4">
        <v>2253.96</v>
      </c>
      <c r="J2772" t="str">
        <f t="shared" si="76"/>
        <v>TEXAS COUNTY &amp; DISTRICT RET</v>
      </c>
    </row>
    <row r="2773" spans="1:10" x14ac:dyDescent="0.25">
      <c r="A2773" t="str">
        <f>""</f>
        <v/>
      </c>
      <c r="B2773" t="str">
        <f>""</f>
        <v/>
      </c>
      <c r="G2773" t="str">
        <f>""</f>
        <v/>
      </c>
      <c r="H2773" t="str">
        <f>""</f>
        <v/>
      </c>
      <c r="I2773" s="4">
        <v>1099.97</v>
      </c>
      <c r="J2773" t="str">
        <f t="shared" si="76"/>
        <v>TEXAS COUNTY &amp; DISTRICT RET</v>
      </c>
    </row>
    <row r="2774" spans="1:10" x14ac:dyDescent="0.25">
      <c r="A2774" t="str">
        <f>""</f>
        <v/>
      </c>
      <c r="B2774" t="str">
        <f>""</f>
        <v/>
      </c>
      <c r="G2774" t="str">
        <f>""</f>
        <v/>
      </c>
      <c r="H2774" t="str">
        <f>""</f>
        <v/>
      </c>
      <c r="I2774" s="4">
        <v>1009.52</v>
      </c>
      <c r="J2774" t="str">
        <f t="shared" si="76"/>
        <v>TEXAS COUNTY &amp; DISTRICT RET</v>
      </c>
    </row>
    <row r="2775" spans="1:10" x14ac:dyDescent="0.25">
      <c r="A2775" t="str">
        <f>""</f>
        <v/>
      </c>
      <c r="B2775" t="str">
        <f>""</f>
        <v/>
      </c>
      <c r="G2775" t="str">
        <f>""</f>
        <v/>
      </c>
      <c r="H2775" t="str">
        <f>""</f>
        <v/>
      </c>
      <c r="I2775" s="4">
        <v>3086.65</v>
      </c>
      <c r="J2775" t="str">
        <f t="shared" si="76"/>
        <v>TEXAS COUNTY &amp; DISTRICT RET</v>
      </c>
    </row>
    <row r="2776" spans="1:10" x14ac:dyDescent="0.25">
      <c r="A2776" t="str">
        <f>""</f>
        <v/>
      </c>
      <c r="B2776" t="str">
        <f>""</f>
        <v/>
      </c>
      <c r="G2776" t="str">
        <f>""</f>
        <v/>
      </c>
      <c r="H2776" t="str">
        <f>""</f>
        <v/>
      </c>
      <c r="I2776" s="4">
        <v>1557</v>
      </c>
      <c r="J2776" t="str">
        <f t="shared" si="76"/>
        <v>TEXAS COUNTY &amp; DISTRICT RET</v>
      </c>
    </row>
    <row r="2777" spans="1:10" x14ac:dyDescent="0.25">
      <c r="A2777" t="str">
        <f>""</f>
        <v/>
      </c>
      <c r="B2777" t="str">
        <f>""</f>
        <v/>
      </c>
      <c r="G2777" t="str">
        <f>""</f>
        <v/>
      </c>
      <c r="H2777" t="str">
        <f>""</f>
        <v/>
      </c>
      <c r="I2777" s="4">
        <v>3716.82</v>
      </c>
      <c r="J2777" t="str">
        <f t="shared" si="76"/>
        <v>TEXAS COUNTY &amp; DISTRICT RET</v>
      </c>
    </row>
    <row r="2778" spans="1:10" x14ac:dyDescent="0.25">
      <c r="A2778" t="str">
        <f>""</f>
        <v/>
      </c>
      <c r="B2778" t="str">
        <f>""</f>
        <v/>
      </c>
      <c r="G2778" t="str">
        <f>""</f>
        <v/>
      </c>
      <c r="H2778" t="str">
        <f>""</f>
        <v/>
      </c>
      <c r="I2778" s="4">
        <v>2517.27</v>
      </c>
      <c r="J2778" t="str">
        <f t="shared" si="76"/>
        <v>TEXAS COUNTY &amp; DISTRICT RET</v>
      </c>
    </row>
    <row r="2779" spans="1:10" x14ac:dyDescent="0.25">
      <c r="A2779" t="str">
        <f>""</f>
        <v/>
      </c>
      <c r="B2779" t="str">
        <f>""</f>
        <v/>
      </c>
      <c r="G2779" t="str">
        <f>""</f>
        <v/>
      </c>
      <c r="H2779" t="str">
        <f>""</f>
        <v/>
      </c>
      <c r="I2779" s="4">
        <v>5051.7700000000004</v>
      </c>
      <c r="J2779" t="str">
        <f t="shared" si="76"/>
        <v>TEXAS COUNTY &amp; DISTRICT RET</v>
      </c>
    </row>
    <row r="2780" spans="1:10" x14ac:dyDescent="0.25">
      <c r="A2780" t="str">
        <f>""</f>
        <v/>
      </c>
      <c r="B2780" t="str">
        <f>""</f>
        <v/>
      </c>
      <c r="G2780" t="str">
        <f>""</f>
        <v/>
      </c>
      <c r="H2780" t="str">
        <f>""</f>
        <v/>
      </c>
      <c r="I2780" s="4">
        <v>281.35000000000002</v>
      </c>
      <c r="J2780" t="str">
        <f t="shared" si="76"/>
        <v>TEXAS COUNTY &amp; DISTRICT RET</v>
      </c>
    </row>
    <row r="2781" spans="1:10" x14ac:dyDescent="0.25">
      <c r="A2781" t="str">
        <f>""</f>
        <v/>
      </c>
      <c r="B2781" t="str">
        <f>""</f>
        <v/>
      </c>
      <c r="G2781" t="str">
        <f>""</f>
        <v/>
      </c>
      <c r="H2781" t="str">
        <f>""</f>
        <v/>
      </c>
      <c r="I2781" s="4">
        <v>281.35000000000002</v>
      </c>
      <c r="J2781" t="str">
        <f t="shared" si="76"/>
        <v>TEXAS COUNTY &amp; DISTRICT RET</v>
      </c>
    </row>
    <row r="2782" spans="1:10" x14ac:dyDescent="0.25">
      <c r="A2782" t="str">
        <f>""</f>
        <v/>
      </c>
      <c r="B2782" t="str">
        <f>""</f>
        <v/>
      </c>
      <c r="G2782" t="str">
        <f>""</f>
        <v/>
      </c>
      <c r="H2782" t="str">
        <f>""</f>
        <v/>
      </c>
      <c r="I2782" s="4">
        <v>281.35000000000002</v>
      </c>
      <c r="J2782" t="str">
        <f t="shared" si="76"/>
        <v>TEXAS COUNTY &amp; DISTRICT RET</v>
      </c>
    </row>
    <row r="2783" spans="1:10" x14ac:dyDescent="0.25">
      <c r="A2783" t="str">
        <f>""</f>
        <v/>
      </c>
      <c r="B2783" t="str">
        <f>""</f>
        <v/>
      </c>
      <c r="G2783" t="str">
        <f>""</f>
        <v/>
      </c>
      <c r="H2783" t="str">
        <f>""</f>
        <v/>
      </c>
      <c r="I2783" s="4">
        <v>281.35000000000002</v>
      </c>
      <c r="J2783" t="str">
        <f t="shared" si="76"/>
        <v>TEXAS COUNTY &amp; DISTRICT RET</v>
      </c>
    </row>
    <row r="2784" spans="1:10" x14ac:dyDescent="0.25">
      <c r="A2784" t="str">
        <f>""</f>
        <v/>
      </c>
      <c r="B2784" t="str">
        <f>""</f>
        <v/>
      </c>
      <c r="G2784" t="str">
        <f>""</f>
        <v/>
      </c>
      <c r="H2784" t="str">
        <f>""</f>
        <v/>
      </c>
      <c r="I2784" s="4">
        <v>28852.89</v>
      </c>
      <c r="J2784" t="str">
        <f t="shared" si="76"/>
        <v>TEXAS COUNTY &amp; DISTRICT RET</v>
      </c>
    </row>
    <row r="2785" spans="1:10" x14ac:dyDescent="0.25">
      <c r="A2785" t="str">
        <f>""</f>
        <v/>
      </c>
      <c r="B2785" t="str">
        <f>""</f>
        <v/>
      </c>
      <c r="G2785" t="str">
        <f>""</f>
        <v/>
      </c>
      <c r="H2785" t="str">
        <f>""</f>
        <v/>
      </c>
      <c r="I2785" s="4">
        <v>1239.25</v>
      </c>
      <c r="J2785" t="str">
        <f t="shared" si="76"/>
        <v>TEXAS COUNTY &amp; DISTRICT RET</v>
      </c>
    </row>
    <row r="2786" spans="1:10" x14ac:dyDescent="0.25">
      <c r="A2786" t="str">
        <f>""</f>
        <v/>
      </c>
      <c r="B2786" t="str">
        <f>""</f>
        <v/>
      </c>
      <c r="G2786" t="str">
        <f>""</f>
        <v/>
      </c>
      <c r="H2786" t="str">
        <f>""</f>
        <v/>
      </c>
      <c r="I2786" s="4">
        <v>22165.57</v>
      </c>
      <c r="J2786" t="str">
        <f t="shared" si="76"/>
        <v>TEXAS COUNTY &amp; DISTRICT RET</v>
      </c>
    </row>
    <row r="2787" spans="1:10" x14ac:dyDescent="0.25">
      <c r="A2787" t="str">
        <f>""</f>
        <v/>
      </c>
      <c r="B2787" t="str">
        <f>""</f>
        <v/>
      </c>
      <c r="G2787" t="str">
        <f>""</f>
        <v/>
      </c>
      <c r="H2787" t="str">
        <f>""</f>
        <v/>
      </c>
      <c r="I2787" s="4">
        <v>3701.69</v>
      </c>
      <c r="J2787" t="str">
        <f t="shared" si="76"/>
        <v>TEXAS COUNTY &amp; DISTRICT RET</v>
      </c>
    </row>
    <row r="2788" spans="1:10" x14ac:dyDescent="0.25">
      <c r="A2788" t="str">
        <f>""</f>
        <v/>
      </c>
      <c r="B2788" t="str">
        <f>""</f>
        <v/>
      </c>
      <c r="G2788" t="str">
        <f>""</f>
        <v/>
      </c>
      <c r="H2788" t="str">
        <f>""</f>
        <v/>
      </c>
      <c r="I2788" s="4">
        <v>447.74</v>
      </c>
      <c r="J2788" t="str">
        <f t="shared" si="76"/>
        <v>TEXAS COUNTY &amp; DISTRICT RET</v>
      </c>
    </row>
    <row r="2789" spans="1:10" x14ac:dyDescent="0.25">
      <c r="A2789" t="str">
        <f>""</f>
        <v/>
      </c>
      <c r="B2789" t="str">
        <f>""</f>
        <v/>
      </c>
      <c r="G2789" t="str">
        <f>""</f>
        <v/>
      </c>
      <c r="H2789" t="str">
        <f>""</f>
        <v/>
      </c>
      <c r="I2789" s="4">
        <v>1140.93</v>
      </c>
      <c r="J2789" t="str">
        <f t="shared" si="76"/>
        <v>TEXAS COUNTY &amp; DISTRICT RET</v>
      </c>
    </row>
    <row r="2790" spans="1:10" x14ac:dyDescent="0.25">
      <c r="A2790" t="str">
        <f>""</f>
        <v/>
      </c>
      <c r="B2790" t="str">
        <f>""</f>
        <v/>
      </c>
      <c r="G2790" t="str">
        <f>""</f>
        <v/>
      </c>
      <c r="H2790" t="str">
        <f>""</f>
        <v/>
      </c>
      <c r="I2790" s="4">
        <v>70.150000000000006</v>
      </c>
      <c r="J2790" t="str">
        <f t="shared" si="76"/>
        <v>TEXAS COUNTY &amp; DISTRICT RET</v>
      </c>
    </row>
    <row r="2791" spans="1:10" x14ac:dyDescent="0.25">
      <c r="A2791" t="str">
        <f>""</f>
        <v/>
      </c>
      <c r="B2791" t="str">
        <f>""</f>
        <v/>
      </c>
      <c r="G2791" t="str">
        <f>""</f>
        <v/>
      </c>
      <c r="H2791" t="str">
        <f>""</f>
        <v/>
      </c>
      <c r="I2791" s="4">
        <v>654.59</v>
      </c>
      <c r="J2791" t="str">
        <f t="shared" si="76"/>
        <v>TEXAS COUNTY &amp; DISTRICT RET</v>
      </c>
    </row>
    <row r="2792" spans="1:10" x14ac:dyDescent="0.25">
      <c r="A2792" t="str">
        <f>""</f>
        <v/>
      </c>
      <c r="B2792" t="str">
        <f>""</f>
        <v/>
      </c>
      <c r="G2792" t="str">
        <f>""</f>
        <v/>
      </c>
      <c r="H2792" t="str">
        <f>""</f>
        <v/>
      </c>
      <c r="I2792" s="4">
        <v>234.13</v>
      </c>
      <c r="J2792" t="str">
        <f t="shared" si="76"/>
        <v>TEXAS COUNTY &amp; DISTRICT RET</v>
      </c>
    </row>
    <row r="2793" spans="1:10" x14ac:dyDescent="0.25">
      <c r="A2793" t="str">
        <f>""</f>
        <v/>
      </c>
      <c r="B2793" t="str">
        <f>""</f>
        <v/>
      </c>
      <c r="G2793" t="str">
        <f>""</f>
        <v/>
      </c>
      <c r="H2793" t="str">
        <f>""</f>
        <v/>
      </c>
      <c r="I2793" s="4">
        <v>1460.43</v>
      </c>
      <c r="J2793" t="str">
        <f t="shared" si="76"/>
        <v>TEXAS COUNTY &amp; DISTRICT RET</v>
      </c>
    </row>
    <row r="2794" spans="1:10" x14ac:dyDescent="0.25">
      <c r="A2794" t="str">
        <f>""</f>
        <v/>
      </c>
      <c r="B2794" t="str">
        <f>""</f>
        <v/>
      </c>
      <c r="G2794" t="str">
        <f>""</f>
        <v/>
      </c>
      <c r="H2794" t="str">
        <f>""</f>
        <v/>
      </c>
      <c r="I2794" s="4">
        <v>399.87</v>
      </c>
      <c r="J2794" t="str">
        <f t="shared" si="76"/>
        <v>TEXAS COUNTY &amp; DISTRICT RET</v>
      </c>
    </row>
    <row r="2795" spans="1:10" x14ac:dyDescent="0.25">
      <c r="A2795" t="str">
        <f>""</f>
        <v/>
      </c>
      <c r="B2795" t="str">
        <f>""</f>
        <v/>
      </c>
      <c r="G2795" t="str">
        <f>""</f>
        <v/>
      </c>
      <c r="H2795" t="str">
        <f>""</f>
        <v/>
      </c>
      <c r="I2795" s="4">
        <v>104.92</v>
      </c>
      <c r="J2795" t="str">
        <f t="shared" si="76"/>
        <v>TEXAS COUNTY &amp; DISTRICT RET</v>
      </c>
    </row>
    <row r="2796" spans="1:10" x14ac:dyDescent="0.25">
      <c r="A2796" t="str">
        <f>""</f>
        <v/>
      </c>
      <c r="B2796" t="str">
        <f>""</f>
        <v/>
      </c>
      <c r="G2796" t="str">
        <f>""</f>
        <v/>
      </c>
      <c r="H2796" t="str">
        <f>""</f>
        <v/>
      </c>
      <c r="I2796" s="4">
        <v>2828.52</v>
      </c>
      <c r="J2796" t="str">
        <f t="shared" si="76"/>
        <v>TEXAS COUNTY &amp; DISTRICT RET</v>
      </c>
    </row>
    <row r="2797" spans="1:10" x14ac:dyDescent="0.25">
      <c r="A2797" t="str">
        <f>""</f>
        <v/>
      </c>
      <c r="B2797" t="str">
        <f>""</f>
        <v/>
      </c>
      <c r="G2797" t="str">
        <f>""</f>
        <v/>
      </c>
      <c r="H2797" t="str">
        <f>""</f>
        <v/>
      </c>
      <c r="I2797" s="4">
        <v>3686.55</v>
      </c>
      <c r="J2797" t="str">
        <f t="shared" si="76"/>
        <v>TEXAS COUNTY &amp; DISTRICT RET</v>
      </c>
    </row>
    <row r="2798" spans="1:10" x14ac:dyDescent="0.25">
      <c r="A2798" t="str">
        <f>""</f>
        <v/>
      </c>
      <c r="B2798" t="str">
        <f>""</f>
        <v/>
      </c>
      <c r="G2798" t="str">
        <f>""</f>
        <v/>
      </c>
      <c r="H2798" t="str">
        <f>""</f>
        <v/>
      </c>
      <c r="I2798" s="4">
        <v>3330.24</v>
      </c>
      <c r="J2798" t="str">
        <f t="shared" si="76"/>
        <v>TEXAS COUNTY &amp; DISTRICT RET</v>
      </c>
    </row>
    <row r="2799" spans="1:10" x14ac:dyDescent="0.25">
      <c r="A2799" t="str">
        <f>""</f>
        <v/>
      </c>
      <c r="B2799" t="str">
        <f>""</f>
        <v/>
      </c>
      <c r="G2799" t="str">
        <f>""</f>
        <v/>
      </c>
      <c r="H2799" t="str">
        <f>""</f>
        <v/>
      </c>
      <c r="I2799" s="4">
        <v>4080.34</v>
      </c>
      <c r="J2799" t="str">
        <f t="shared" si="76"/>
        <v>TEXAS COUNTY &amp; DISTRICT RET</v>
      </c>
    </row>
    <row r="2800" spans="1:10" x14ac:dyDescent="0.25">
      <c r="A2800" t="str">
        <f>""</f>
        <v/>
      </c>
      <c r="B2800" t="str">
        <f>""</f>
        <v/>
      </c>
      <c r="G2800" t="str">
        <f>""</f>
        <v/>
      </c>
      <c r="H2800" t="str">
        <f>""</f>
        <v/>
      </c>
      <c r="I2800" s="4">
        <v>472.45</v>
      </c>
      <c r="J2800" t="str">
        <f t="shared" si="76"/>
        <v>TEXAS COUNTY &amp; DISTRICT RET</v>
      </c>
    </row>
    <row r="2801" spans="1:10" x14ac:dyDescent="0.25">
      <c r="A2801" t="str">
        <f>""</f>
        <v/>
      </c>
      <c r="B2801" t="str">
        <f>""</f>
        <v/>
      </c>
      <c r="G2801" t="str">
        <f>""</f>
        <v/>
      </c>
      <c r="H2801" t="str">
        <f>""</f>
        <v/>
      </c>
      <c r="I2801" s="4">
        <v>9.51</v>
      </c>
      <c r="J2801" t="str">
        <f t="shared" si="76"/>
        <v>TEXAS COUNTY &amp; DISTRICT RET</v>
      </c>
    </row>
    <row r="2802" spans="1:10" x14ac:dyDescent="0.25">
      <c r="A2802" t="str">
        <f>""</f>
        <v/>
      </c>
      <c r="B2802" t="str">
        <f>""</f>
        <v/>
      </c>
      <c r="G2802" t="str">
        <f>""</f>
        <v/>
      </c>
      <c r="H2802" t="str">
        <f>""</f>
        <v/>
      </c>
      <c r="I2802" s="4">
        <v>35.61</v>
      </c>
      <c r="J2802" t="str">
        <f t="shared" si="76"/>
        <v>TEXAS COUNTY &amp; DISTRICT RET</v>
      </c>
    </row>
    <row r="2803" spans="1:10" x14ac:dyDescent="0.25">
      <c r="A2803" t="str">
        <f>""</f>
        <v/>
      </c>
      <c r="B2803" t="str">
        <f>""</f>
        <v/>
      </c>
      <c r="G2803" t="str">
        <f>""</f>
        <v/>
      </c>
      <c r="H2803" t="str">
        <f>""</f>
        <v/>
      </c>
      <c r="I2803" s="4">
        <v>44.46</v>
      </c>
      <c r="J2803" t="str">
        <f t="shared" si="76"/>
        <v>TEXAS COUNTY &amp; DISTRICT RET</v>
      </c>
    </row>
    <row r="2804" spans="1:10" x14ac:dyDescent="0.25">
      <c r="A2804" t="str">
        <f>""</f>
        <v/>
      </c>
      <c r="B2804" t="str">
        <f>""</f>
        <v/>
      </c>
      <c r="G2804" t="str">
        <f>""</f>
        <v/>
      </c>
      <c r="H2804" t="str">
        <f>""</f>
        <v/>
      </c>
      <c r="I2804" s="4">
        <v>743.57</v>
      </c>
      <c r="J2804" t="str">
        <f t="shared" si="76"/>
        <v>TEXAS COUNTY &amp; DISTRICT RET</v>
      </c>
    </row>
    <row r="2805" spans="1:10" x14ac:dyDescent="0.25">
      <c r="A2805" t="str">
        <f>""</f>
        <v/>
      </c>
      <c r="B2805" t="str">
        <f>""</f>
        <v/>
      </c>
      <c r="G2805" t="str">
        <f>""</f>
        <v/>
      </c>
      <c r="H2805" t="str">
        <f>""</f>
        <v/>
      </c>
      <c r="I2805" s="4">
        <v>71047.08</v>
      </c>
      <c r="J2805" t="str">
        <f t="shared" si="76"/>
        <v>TEXAS COUNTY &amp; DISTRICT RET</v>
      </c>
    </row>
    <row r="2806" spans="1:10" x14ac:dyDescent="0.25">
      <c r="A2806" t="str">
        <f>""</f>
        <v/>
      </c>
      <c r="B2806" t="str">
        <f>""</f>
        <v/>
      </c>
      <c r="G2806" t="str">
        <f>"RET202202169062"</f>
        <v>RET202202169062</v>
      </c>
      <c r="H2806" t="str">
        <f>"TEXAS COUNTY  DISTRICT RET"</f>
        <v>TEXAS COUNTY  DISTRICT RET</v>
      </c>
      <c r="I2806" s="4">
        <v>4135.28</v>
      </c>
      <c r="J2806" t="str">
        <f>"TEXAS COUNTY  DISTRICT RET"</f>
        <v>TEXAS COUNTY  DISTRICT RET</v>
      </c>
    </row>
    <row r="2807" spans="1:10" x14ac:dyDescent="0.25">
      <c r="A2807" t="str">
        <f>""</f>
        <v/>
      </c>
      <c r="B2807" t="str">
        <f>""</f>
        <v/>
      </c>
      <c r="G2807" t="str">
        <f>""</f>
        <v/>
      </c>
      <c r="H2807" t="str">
        <f>""</f>
        <v/>
      </c>
      <c r="I2807" s="4">
        <v>2361.08</v>
      </c>
      <c r="J2807" t="str">
        <f>"TEXAS COUNTY  DISTRICT RET"</f>
        <v>TEXAS COUNTY  DISTRICT RET</v>
      </c>
    </row>
    <row r="2808" spans="1:10" x14ac:dyDescent="0.25">
      <c r="A2808" t="str">
        <f>""</f>
        <v/>
      </c>
      <c r="B2808" t="str">
        <f>""</f>
        <v/>
      </c>
      <c r="G2808" t="str">
        <f>"RET202202169063"</f>
        <v>RET202202169063</v>
      </c>
      <c r="H2808" t="str">
        <f>"TEXAS COUNTY &amp; DISTRICT RET"</f>
        <v>TEXAS COUNTY &amp; DISTRICT RET</v>
      </c>
      <c r="I2808" s="4">
        <v>4689.7299999999996</v>
      </c>
      <c r="J2808" t="str">
        <f>"TEXAS COUNTY &amp; DISTRICT RET"</f>
        <v>TEXAS COUNTY &amp; DISTRICT RET</v>
      </c>
    </row>
    <row r="2809" spans="1:10" x14ac:dyDescent="0.25">
      <c r="A2809" t="str">
        <f>""</f>
        <v/>
      </c>
      <c r="B2809" t="str">
        <f>""</f>
        <v/>
      </c>
      <c r="G2809" t="str">
        <f>""</f>
        <v/>
      </c>
      <c r="H2809" t="str">
        <f>""</f>
        <v/>
      </c>
      <c r="I2809" s="4">
        <v>2677.67</v>
      </c>
      <c r="J2809" t="str">
        <f>"TEXAS COUNTY &amp; DISTRICT RET"</f>
        <v>TEXAS COUNTY &amp; DISTRICT RET</v>
      </c>
    </row>
    <row r="2810" spans="1:10" x14ac:dyDescent="0.25">
      <c r="A2810" t="str">
        <f>"01"</f>
        <v>01</v>
      </c>
      <c r="B2810" t="str">
        <f>"TCDRS"</f>
        <v>TCDRS</v>
      </c>
      <c r="C2810" t="s">
        <v>524</v>
      </c>
      <c r="D2810">
        <v>1613</v>
      </c>
      <c r="E2810" s="4">
        <v>84.66</v>
      </c>
      <c r="F2810" s="5">
        <v>44610</v>
      </c>
      <c r="G2810" t="str">
        <f>"RET202202179159"</f>
        <v>RET202202179159</v>
      </c>
      <c r="H2810" t="str">
        <f>"TEXAS COUNTY &amp; DISTRICT RET"</f>
        <v>TEXAS COUNTY &amp; DISTRICT RET</v>
      </c>
      <c r="I2810" s="4">
        <v>29.19</v>
      </c>
      <c r="J2810" t="str">
        <f>"TEXAS COUNTY &amp; DISTRICT RET"</f>
        <v>TEXAS COUNTY &amp; DISTRICT RET</v>
      </c>
    </row>
    <row r="2811" spans="1:10" x14ac:dyDescent="0.25">
      <c r="A2811" t="str">
        <f>""</f>
        <v/>
      </c>
      <c r="B2811" t="str">
        <f>""</f>
        <v/>
      </c>
      <c r="G2811" t="str">
        <f>""</f>
        <v/>
      </c>
      <c r="H2811" t="str">
        <f>""</f>
        <v/>
      </c>
      <c r="I2811" s="4">
        <v>24.7</v>
      </c>
      <c r="J2811" t="str">
        <f>"TEXAS COUNTY &amp; DISTRICT RET"</f>
        <v>TEXAS COUNTY &amp; DISTRICT RET</v>
      </c>
    </row>
    <row r="2812" spans="1:10" x14ac:dyDescent="0.25">
      <c r="A2812" t="str">
        <f>""</f>
        <v/>
      </c>
      <c r="B2812" t="str">
        <f>""</f>
        <v/>
      </c>
      <c r="G2812" t="str">
        <f>""</f>
        <v/>
      </c>
      <c r="H2812" t="str">
        <f>""</f>
        <v/>
      </c>
      <c r="I2812" s="4">
        <v>30.77</v>
      </c>
      <c r="J2812" t="str">
        <f>"TEXAS COUNTY &amp; DISTRICT RET"</f>
        <v>TEXAS COUNTY &amp; DISTRICT RET</v>
      </c>
    </row>
    <row r="2813" spans="1:10" x14ac:dyDescent="0.25">
      <c r="A2813" t="str">
        <f>"01"</f>
        <v>01</v>
      </c>
      <c r="B2813" t="str">
        <f>"002457"</f>
        <v>002457</v>
      </c>
      <c r="C2813" t="s">
        <v>525</v>
      </c>
      <c r="D2813">
        <v>48593</v>
      </c>
      <c r="E2813" s="4">
        <v>1876</v>
      </c>
      <c r="F2813" s="5">
        <v>44616</v>
      </c>
      <c r="G2813" t="str">
        <f>"202202249347"</f>
        <v>202202249347</v>
      </c>
      <c r="H2813" t="str">
        <f>"ADJ - FEBRUARY 2022"</f>
        <v>ADJ - FEBRUARY 2022</v>
      </c>
      <c r="I2813" s="4">
        <v>-4</v>
      </c>
      <c r="J2813" t="str">
        <f>"ADJ - FEBRUARY 2022"</f>
        <v>ADJ - FEBRUARY 2022</v>
      </c>
    </row>
    <row r="2814" spans="1:10" x14ac:dyDescent="0.25">
      <c r="A2814" t="str">
        <f>""</f>
        <v/>
      </c>
      <c r="B2814" t="str">
        <f>""</f>
        <v/>
      </c>
      <c r="G2814" t="str">
        <f>"LEG202202028715"</f>
        <v>LEG202202028715</v>
      </c>
      <c r="H2814" t="str">
        <f>"TEXAS LEGAL PROTECTION PLAN"</f>
        <v>TEXAS LEGAL PROTECTION PLAN</v>
      </c>
      <c r="I2814" s="4">
        <v>366</v>
      </c>
      <c r="J2814" t="str">
        <f>"TEXAS LEGAL PROTECTION PLAN"</f>
        <v>TEXAS LEGAL PROTECTION PLAN</v>
      </c>
    </row>
    <row r="2815" spans="1:10" x14ac:dyDescent="0.25">
      <c r="A2815" t="str">
        <f>""</f>
        <v/>
      </c>
      <c r="B2815" t="str">
        <f>""</f>
        <v/>
      </c>
      <c r="G2815" t="str">
        <f>"LEG202202169060"</f>
        <v>LEG202202169060</v>
      </c>
      <c r="H2815" t="str">
        <f>"TEXAS LEGAL PROTECTION PLAN"</f>
        <v>TEXAS LEGAL PROTECTION PLAN</v>
      </c>
      <c r="I2815" s="4">
        <v>378</v>
      </c>
      <c r="J2815" t="str">
        <f>"TEXAS LEGAL PROTECTION PLAN"</f>
        <v>TEXAS LEGAL PROTECTION PLAN</v>
      </c>
    </row>
    <row r="2816" spans="1:10" x14ac:dyDescent="0.25">
      <c r="A2816" t="str">
        <f>""</f>
        <v/>
      </c>
      <c r="B2816" t="str">
        <f>""</f>
        <v/>
      </c>
      <c r="G2816" t="str">
        <f>"LGF202202028715"</f>
        <v>LGF202202028715</v>
      </c>
      <c r="H2816" t="str">
        <f>"TEXAS LEGAL PROTECTION PLAN"</f>
        <v>TEXAS LEGAL PROTECTION PLAN</v>
      </c>
      <c r="I2816" s="4">
        <v>568</v>
      </c>
      <c r="J2816" t="str">
        <f>"TEXAS LEGAL PROTECTION PLAN"</f>
        <v>TEXAS LEGAL PROTECTION PLAN</v>
      </c>
    </row>
    <row r="2817" spans="1:10" x14ac:dyDescent="0.25">
      <c r="A2817" t="str">
        <f>""</f>
        <v/>
      </c>
      <c r="B2817" t="str">
        <f>""</f>
        <v/>
      </c>
      <c r="G2817" t="str">
        <f>"LGF202202169060"</f>
        <v>LGF202202169060</v>
      </c>
      <c r="H2817" t="str">
        <f>"TEXAS LEGAL PROTECTION PLAN"</f>
        <v>TEXAS LEGAL PROTECTION PLAN</v>
      </c>
      <c r="I2817" s="4">
        <v>568</v>
      </c>
      <c r="J2817" t="str">
        <f>"TEXAS LEGAL PROTECTION PLAN"</f>
        <v>TEXAS LEGAL PROTECTION PLAN</v>
      </c>
    </row>
    <row r="2818" spans="1:10" x14ac:dyDescent="0.25">
      <c r="A2818" t="str">
        <f>"01"</f>
        <v>01</v>
      </c>
      <c r="B2818" t="str">
        <f>"006488"</f>
        <v>006488</v>
      </c>
      <c r="C2818" t="s">
        <v>526</v>
      </c>
      <c r="D2818">
        <v>1626</v>
      </c>
      <c r="E2818" s="4">
        <v>43.98</v>
      </c>
      <c r="F2818" s="5">
        <v>44614</v>
      </c>
      <c r="G2818" t="str">
        <f>"202202169077"</f>
        <v>202202169077</v>
      </c>
      <c r="H2818" t="str">
        <f>"ACCT#72-5613 / 02032022"</f>
        <v>ACCT#72-5613 / 02032022</v>
      </c>
      <c r="I2818" s="4">
        <v>43.98</v>
      </c>
      <c r="J2818" t="str">
        <f t="shared" ref="J2818:J2871" si="77">"ACCT#72-5613 / 02032022"</f>
        <v>ACCT#72-5613 / 02032022</v>
      </c>
    </row>
    <row r="2819" spans="1:10" x14ac:dyDescent="0.25">
      <c r="A2819" t="str">
        <f>"01"</f>
        <v>01</v>
      </c>
      <c r="B2819" t="str">
        <f>"BANDB"</f>
        <v>BANDB</v>
      </c>
      <c r="C2819" t="s">
        <v>527</v>
      </c>
      <c r="D2819">
        <v>1635</v>
      </c>
      <c r="E2819" s="4">
        <v>213.11</v>
      </c>
      <c r="F2819" s="5">
        <v>44614</v>
      </c>
      <c r="G2819" t="str">
        <f>"202202169086"</f>
        <v>202202169086</v>
      </c>
      <c r="H2819" t="str">
        <f>"ACCT#72-5613 / 02032022"</f>
        <v>ACCT#72-5613 / 02032022</v>
      </c>
      <c r="I2819" s="4">
        <v>164.75</v>
      </c>
      <c r="J2819" t="str">
        <f t="shared" si="77"/>
        <v>ACCT#72-5613 / 02032022</v>
      </c>
    </row>
    <row r="2820" spans="1:10" x14ac:dyDescent="0.25">
      <c r="A2820" t="str">
        <f>""</f>
        <v/>
      </c>
      <c r="B2820" t="str">
        <f>""</f>
        <v/>
      </c>
      <c r="G2820" t="str">
        <f>""</f>
        <v/>
      </c>
      <c r="H2820" t="str">
        <f>""</f>
        <v/>
      </c>
      <c r="I2820" s="4">
        <v>48.36</v>
      </c>
      <c r="J2820" t="str">
        <f t="shared" si="77"/>
        <v>ACCT#72-5613 / 02032022</v>
      </c>
    </row>
    <row r="2821" spans="1:10" x14ac:dyDescent="0.25">
      <c r="A2821" t="str">
        <f>"01"</f>
        <v>01</v>
      </c>
      <c r="B2821" t="str">
        <f>"BASCO"</f>
        <v>BASCO</v>
      </c>
      <c r="C2821" t="s">
        <v>42</v>
      </c>
      <c r="D2821">
        <v>1636</v>
      </c>
      <c r="E2821" s="4">
        <v>18.13</v>
      </c>
      <c r="F2821" s="5">
        <v>44614</v>
      </c>
      <c r="G2821" t="str">
        <f>"202202169087"</f>
        <v>202202169087</v>
      </c>
      <c r="H2821" t="str">
        <f>"ACCT#72-5613 / 02032022"</f>
        <v>ACCT#72-5613 / 02032022</v>
      </c>
      <c r="I2821" s="4">
        <v>18.13</v>
      </c>
      <c r="J2821" t="str">
        <f t="shared" si="77"/>
        <v>ACCT#72-5613 / 02032022</v>
      </c>
    </row>
    <row r="2822" spans="1:10" x14ac:dyDescent="0.25">
      <c r="A2822" t="str">
        <f>"01"</f>
        <v>01</v>
      </c>
      <c r="B2822" t="str">
        <f>"005795"</f>
        <v>005795</v>
      </c>
      <c r="C2822" t="s">
        <v>528</v>
      </c>
      <c r="D2822">
        <v>1623</v>
      </c>
      <c r="E2822" s="4">
        <v>189.8</v>
      </c>
      <c r="F2822" s="5">
        <v>44614</v>
      </c>
      <c r="G2822" t="str">
        <f>"202202169074"</f>
        <v>202202169074</v>
      </c>
      <c r="H2822" t="str">
        <f>"ACCT#72-5613 / 02032022"</f>
        <v>ACCT#72-5613 / 02032022</v>
      </c>
      <c r="I2822" s="4">
        <v>189.8</v>
      </c>
      <c r="J2822" t="str">
        <f t="shared" si="77"/>
        <v>ACCT#72-5613 / 02032022</v>
      </c>
    </row>
    <row r="2823" spans="1:10" x14ac:dyDescent="0.25">
      <c r="A2823" t="str">
        <f>"01"</f>
        <v>01</v>
      </c>
      <c r="B2823" t="str">
        <f>"006872"</f>
        <v>006872</v>
      </c>
      <c r="C2823" t="s">
        <v>529</v>
      </c>
      <c r="D2823">
        <v>1634</v>
      </c>
      <c r="E2823" s="4">
        <v>119.4</v>
      </c>
      <c r="F2823" s="5">
        <v>44614</v>
      </c>
      <c r="G2823" t="str">
        <f>"202202169085"</f>
        <v>202202169085</v>
      </c>
      <c r="H2823" t="str">
        <f>"ACCT#72-5613 / 02032022"</f>
        <v>ACCT#72-5613 / 02032022</v>
      </c>
      <c r="I2823" s="4">
        <v>119.4</v>
      </c>
      <c r="J2823" t="str">
        <f t="shared" si="77"/>
        <v>ACCT#72-5613 / 02032022</v>
      </c>
    </row>
    <row r="2824" spans="1:10" x14ac:dyDescent="0.25">
      <c r="A2824" t="str">
        <f>"01"</f>
        <v>01</v>
      </c>
      <c r="B2824" t="str">
        <f>"006607"</f>
        <v>006607</v>
      </c>
      <c r="C2824" t="s">
        <v>530</v>
      </c>
      <c r="D2824">
        <v>1627</v>
      </c>
      <c r="E2824" s="4">
        <v>199</v>
      </c>
      <c r="F2824" s="5">
        <v>44614</v>
      </c>
      <c r="G2824" t="str">
        <f>"202202169078"</f>
        <v>202202169078</v>
      </c>
      <c r="H2824" t="str">
        <f>"ACCT#72-5613 / 02032022"</f>
        <v>ACCT#72-5613 / 02032022</v>
      </c>
      <c r="I2824" s="4">
        <v>199</v>
      </c>
      <c r="J2824" t="str">
        <f t="shared" si="77"/>
        <v>ACCT#72-5613 / 02032022</v>
      </c>
    </row>
    <row r="2825" spans="1:10" x14ac:dyDescent="0.25">
      <c r="A2825" t="str">
        <f>"01"</f>
        <v>01</v>
      </c>
      <c r="B2825" t="str">
        <f>"003136"</f>
        <v>003136</v>
      </c>
      <c r="C2825" t="s">
        <v>531</v>
      </c>
      <c r="D2825">
        <v>1620</v>
      </c>
      <c r="E2825" s="4">
        <v>532.36</v>
      </c>
      <c r="F2825" s="5">
        <v>44614</v>
      </c>
      <c r="G2825" t="str">
        <f>"202202169071"</f>
        <v>202202169071</v>
      </c>
      <c r="H2825" t="str">
        <f>"ACCT#72-5613 / 02032022"</f>
        <v>ACCT#72-5613 / 02032022</v>
      </c>
      <c r="I2825" s="4">
        <v>24.36</v>
      </c>
      <c r="J2825" t="str">
        <f t="shared" si="77"/>
        <v>ACCT#72-5613 / 02032022</v>
      </c>
    </row>
    <row r="2826" spans="1:10" x14ac:dyDescent="0.25">
      <c r="A2826" t="str">
        <f>""</f>
        <v/>
      </c>
      <c r="B2826" t="str">
        <f>""</f>
        <v/>
      </c>
      <c r="G2826" t="str">
        <f>""</f>
        <v/>
      </c>
      <c r="H2826" t="str">
        <f>""</f>
        <v/>
      </c>
      <c r="I2826" s="4">
        <v>33.51</v>
      </c>
      <c r="J2826" t="str">
        <f t="shared" si="77"/>
        <v>ACCT#72-5613 / 02032022</v>
      </c>
    </row>
    <row r="2827" spans="1:10" x14ac:dyDescent="0.25">
      <c r="A2827" t="str">
        <f>""</f>
        <v/>
      </c>
      <c r="B2827" t="str">
        <f>""</f>
        <v/>
      </c>
      <c r="G2827" t="str">
        <f>""</f>
        <v/>
      </c>
      <c r="H2827" t="str">
        <f>""</f>
        <v/>
      </c>
      <c r="I2827" s="4">
        <v>10.26</v>
      </c>
      <c r="J2827" t="str">
        <f t="shared" si="77"/>
        <v>ACCT#72-5613 / 02032022</v>
      </c>
    </row>
    <row r="2828" spans="1:10" x14ac:dyDescent="0.25">
      <c r="A2828" t="str">
        <f>""</f>
        <v/>
      </c>
      <c r="B2828" t="str">
        <f>""</f>
        <v/>
      </c>
      <c r="G2828" t="str">
        <f>""</f>
        <v/>
      </c>
      <c r="H2828" t="str">
        <f>""</f>
        <v/>
      </c>
      <c r="I2828" s="4">
        <v>4.22</v>
      </c>
      <c r="J2828" t="str">
        <f t="shared" si="77"/>
        <v>ACCT#72-5613 / 02032022</v>
      </c>
    </row>
    <row r="2829" spans="1:10" x14ac:dyDescent="0.25">
      <c r="A2829" t="str">
        <f>""</f>
        <v/>
      </c>
      <c r="B2829" t="str">
        <f>""</f>
        <v/>
      </c>
      <c r="G2829" t="str">
        <f>""</f>
        <v/>
      </c>
      <c r="H2829" t="str">
        <f>""</f>
        <v/>
      </c>
      <c r="I2829" s="4">
        <v>111.24</v>
      </c>
      <c r="J2829" t="str">
        <f t="shared" si="77"/>
        <v>ACCT#72-5613 / 02032022</v>
      </c>
    </row>
    <row r="2830" spans="1:10" x14ac:dyDescent="0.25">
      <c r="A2830" t="str">
        <f>""</f>
        <v/>
      </c>
      <c r="B2830" t="str">
        <f>""</f>
        <v/>
      </c>
      <c r="G2830" t="str">
        <f>""</f>
        <v/>
      </c>
      <c r="H2830" t="str">
        <f>""</f>
        <v/>
      </c>
      <c r="I2830" s="4">
        <v>348.77</v>
      </c>
      <c r="J2830" t="str">
        <f t="shared" si="77"/>
        <v>ACCT#72-5613 / 02032022</v>
      </c>
    </row>
    <row r="2831" spans="1:10" x14ac:dyDescent="0.25">
      <c r="A2831" t="str">
        <f>"01"</f>
        <v>01</v>
      </c>
      <c r="B2831" t="str">
        <f>"T5686"</f>
        <v>T5686</v>
      </c>
      <c r="C2831" t="s">
        <v>113</v>
      </c>
      <c r="D2831">
        <v>1642</v>
      </c>
      <c r="E2831" s="4">
        <v>11.67</v>
      </c>
      <c r="F2831" s="5">
        <v>44614</v>
      </c>
      <c r="G2831" t="str">
        <f>"202202169093"</f>
        <v>202202169093</v>
      </c>
      <c r="H2831" t="str">
        <f>"ACCT#72-5613 / 02032022"</f>
        <v>ACCT#72-5613 / 02032022</v>
      </c>
      <c r="I2831" s="4">
        <v>11.67</v>
      </c>
      <c r="J2831" t="str">
        <f t="shared" si="77"/>
        <v>ACCT#72-5613 / 02032022</v>
      </c>
    </row>
    <row r="2832" spans="1:10" x14ac:dyDescent="0.25">
      <c r="A2832" t="str">
        <f>"01"</f>
        <v>01</v>
      </c>
      <c r="B2832" t="str">
        <f>"000573"</f>
        <v>000573</v>
      </c>
      <c r="C2832" t="s">
        <v>115</v>
      </c>
      <c r="D2832">
        <v>1615</v>
      </c>
      <c r="E2832" s="4">
        <v>1046.76</v>
      </c>
      <c r="F2832" s="5">
        <v>44614</v>
      </c>
      <c r="G2832" t="str">
        <f>"202202169067"</f>
        <v>202202169067</v>
      </c>
      <c r="H2832" t="str">
        <f>"ACCT#72-5613 / 02032022"</f>
        <v>ACCT#72-5613 / 02032022</v>
      </c>
      <c r="I2832" s="4">
        <v>391.53</v>
      </c>
      <c r="J2832" t="str">
        <f t="shared" si="77"/>
        <v>ACCT#72-5613 / 02032022</v>
      </c>
    </row>
    <row r="2833" spans="1:10" x14ac:dyDescent="0.25">
      <c r="A2833" t="str">
        <f>""</f>
        <v/>
      </c>
      <c r="B2833" t="str">
        <f>""</f>
        <v/>
      </c>
      <c r="G2833" t="str">
        <f>""</f>
        <v/>
      </c>
      <c r="H2833" t="str">
        <f>""</f>
        <v/>
      </c>
      <c r="I2833" s="4">
        <v>655.23</v>
      </c>
      <c r="J2833" t="str">
        <f t="shared" si="77"/>
        <v>ACCT#72-5613 / 02032022</v>
      </c>
    </row>
    <row r="2834" spans="1:10" x14ac:dyDescent="0.25">
      <c r="A2834" t="str">
        <f t="shared" ref="A2834:A2840" si="78">"01"</f>
        <v>01</v>
      </c>
      <c r="B2834" t="str">
        <f>"EC"</f>
        <v>EC</v>
      </c>
      <c r="C2834" t="s">
        <v>126</v>
      </c>
      <c r="D2834">
        <v>1637</v>
      </c>
      <c r="E2834" s="4">
        <v>41</v>
      </c>
      <c r="F2834" s="5">
        <v>44614</v>
      </c>
      <c r="G2834" t="str">
        <f>"202202169088"</f>
        <v>202202169088</v>
      </c>
      <c r="H2834" t="str">
        <f t="shared" ref="H2834:H2840" si="79">"ACCT#72-5613 / 02032022"</f>
        <v>ACCT#72-5613 / 02032022</v>
      </c>
      <c r="I2834" s="4">
        <v>41</v>
      </c>
      <c r="J2834" t="str">
        <f t="shared" si="77"/>
        <v>ACCT#72-5613 / 02032022</v>
      </c>
    </row>
    <row r="2835" spans="1:10" x14ac:dyDescent="0.25">
      <c r="A2835" t="str">
        <f t="shared" si="78"/>
        <v>01</v>
      </c>
      <c r="B2835" t="str">
        <f>"003027"</f>
        <v>003027</v>
      </c>
      <c r="C2835" t="s">
        <v>129</v>
      </c>
      <c r="D2835">
        <v>1618</v>
      </c>
      <c r="E2835" s="4">
        <v>47.83</v>
      </c>
      <c r="F2835" s="5">
        <v>44614</v>
      </c>
      <c r="G2835" t="str">
        <f>"202202169069"</f>
        <v>202202169069</v>
      </c>
      <c r="H2835" t="str">
        <f t="shared" si="79"/>
        <v>ACCT#72-5613 / 02032022</v>
      </c>
      <c r="I2835" s="4">
        <v>47.83</v>
      </c>
      <c r="J2835" t="str">
        <f t="shared" si="77"/>
        <v>ACCT#72-5613 / 02032022</v>
      </c>
    </row>
    <row r="2836" spans="1:10" x14ac:dyDescent="0.25">
      <c r="A2836" t="str">
        <f t="shared" si="78"/>
        <v>01</v>
      </c>
      <c r="B2836" t="str">
        <f>"T8083"</f>
        <v>T8083</v>
      </c>
      <c r="C2836" t="s">
        <v>532</v>
      </c>
      <c r="D2836">
        <v>1645</v>
      </c>
      <c r="E2836" s="4">
        <v>240.12</v>
      </c>
      <c r="F2836" s="5">
        <v>44614</v>
      </c>
      <c r="G2836" t="str">
        <f>"202202169096"</f>
        <v>202202169096</v>
      </c>
      <c r="H2836" t="str">
        <f t="shared" si="79"/>
        <v>ACCT#72-5613 / 02032022</v>
      </c>
      <c r="I2836" s="4">
        <v>240.12</v>
      </c>
      <c r="J2836" t="str">
        <f t="shared" si="77"/>
        <v>ACCT#72-5613 / 02032022</v>
      </c>
    </row>
    <row r="2837" spans="1:10" x14ac:dyDescent="0.25">
      <c r="A2837" t="str">
        <f t="shared" si="78"/>
        <v>01</v>
      </c>
      <c r="B2837" t="str">
        <f>"006696"</f>
        <v>006696</v>
      </c>
      <c r="C2837" t="s">
        <v>533</v>
      </c>
      <c r="D2837">
        <v>1628</v>
      </c>
      <c r="E2837" s="4">
        <v>188.09</v>
      </c>
      <c r="F2837" s="5">
        <v>44614</v>
      </c>
      <c r="G2837" t="str">
        <f>"202202169079"</f>
        <v>202202169079</v>
      </c>
      <c r="H2837" t="str">
        <f t="shared" si="79"/>
        <v>ACCT#72-5613 / 02032022</v>
      </c>
      <c r="I2837" s="4">
        <v>188.09</v>
      </c>
      <c r="J2837" t="str">
        <f t="shared" si="77"/>
        <v>ACCT#72-5613 / 02032022</v>
      </c>
    </row>
    <row r="2838" spans="1:10" x14ac:dyDescent="0.25">
      <c r="A2838" t="str">
        <f t="shared" si="78"/>
        <v>01</v>
      </c>
      <c r="B2838" t="str">
        <f>"T5758"</f>
        <v>T5758</v>
      </c>
      <c r="C2838" t="s">
        <v>534</v>
      </c>
      <c r="D2838">
        <v>1643</v>
      </c>
      <c r="E2838" s="4">
        <v>45.96</v>
      </c>
      <c r="F2838" s="5">
        <v>44614</v>
      </c>
      <c r="G2838" t="str">
        <f>"202202169094"</f>
        <v>202202169094</v>
      </c>
      <c r="H2838" t="str">
        <f t="shared" si="79"/>
        <v>ACCT#72-5613 / 02032022</v>
      </c>
      <c r="I2838" s="4">
        <v>45.96</v>
      </c>
      <c r="J2838" t="str">
        <f t="shared" si="77"/>
        <v>ACCT#72-5613 / 02032022</v>
      </c>
    </row>
    <row r="2839" spans="1:10" x14ac:dyDescent="0.25">
      <c r="A2839" t="str">
        <f t="shared" si="78"/>
        <v>01</v>
      </c>
      <c r="B2839" t="str">
        <f>"006867"</f>
        <v>006867</v>
      </c>
      <c r="C2839" t="s">
        <v>535</v>
      </c>
      <c r="D2839">
        <v>1631</v>
      </c>
      <c r="E2839" s="4">
        <v>123.99</v>
      </c>
      <c r="F2839" s="5">
        <v>44614</v>
      </c>
      <c r="G2839" t="str">
        <f>"202202169082"</f>
        <v>202202169082</v>
      </c>
      <c r="H2839" t="str">
        <f t="shared" si="79"/>
        <v>ACCT#72-5613 / 02032022</v>
      </c>
      <c r="I2839" s="4">
        <v>123.99</v>
      </c>
      <c r="J2839" t="str">
        <f t="shared" si="77"/>
        <v>ACCT#72-5613 / 02032022</v>
      </c>
    </row>
    <row r="2840" spans="1:10" x14ac:dyDescent="0.25">
      <c r="A2840" t="str">
        <f t="shared" si="78"/>
        <v>01</v>
      </c>
      <c r="B2840" t="str">
        <f>"003056"</f>
        <v>003056</v>
      </c>
      <c r="C2840" t="s">
        <v>163</v>
      </c>
      <c r="D2840">
        <v>1619</v>
      </c>
      <c r="E2840" s="4">
        <v>890.47</v>
      </c>
      <c r="F2840" s="5">
        <v>44614</v>
      </c>
      <c r="G2840" t="str">
        <f>"202202169070"</f>
        <v>202202169070</v>
      </c>
      <c r="H2840" t="str">
        <f t="shared" si="79"/>
        <v>ACCT#72-5613 / 02032022</v>
      </c>
      <c r="I2840" s="4">
        <v>332.95</v>
      </c>
      <c r="J2840" t="str">
        <f t="shared" si="77"/>
        <v>ACCT#72-5613 / 02032022</v>
      </c>
    </row>
    <row r="2841" spans="1:10" x14ac:dyDescent="0.25">
      <c r="A2841" t="str">
        <f>""</f>
        <v/>
      </c>
      <c r="B2841" t="str">
        <f>""</f>
        <v/>
      </c>
      <c r="G2841" t="str">
        <f>""</f>
        <v/>
      </c>
      <c r="H2841" t="str">
        <f>""</f>
        <v/>
      </c>
      <c r="I2841" s="4">
        <v>365.66</v>
      </c>
      <c r="J2841" t="str">
        <f t="shared" si="77"/>
        <v>ACCT#72-5613 / 02032022</v>
      </c>
    </row>
    <row r="2842" spans="1:10" x14ac:dyDescent="0.25">
      <c r="A2842" t="str">
        <f>""</f>
        <v/>
      </c>
      <c r="B2842" t="str">
        <f>""</f>
        <v/>
      </c>
      <c r="G2842" t="str">
        <f>""</f>
        <v/>
      </c>
      <c r="H2842" t="str">
        <f>""</f>
        <v/>
      </c>
      <c r="I2842" s="4">
        <v>161.91999999999999</v>
      </c>
      <c r="J2842" t="str">
        <f t="shared" si="77"/>
        <v>ACCT#72-5613 / 02032022</v>
      </c>
    </row>
    <row r="2843" spans="1:10" x14ac:dyDescent="0.25">
      <c r="A2843" t="str">
        <f>""</f>
        <v/>
      </c>
      <c r="B2843" t="str">
        <f>""</f>
        <v/>
      </c>
      <c r="G2843" t="str">
        <f>""</f>
        <v/>
      </c>
      <c r="H2843" t="str">
        <f>""</f>
        <v/>
      </c>
      <c r="I2843" s="4">
        <v>29.94</v>
      </c>
      <c r="J2843" t="str">
        <f t="shared" si="77"/>
        <v>ACCT#72-5613 / 02032022</v>
      </c>
    </row>
    <row r="2844" spans="1:10" x14ac:dyDescent="0.25">
      <c r="A2844" t="str">
        <f>"01"</f>
        <v>01</v>
      </c>
      <c r="B2844" t="str">
        <f>"006870"</f>
        <v>006870</v>
      </c>
      <c r="C2844" t="s">
        <v>536</v>
      </c>
      <c r="D2844">
        <v>1633</v>
      </c>
      <c r="E2844" s="4">
        <v>348</v>
      </c>
      <c r="F2844" s="5">
        <v>44614</v>
      </c>
      <c r="G2844" t="str">
        <f>"202202169084"</f>
        <v>202202169084</v>
      </c>
      <c r="H2844" t="str">
        <f>"ACCT#72-5613 / 02032022"</f>
        <v>ACCT#72-5613 / 02032022</v>
      </c>
      <c r="I2844" s="4">
        <v>348</v>
      </c>
      <c r="J2844" t="str">
        <f t="shared" si="77"/>
        <v>ACCT#72-5613 / 02032022</v>
      </c>
    </row>
    <row r="2845" spans="1:10" x14ac:dyDescent="0.25">
      <c r="A2845" t="str">
        <f>"01"</f>
        <v>01</v>
      </c>
      <c r="B2845" t="str">
        <f>"000888"</f>
        <v>000888</v>
      </c>
      <c r="C2845" t="s">
        <v>537</v>
      </c>
      <c r="D2845">
        <v>1616</v>
      </c>
      <c r="E2845" s="4">
        <v>884.97</v>
      </c>
      <c r="F2845" s="5">
        <v>44614</v>
      </c>
      <c r="G2845" t="str">
        <f>"202202169068"</f>
        <v>202202169068</v>
      </c>
      <c r="H2845" t="str">
        <f>"ACCT#72-5613 / 02032022"</f>
        <v>ACCT#72-5613 / 02032022</v>
      </c>
      <c r="I2845" s="4">
        <v>187.12</v>
      </c>
      <c r="J2845" t="str">
        <f t="shared" si="77"/>
        <v>ACCT#72-5613 / 02032022</v>
      </c>
    </row>
    <row r="2846" spans="1:10" x14ac:dyDescent="0.25">
      <c r="A2846" t="str">
        <f>""</f>
        <v/>
      </c>
      <c r="B2846" t="str">
        <f>""</f>
        <v/>
      </c>
      <c r="G2846" t="str">
        <f>""</f>
        <v/>
      </c>
      <c r="H2846" t="str">
        <f>""</f>
        <v/>
      </c>
      <c r="I2846" s="4">
        <v>143.84</v>
      </c>
      <c r="J2846" t="str">
        <f t="shared" si="77"/>
        <v>ACCT#72-5613 / 02032022</v>
      </c>
    </row>
    <row r="2847" spans="1:10" x14ac:dyDescent="0.25">
      <c r="A2847" t="str">
        <f>""</f>
        <v/>
      </c>
      <c r="B2847" t="str">
        <f>""</f>
        <v/>
      </c>
      <c r="G2847" t="str">
        <f>""</f>
        <v/>
      </c>
      <c r="H2847" t="str">
        <f>""</f>
        <v/>
      </c>
      <c r="I2847" s="4">
        <v>142.47</v>
      </c>
      <c r="J2847" t="str">
        <f t="shared" si="77"/>
        <v>ACCT#72-5613 / 02032022</v>
      </c>
    </row>
    <row r="2848" spans="1:10" x14ac:dyDescent="0.25">
      <c r="A2848" t="str">
        <f>""</f>
        <v/>
      </c>
      <c r="B2848" t="str">
        <f>""</f>
        <v/>
      </c>
      <c r="G2848" t="str">
        <f>""</f>
        <v/>
      </c>
      <c r="H2848" t="str">
        <f>""</f>
        <v/>
      </c>
      <c r="I2848" s="4">
        <v>354.62</v>
      </c>
      <c r="J2848" t="str">
        <f t="shared" si="77"/>
        <v>ACCT#72-5613 / 02032022</v>
      </c>
    </row>
    <row r="2849" spans="1:10" x14ac:dyDescent="0.25">
      <c r="A2849" t="str">
        <f>""</f>
        <v/>
      </c>
      <c r="B2849" t="str">
        <f>""</f>
        <v/>
      </c>
      <c r="G2849" t="str">
        <f>""</f>
        <v/>
      </c>
      <c r="H2849" t="str">
        <f>""</f>
        <v/>
      </c>
      <c r="I2849" s="4">
        <v>50.94</v>
      </c>
      <c r="J2849" t="str">
        <f t="shared" si="77"/>
        <v>ACCT#72-5613 / 02032022</v>
      </c>
    </row>
    <row r="2850" spans="1:10" x14ac:dyDescent="0.25">
      <c r="A2850" t="str">
        <f>""</f>
        <v/>
      </c>
      <c r="B2850" t="str">
        <f>""</f>
        <v/>
      </c>
      <c r="G2850" t="str">
        <f>""</f>
        <v/>
      </c>
      <c r="H2850" t="str">
        <f>""</f>
        <v/>
      </c>
      <c r="I2850" s="4">
        <v>5.98</v>
      </c>
      <c r="J2850" t="str">
        <f t="shared" si="77"/>
        <v>ACCT#72-5613 / 02032022</v>
      </c>
    </row>
    <row r="2851" spans="1:10" x14ac:dyDescent="0.25">
      <c r="A2851" t="str">
        <f>"01"</f>
        <v>01</v>
      </c>
      <c r="B2851" t="str">
        <f>"MCCOY"</f>
        <v>MCCOY</v>
      </c>
      <c r="C2851" t="s">
        <v>204</v>
      </c>
      <c r="D2851">
        <v>1639</v>
      </c>
      <c r="E2851" s="4">
        <v>69.650000000000006</v>
      </c>
      <c r="F2851" s="5">
        <v>44614</v>
      </c>
      <c r="G2851" t="str">
        <f>"202202169090"</f>
        <v>202202169090</v>
      </c>
      <c r="H2851" t="str">
        <f>"ACCT#72-5613 / 02032022"</f>
        <v>ACCT#72-5613 / 02032022</v>
      </c>
      <c r="I2851" s="4">
        <v>55.94</v>
      </c>
      <c r="J2851" t="str">
        <f t="shared" si="77"/>
        <v>ACCT#72-5613 / 02032022</v>
      </c>
    </row>
    <row r="2852" spans="1:10" x14ac:dyDescent="0.25">
      <c r="A2852" t="str">
        <f>""</f>
        <v/>
      </c>
      <c r="B2852" t="str">
        <f>""</f>
        <v/>
      </c>
      <c r="G2852" t="str">
        <f>""</f>
        <v/>
      </c>
      <c r="H2852" t="str">
        <f>""</f>
        <v/>
      </c>
      <c r="I2852" s="4">
        <v>13.71</v>
      </c>
      <c r="J2852" t="str">
        <f t="shared" si="77"/>
        <v>ACCT#72-5613 / 02032022</v>
      </c>
    </row>
    <row r="2853" spans="1:10" x14ac:dyDescent="0.25">
      <c r="A2853" t="str">
        <f t="shared" ref="A2853:A2866" si="80">"01"</f>
        <v>01</v>
      </c>
      <c r="B2853" t="str">
        <f>"001701"</f>
        <v>001701</v>
      </c>
      <c r="C2853" t="s">
        <v>538</v>
      </c>
      <c r="D2853">
        <v>1617</v>
      </c>
      <c r="E2853" s="4">
        <v>219</v>
      </c>
      <c r="F2853" s="5">
        <v>44614</v>
      </c>
      <c r="G2853" t="str">
        <f>"202202169098"</f>
        <v>202202169098</v>
      </c>
      <c r="H2853" t="str">
        <f t="shared" ref="H2853:H2866" si="81">"ACCT#72-5613 / 02032022"</f>
        <v>ACCT#72-5613 / 02032022</v>
      </c>
      <c r="I2853" s="4">
        <v>219</v>
      </c>
      <c r="J2853" t="str">
        <f t="shared" si="77"/>
        <v>ACCT#72-5613 / 02032022</v>
      </c>
    </row>
    <row r="2854" spans="1:10" x14ac:dyDescent="0.25">
      <c r="A2854" t="str">
        <f t="shared" si="80"/>
        <v>01</v>
      </c>
      <c r="B2854" t="str">
        <f>"006868"</f>
        <v>006868</v>
      </c>
      <c r="C2854" t="s">
        <v>539</v>
      </c>
      <c r="D2854">
        <v>1632</v>
      </c>
      <c r="E2854" s="4">
        <v>504.15</v>
      </c>
      <c r="F2854" s="5">
        <v>44614</v>
      </c>
      <c r="G2854" t="str">
        <f>"202202169083"</f>
        <v>202202169083</v>
      </c>
      <c r="H2854" t="str">
        <f t="shared" si="81"/>
        <v>ACCT#72-5613 / 02032022</v>
      </c>
      <c r="I2854" s="4">
        <v>504.15</v>
      </c>
      <c r="J2854" t="str">
        <f t="shared" si="77"/>
        <v>ACCT#72-5613 / 02032022</v>
      </c>
    </row>
    <row r="2855" spans="1:10" x14ac:dyDescent="0.25">
      <c r="A2855" t="str">
        <f t="shared" si="80"/>
        <v>01</v>
      </c>
      <c r="B2855" t="str">
        <f>"PM"</f>
        <v>PM</v>
      </c>
      <c r="C2855" t="s">
        <v>540</v>
      </c>
      <c r="D2855">
        <v>1640</v>
      </c>
      <c r="E2855" s="4">
        <v>1742</v>
      </c>
      <c r="F2855" s="5">
        <v>44614</v>
      </c>
      <c r="G2855" t="str">
        <f>"202202169092"</f>
        <v>202202169092</v>
      </c>
      <c r="H2855" t="str">
        <f t="shared" si="81"/>
        <v>ACCT#72-5613 / 02032022</v>
      </c>
      <c r="I2855" s="4">
        <v>1742</v>
      </c>
      <c r="J2855" t="str">
        <f t="shared" si="77"/>
        <v>ACCT#72-5613 / 02032022</v>
      </c>
    </row>
    <row r="2856" spans="1:10" x14ac:dyDescent="0.25">
      <c r="A2856" t="str">
        <f t="shared" si="80"/>
        <v>01</v>
      </c>
      <c r="B2856" t="str">
        <f>"006445"</f>
        <v>006445</v>
      </c>
      <c r="C2856" t="s">
        <v>541</v>
      </c>
      <c r="D2856">
        <v>1625</v>
      </c>
      <c r="E2856" s="4">
        <v>19.989999999999998</v>
      </c>
      <c r="F2856" s="5">
        <v>44614</v>
      </c>
      <c r="G2856" t="str">
        <f>"202202169076"</f>
        <v>202202169076</v>
      </c>
      <c r="H2856" t="str">
        <f t="shared" si="81"/>
        <v>ACCT#72-5613 / 02032022</v>
      </c>
      <c r="I2856" s="4">
        <v>19.989999999999998</v>
      </c>
      <c r="J2856" t="str">
        <f t="shared" si="77"/>
        <v>ACCT#72-5613 / 02032022</v>
      </c>
    </row>
    <row r="2857" spans="1:10" x14ac:dyDescent="0.25">
      <c r="A2857" t="str">
        <f t="shared" si="80"/>
        <v>01</v>
      </c>
      <c r="B2857" t="str">
        <f>"MADDEN"</f>
        <v>MADDEN</v>
      </c>
      <c r="C2857" t="s">
        <v>542</v>
      </c>
      <c r="D2857">
        <v>1638</v>
      </c>
      <c r="E2857" s="4">
        <v>2109.2600000000002</v>
      </c>
      <c r="F2857" s="5">
        <v>44614</v>
      </c>
      <c r="G2857" t="str">
        <f>"202202169089"</f>
        <v>202202169089</v>
      </c>
      <c r="H2857" t="str">
        <f t="shared" si="81"/>
        <v>ACCT#72-5613 / 02032022</v>
      </c>
      <c r="I2857" s="4">
        <v>2109.2600000000002</v>
      </c>
      <c r="J2857" t="str">
        <f t="shared" si="77"/>
        <v>ACCT#72-5613 / 02032022</v>
      </c>
    </row>
    <row r="2858" spans="1:10" x14ac:dyDescent="0.25">
      <c r="A2858" t="str">
        <f t="shared" si="80"/>
        <v>01</v>
      </c>
      <c r="B2858" t="str">
        <f>"005809"</f>
        <v>005809</v>
      </c>
      <c r="C2858" t="s">
        <v>419</v>
      </c>
      <c r="D2858">
        <v>1624</v>
      </c>
      <c r="E2858" s="4">
        <v>171.24</v>
      </c>
      <c r="F2858" s="5">
        <v>44614</v>
      </c>
      <c r="G2858" t="str">
        <f>"202202169075"</f>
        <v>202202169075</v>
      </c>
      <c r="H2858" t="str">
        <f t="shared" si="81"/>
        <v>ACCT#72-5613 / 02032022</v>
      </c>
      <c r="I2858" s="4">
        <v>171.24</v>
      </c>
      <c r="J2858" t="str">
        <f t="shared" si="77"/>
        <v>ACCT#72-5613 / 02032022</v>
      </c>
    </row>
    <row r="2859" spans="1:10" x14ac:dyDescent="0.25">
      <c r="A2859" t="str">
        <f t="shared" si="80"/>
        <v>01</v>
      </c>
      <c r="B2859" t="str">
        <f>"006866"</f>
        <v>006866</v>
      </c>
      <c r="C2859" t="s">
        <v>543</v>
      </c>
      <c r="D2859">
        <v>1630</v>
      </c>
      <c r="E2859" s="4">
        <v>981.37</v>
      </c>
      <c r="F2859" s="5">
        <v>44614</v>
      </c>
      <c r="G2859" t="str">
        <f>"202202169081"</f>
        <v>202202169081</v>
      </c>
      <c r="H2859" t="str">
        <f t="shared" si="81"/>
        <v>ACCT#72-5613 / 02032022</v>
      </c>
      <c r="I2859" s="4">
        <v>981.37</v>
      </c>
      <c r="J2859" t="str">
        <f t="shared" si="77"/>
        <v>ACCT#72-5613 / 02032022</v>
      </c>
    </row>
    <row r="2860" spans="1:10" x14ac:dyDescent="0.25">
      <c r="A2860" t="str">
        <f t="shared" si="80"/>
        <v>01</v>
      </c>
      <c r="B2860" t="str">
        <f>"000291"</f>
        <v>000291</v>
      </c>
      <c r="C2860" t="s">
        <v>544</v>
      </c>
      <c r="D2860">
        <v>1614</v>
      </c>
      <c r="E2860" s="4">
        <v>70.599999999999994</v>
      </c>
      <c r="F2860" s="5">
        <v>44614</v>
      </c>
      <c r="G2860" t="str">
        <f>"202202169066"</f>
        <v>202202169066</v>
      </c>
      <c r="H2860" t="str">
        <f t="shared" si="81"/>
        <v>ACCT#72-5613 / 02032022</v>
      </c>
      <c r="I2860" s="4">
        <v>70.599999999999994</v>
      </c>
      <c r="J2860" t="str">
        <f t="shared" si="77"/>
        <v>ACCT#72-5613 / 02032022</v>
      </c>
    </row>
    <row r="2861" spans="1:10" x14ac:dyDescent="0.25">
      <c r="A2861" t="str">
        <f t="shared" si="80"/>
        <v>01</v>
      </c>
      <c r="B2861" t="str">
        <f>"004840"</f>
        <v>004840</v>
      </c>
      <c r="C2861" t="s">
        <v>545</v>
      </c>
      <c r="D2861">
        <v>1622</v>
      </c>
      <c r="E2861" s="4">
        <v>261.22000000000003</v>
      </c>
      <c r="F2861" s="5">
        <v>44614</v>
      </c>
      <c r="G2861" t="str">
        <f>"202202169073"</f>
        <v>202202169073</v>
      </c>
      <c r="H2861" t="str">
        <f t="shared" si="81"/>
        <v>ACCT#72-5613 / 02032022</v>
      </c>
      <c r="I2861" s="4">
        <v>261.22000000000003</v>
      </c>
      <c r="J2861" t="str">
        <f t="shared" si="77"/>
        <v>ACCT#72-5613 / 02032022</v>
      </c>
    </row>
    <row r="2862" spans="1:10" x14ac:dyDescent="0.25">
      <c r="A2862" t="str">
        <f t="shared" si="80"/>
        <v>01</v>
      </c>
      <c r="B2862" t="str">
        <f>"006734"</f>
        <v>006734</v>
      </c>
      <c r="C2862" t="s">
        <v>546</v>
      </c>
      <c r="D2862">
        <v>1629</v>
      </c>
      <c r="E2862" s="4">
        <v>1298.73</v>
      </c>
      <c r="F2862" s="5">
        <v>44614</v>
      </c>
      <c r="G2862" t="str">
        <f>"202202169080"</f>
        <v>202202169080</v>
      </c>
      <c r="H2862" t="str">
        <f t="shared" si="81"/>
        <v>ACCT#72-5613 / 02032022</v>
      </c>
      <c r="I2862" s="4">
        <v>1298.73</v>
      </c>
      <c r="J2862" t="str">
        <f t="shared" si="77"/>
        <v>ACCT#72-5613 / 02032022</v>
      </c>
    </row>
    <row r="2863" spans="1:10" x14ac:dyDescent="0.25">
      <c r="A2863" t="str">
        <f t="shared" si="80"/>
        <v>01</v>
      </c>
      <c r="B2863" t="str">
        <f>"T6052"</f>
        <v>T6052</v>
      </c>
      <c r="C2863" t="s">
        <v>450</v>
      </c>
      <c r="D2863">
        <v>1644</v>
      </c>
      <c r="E2863" s="4">
        <v>1255</v>
      </c>
      <c r="F2863" s="5">
        <v>44614</v>
      </c>
      <c r="G2863" t="str">
        <f>"202202169095"</f>
        <v>202202169095</v>
      </c>
      <c r="H2863" t="str">
        <f t="shared" si="81"/>
        <v>ACCT#72-5613 / 02032022</v>
      </c>
      <c r="I2863" s="4">
        <v>1255</v>
      </c>
      <c r="J2863" t="str">
        <f t="shared" si="77"/>
        <v>ACCT#72-5613 / 02032022</v>
      </c>
    </row>
    <row r="2864" spans="1:10" x14ac:dyDescent="0.25">
      <c r="A2864" t="str">
        <f t="shared" si="80"/>
        <v>01</v>
      </c>
      <c r="B2864" t="str">
        <f>"T5238"</f>
        <v>T5238</v>
      </c>
      <c r="C2864" t="s">
        <v>547</v>
      </c>
      <c r="D2864">
        <v>1641</v>
      </c>
      <c r="E2864" s="4">
        <v>90</v>
      </c>
      <c r="F2864" s="5">
        <v>44614</v>
      </c>
      <c r="G2864" t="str">
        <f>"202202229263"</f>
        <v>202202229263</v>
      </c>
      <c r="H2864" t="str">
        <f t="shared" si="81"/>
        <v>ACCT#72-5613 / 02032022</v>
      </c>
      <c r="I2864" s="4">
        <v>90</v>
      </c>
      <c r="J2864" t="str">
        <f t="shared" si="77"/>
        <v>ACCT#72-5613 / 02032022</v>
      </c>
    </row>
    <row r="2865" spans="1:10" x14ac:dyDescent="0.25">
      <c r="A2865" t="str">
        <f t="shared" si="80"/>
        <v>01</v>
      </c>
      <c r="B2865" t="str">
        <f>"TRACTO"</f>
        <v>TRACTO</v>
      </c>
      <c r="C2865" t="s">
        <v>477</v>
      </c>
      <c r="D2865">
        <v>1646</v>
      </c>
      <c r="E2865" s="4">
        <v>39.99</v>
      </c>
      <c r="F2865" s="5">
        <v>44614</v>
      </c>
      <c r="G2865" t="str">
        <f>"202202169097"</f>
        <v>202202169097</v>
      </c>
      <c r="H2865" t="str">
        <f t="shared" si="81"/>
        <v>ACCT#72-5613 / 02032022</v>
      </c>
      <c r="I2865" s="4">
        <v>39.99</v>
      </c>
      <c r="J2865" t="str">
        <f t="shared" si="77"/>
        <v>ACCT#72-5613 / 02032022</v>
      </c>
    </row>
    <row r="2866" spans="1:10" x14ac:dyDescent="0.25">
      <c r="A2866" t="str">
        <f t="shared" si="80"/>
        <v>01</v>
      </c>
      <c r="B2866" t="str">
        <f>"004273"</f>
        <v>004273</v>
      </c>
      <c r="C2866" t="s">
        <v>548</v>
      </c>
      <c r="D2866">
        <v>1621</v>
      </c>
      <c r="E2866" s="4">
        <v>647.22</v>
      </c>
      <c r="F2866" s="5">
        <v>44614</v>
      </c>
      <c r="G2866" t="str">
        <f>"202202169072"</f>
        <v>202202169072</v>
      </c>
      <c r="H2866" t="str">
        <f t="shared" si="81"/>
        <v>ACCT#72-5613 / 02032022</v>
      </c>
      <c r="I2866" s="4">
        <v>11.44</v>
      </c>
      <c r="J2866" t="str">
        <f t="shared" si="77"/>
        <v>ACCT#72-5613 / 02032022</v>
      </c>
    </row>
    <row r="2867" spans="1:10" x14ac:dyDescent="0.25">
      <c r="A2867" t="str">
        <f>""</f>
        <v/>
      </c>
      <c r="B2867" t="str">
        <f>""</f>
        <v/>
      </c>
      <c r="G2867" t="str">
        <f>""</f>
        <v/>
      </c>
      <c r="H2867" t="str">
        <f>""</f>
        <v/>
      </c>
      <c r="I2867" s="4">
        <v>159.96</v>
      </c>
      <c r="J2867" t="str">
        <f t="shared" si="77"/>
        <v>ACCT#72-5613 / 02032022</v>
      </c>
    </row>
    <row r="2868" spans="1:10" x14ac:dyDescent="0.25">
      <c r="A2868" t="str">
        <f>""</f>
        <v/>
      </c>
      <c r="B2868" t="str">
        <f>""</f>
        <v/>
      </c>
      <c r="G2868" t="str">
        <f>""</f>
        <v/>
      </c>
      <c r="H2868" t="str">
        <f>""</f>
        <v/>
      </c>
      <c r="I2868" s="4">
        <v>364.39</v>
      </c>
      <c r="J2868" t="str">
        <f t="shared" si="77"/>
        <v>ACCT#72-5613 / 02032022</v>
      </c>
    </row>
    <row r="2869" spans="1:10" x14ac:dyDescent="0.25">
      <c r="A2869" t="str">
        <f>""</f>
        <v/>
      </c>
      <c r="B2869" t="str">
        <f>""</f>
        <v/>
      </c>
      <c r="G2869" t="str">
        <f>""</f>
        <v/>
      </c>
      <c r="H2869" t="str">
        <f>""</f>
        <v/>
      </c>
      <c r="I2869" s="4">
        <v>111.43</v>
      </c>
      <c r="J2869" t="str">
        <f t="shared" si="77"/>
        <v>ACCT#72-5613 / 02032022</v>
      </c>
    </row>
    <row r="2870" spans="1:10" x14ac:dyDescent="0.25">
      <c r="A2870" t="str">
        <f>"01"</f>
        <v>01</v>
      </c>
      <c r="B2870" t="str">
        <f>"005680"</f>
        <v>005680</v>
      </c>
      <c r="C2870" t="s">
        <v>549</v>
      </c>
      <c r="D2870">
        <v>1648</v>
      </c>
      <c r="E2870" s="4">
        <v>144.6</v>
      </c>
      <c r="F2870" s="5">
        <v>44614</v>
      </c>
      <c r="G2870" t="str">
        <f>"202202169100"</f>
        <v>202202169100</v>
      </c>
      <c r="H2870" t="str">
        <f>"ACCT#72-5613 / 02032022"</f>
        <v>ACCT#72-5613 / 02032022</v>
      </c>
      <c r="I2870" s="4">
        <v>144.6</v>
      </c>
      <c r="J2870" t="str">
        <f t="shared" si="77"/>
        <v>ACCT#72-5613 / 02032022</v>
      </c>
    </row>
    <row r="2871" spans="1:10" x14ac:dyDescent="0.25">
      <c r="A2871" t="str">
        <f>"01"</f>
        <v>01</v>
      </c>
      <c r="B2871" t="str">
        <f>"004273"</f>
        <v>004273</v>
      </c>
      <c r="C2871" t="s">
        <v>548</v>
      </c>
      <c r="D2871">
        <v>1647</v>
      </c>
      <c r="E2871" s="4">
        <v>195.59</v>
      </c>
      <c r="F2871" s="5">
        <v>44614</v>
      </c>
      <c r="G2871" t="str">
        <f>"202202169099"</f>
        <v>202202169099</v>
      </c>
      <c r="H2871" t="str">
        <f>"ACCT#72-5613 / 02032022"</f>
        <v>ACCT#72-5613 / 02032022</v>
      </c>
      <c r="I2871" s="4">
        <v>195.59</v>
      </c>
      <c r="J2871" t="str">
        <f t="shared" si="77"/>
        <v>ACCT#72-5613 / 02032022</v>
      </c>
    </row>
    <row r="2872" spans="1:10" ht="15.75" thickBot="1" x14ac:dyDescent="0.3">
      <c r="E2872" s="6">
        <f>SUM(E2:E2871)</f>
        <v>3286575.4599999986</v>
      </c>
      <c r="I2872" s="6">
        <f>SUM(I2:I2871)</f>
        <v>3285205.4599999893</v>
      </c>
    </row>
    <row r="2873" spans="1:10" ht="15.75" thickTop="1" x14ac:dyDescent="0.25"/>
  </sheetData>
  <autoFilter ref="A1:Z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2022-03-18T16:24:48Z</dcterms:created>
  <dcterms:modified xsi:type="dcterms:W3CDTF">2022-03-18T16:25:30Z</dcterms:modified>
</cp:coreProperties>
</file>