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1700"/>
  </bookViews>
  <sheets>
    <sheet name="September 2021" sheetId="1" r:id="rId1"/>
  </sheets>
  <definedNames>
    <definedName name="_xlnm._FilterDatabase" localSheetId="0" hidden="1">'September 2021'!$A$1:$H$2969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69" i="1" l="1"/>
  <c r="C2969" i="1"/>
  <c r="H2968" i="1"/>
  <c r="F2968" i="1"/>
  <c r="E2968" i="1"/>
  <c r="H2967" i="1"/>
  <c r="F2967" i="1"/>
  <c r="E2967" i="1"/>
  <c r="H2966" i="1"/>
  <c r="F2966" i="1"/>
  <c r="E2966" i="1"/>
  <c r="H2965" i="1"/>
  <c r="F2965" i="1"/>
  <c r="E2965" i="1"/>
  <c r="H2964" i="1"/>
  <c r="F2964" i="1"/>
  <c r="E2964" i="1"/>
  <c r="H2963" i="1"/>
  <c r="F2963" i="1"/>
  <c r="E2963" i="1"/>
  <c r="H2962" i="1"/>
  <c r="F2962" i="1"/>
  <c r="E2962" i="1"/>
  <c r="H2961" i="1"/>
  <c r="F2961" i="1"/>
  <c r="E2961" i="1"/>
  <c r="H2960" i="1"/>
  <c r="F2960" i="1"/>
  <c r="E2960" i="1"/>
  <c r="H2959" i="1"/>
  <c r="F2959" i="1"/>
  <c r="E2959" i="1"/>
  <c r="H2958" i="1"/>
  <c r="F2958" i="1"/>
  <c r="E2958" i="1"/>
  <c r="H2957" i="1"/>
  <c r="F2957" i="1"/>
  <c r="E2957" i="1"/>
  <c r="H2956" i="1"/>
  <c r="F2956" i="1"/>
  <c r="E2956" i="1"/>
  <c r="H2955" i="1"/>
  <c r="F2955" i="1"/>
  <c r="E2955" i="1"/>
  <c r="H2954" i="1"/>
  <c r="F2954" i="1"/>
  <c r="E2954" i="1"/>
  <c r="H2953" i="1"/>
  <c r="F2953" i="1"/>
  <c r="E2953" i="1"/>
  <c r="H2952" i="1"/>
  <c r="F2952" i="1"/>
  <c r="E2952" i="1"/>
  <c r="H2951" i="1"/>
  <c r="F2951" i="1"/>
  <c r="E2951" i="1"/>
  <c r="H2950" i="1"/>
  <c r="F2950" i="1"/>
  <c r="E2950" i="1"/>
  <c r="H2949" i="1"/>
  <c r="F2949" i="1"/>
  <c r="E2949" i="1"/>
  <c r="H2948" i="1"/>
  <c r="F2948" i="1"/>
  <c r="E2948" i="1"/>
  <c r="H2947" i="1"/>
  <c r="F2947" i="1"/>
  <c r="E2947" i="1"/>
  <c r="H2946" i="1"/>
  <c r="F2946" i="1"/>
  <c r="E2946" i="1"/>
  <c r="H2945" i="1"/>
  <c r="F2945" i="1"/>
  <c r="E2945" i="1"/>
  <c r="H2944" i="1"/>
  <c r="F2944" i="1"/>
  <c r="E2944" i="1"/>
  <c r="H2943" i="1"/>
  <c r="F2943" i="1"/>
  <c r="E2943" i="1"/>
  <c r="H2942" i="1"/>
  <c r="F2942" i="1"/>
  <c r="E2942" i="1"/>
  <c r="H2941" i="1"/>
  <c r="F2941" i="1"/>
  <c r="E2941" i="1"/>
  <c r="H2940" i="1"/>
  <c r="F2940" i="1"/>
  <c r="E2940" i="1"/>
  <c r="H2939" i="1"/>
  <c r="F2939" i="1"/>
  <c r="E2939" i="1"/>
  <c r="H2938" i="1"/>
  <c r="F2938" i="1"/>
  <c r="E2938" i="1"/>
  <c r="H2937" i="1"/>
  <c r="F2937" i="1"/>
  <c r="E2937" i="1"/>
  <c r="H2936" i="1"/>
  <c r="F2936" i="1"/>
  <c r="E2936" i="1"/>
  <c r="H2935" i="1"/>
  <c r="F2935" i="1"/>
  <c r="E2935" i="1"/>
  <c r="H2934" i="1"/>
  <c r="F2934" i="1"/>
  <c r="E2934" i="1"/>
  <c r="H2933" i="1"/>
  <c r="F2933" i="1"/>
  <c r="E2933" i="1"/>
  <c r="H2932" i="1"/>
  <c r="F2932" i="1"/>
  <c r="E2932" i="1"/>
  <c r="H2931" i="1"/>
  <c r="F2931" i="1"/>
  <c r="E2931" i="1"/>
  <c r="H2930" i="1"/>
  <c r="F2930" i="1"/>
  <c r="E2930" i="1"/>
  <c r="H2929" i="1"/>
  <c r="F2929" i="1"/>
  <c r="E2929" i="1"/>
  <c r="H2928" i="1"/>
  <c r="F2928" i="1"/>
  <c r="E2928" i="1"/>
  <c r="H2927" i="1"/>
  <c r="F2927" i="1"/>
  <c r="E2927" i="1"/>
  <c r="H2926" i="1"/>
  <c r="F2926" i="1"/>
  <c r="E2926" i="1"/>
  <c r="H2925" i="1"/>
  <c r="F2925" i="1"/>
  <c r="E2925" i="1"/>
  <c r="H2924" i="1"/>
  <c r="F2924" i="1"/>
  <c r="E2924" i="1"/>
  <c r="H2923" i="1"/>
  <c r="F2923" i="1"/>
  <c r="E2923" i="1"/>
  <c r="H2922" i="1"/>
  <c r="F2922" i="1"/>
  <c r="E2922" i="1"/>
  <c r="H2921" i="1"/>
  <c r="F2921" i="1"/>
  <c r="E2921" i="1"/>
  <c r="H2920" i="1"/>
  <c r="F2920" i="1"/>
  <c r="E2920" i="1"/>
  <c r="H2919" i="1"/>
  <c r="F2919" i="1"/>
  <c r="E2919" i="1"/>
  <c r="H2918" i="1"/>
  <c r="F2918" i="1"/>
  <c r="E2918" i="1"/>
  <c r="H2917" i="1"/>
  <c r="F2917" i="1"/>
  <c r="E2917" i="1"/>
  <c r="H2916" i="1"/>
  <c r="F2916" i="1"/>
  <c r="E2916" i="1"/>
  <c r="H2915" i="1"/>
  <c r="F2915" i="1"/>
  <c r="E2915" i="1"/>
  <c r="H2914" i="1"/>
  <c r="F2914" i="1"/>
  <c r="E2914" i="1"/>
  <c r="H2913" i="1"/>
  <c r="F2913" i="1"/>
  <c r="E2913" i="1"/>
  <c r="H2912" i="1"/>
  <c r="F2912" i="1"/>
  <c r="E2912" i="1"/>
  <c r="H2911" i="1"/>
  <c r="F2911" i="1"/>
  <c r="E2911" i="1"/>
  <c r="H2910" i="1"/>
  <c r="F2910" i="1"/>
  <c r="E2910" i="1"/>
  <c r="H2909" i="1"/>
  <c r="F2909" i="1"/>
  <c r="E2909" i="1"/>
  <c r="H2908" i="1"/>
  <c r="F2908" i="1"/>
  <c r="E2908" i="1"/>
  <c r="H2907" i="1"/>
  <c r="F2907" i="1"/>
  <c r="E2907" i="1"/>
  <c r="H2906" i="1"/>
  <c r="F2906" i="1"/>
  <c r="E2906" i="1"/>
  <c r="H2905" i="1"/>
  <c r="F2905" i="1"/>
  <c r="E2905" i="1"/>
  <c r="H2904" i="1"/>
  <c r="F2904" i="1"/>
  <c r="E2904" i="1"/>
  <c r="H2903" i="1"/>
  <c r="F2903" i="1"/>
  <c r="E2903" i="1"/>
  <c r="H2902" i="1"/>
  <c r="F2902" i="1"/>
  <c r="E2902" i="1"/>
  <c r="H2901" i="1"/>
  <c r="F2901" i="1"/>
  <c r="E2901" i="1"/>
  <c r="H2900" i="1"/>
  <c r="F2900" i="1"/>
  <c r="E2900" i="1"/>
  <c r="H2899" i="1"/>
  <c r="F2899" i="1"/>
  <c r="E2899" i="1"/>
  <c r="H2898" i="1"/>
  <c r="F2898" i="1"/>
  <c r="E2898" i="1"/>
  <c r="H2897" i="1"/>
  <c r="F2897" i="1"/>
  <c r="E2897" i="1"/>
  <c r="H2896" i="1"/>
  <c r="F2896" i="1"/>
  <c r="E2896" i="1"/>
  <c r="H2895" i="1"/>
  <c r="F2895" i="1"/>
  <c r="E2895" i="1"/>
  <c r="H2894" i="1"/>
  <c r="F2894" i="1"/>
  <c r="E2894" i="1"/>
  <c r="H2893" i="1"/>
  <c r="F2893" i="1"/>
  <c r="E2893" i="1"/>
  <c r="H2892" i="1"/>
  <c r="F2892" i="1"/>
  <c r="E2892" i="1"/>
  <c r="H2891" i="1"/>
  <c r="F2891" i="1"/>
  <c r="E2891" i="1"/>
  <c r="H2890" i="1"/>
  <c r="F2890" i="1"/>
  <c r="E2890" i="1"/>
  <c r="H2889" i="1"/>
  <c r="F2889" i="1"/>
  <c r="E2889" i="1"/>
  <c r="H2888" i="1"/>
  <c r="F2888" i="1"/>
  <c r="E2888" i="1"/>
  <c r="H2887" i="1"/>
  <c r="F2887" i="1"/>
  <c r="E2887" i="1"/>
  <c r="H2886" i="1"/>
  <c r="F2886" i="1"/>
  <c r="E2886" i="1"/>
  <c r="H2885" i="1"/>
  <c r="F2885" i="1"/>
  <c r="E2885" i="1"/>
  <c r="H2884" i="1"/>
  <c r="F2884" i="1"/>
  <c r="E2884" i="1"/>
  <c r="H2883" i="1"/>
  <c r="F2883" i="1"/>
  <c r="E2883" i="1"/>
  <c r="H2882" i="1"/>
  <c r="F2882" i="1"/>
  <c r="E2882" i="1"/>
  <c r="H2881" i="1"/>
  <c r="F2881" i="1"/>
  <c r="E2881" i="1"/>
  <c r="H2880" i="1"/>
  <c r="F2880" i="1"/>
  <c r="E2880" i="1"/>
  <c r="H2879" i="1"/>
  <c r="F2879" i="1"/>
  <c r="E2879" i="1"/>
  <c r="H2878" i="1"/>
  <c r="F2878" i="1"/>
  <c r="E2878" i="1"/>
  <c r="H2877" i="1"/>
  <c r="F2877" i="1"/>
  <c r="E2877" i="1"/>
  <c r="H2876" i="1"/>
  <c r="F2876" i="1"/>
  <c r="E2876" i="1"/>
  <c r="H2875" i="1"/>
  <c r="F2875" i="1"/>
  <c r="E2875" i="1"/>
  <c r="H2874" i="1"/>
  <c r="F2874" i="1"/>
  <c r="E2874" i="1"/>
  <c r="H2873" i="1"/>
  <c r="F2873" i="1"/>
  <c r="E2873" i="1"/>
  <c r="H2872" i="1"/>
  <c r="F2872" i="1"/>
  <c r="E2872" i="1"/>
  <c r="H2871" i="1"/>
  <c r="F2871" i="1"/>
  <c r="E2871" i="1"/>
  <c r="H2870" i="1"/>
  <c r="F2870" i="1"/>
  <c r="E2870" i="1"/>
  <c r="H2869" i="1"/>
  <c r="F2869" i="1"/>
  <c r="E2869" i="1"/>
  <c r="H2868" i="1"/>
  <c r="F2868" i="1"/>
  <c r="E2868" i="1"/>
  <c r="H2867" i="1"/>
  <c r="F2867" i="1"/>
  <c r="E2867" i="1"/>
  <c r="H2866" i="1"/>
  <c r="F2866" i="1"/>
  <c r="E2866" i="1"/>
  <c r="H2865" i="1"/>
  <c r="F2865" i="1"/>
  <c r="E2865" i="1"/>
  <c r="H2864" i="1"/>
  <c r="F2864" i="1"/>
  <c r="E2864" i="1"/>
  <c r="H2863" i="1"/>
  <c r="F2863" i="1"/>
  <c r="E2863" i="1"/>
  <c r="H2862" i="1"/>
  <c r="F2862" i="1"/>
  <c r="E2862" i="1"/>
  <c r="H2861" i="1"/>
  <c r="F2861" i="1"/>
  <c r="E2861" i="1"/>
  <c r="H2860" i="1"/>
  <c r="F2860" i="1"/>
  <c r="E2860" i="1"/>
  <c r="H2859" i="1"/>
  <c r="F2859" i="1"/>
  <c r="E2859" i="1"/>
  <c r="H2858" i="1"/>
  <c r="F2858" i="1"/>
  <c r="E2858" i="1"/>
  <c r="H2857" i="1"/>
  <c r="F2857" i="1"/>
  <c r="E2857" i="1"/>
  <c r="H2856" i="1"/>
  <c r="F2856" i="1"/>
  <c r="E2856" i="1"/>
  <c r="H2855" i="1"/>
  <c r="F2855" i="1"/>
  <c r="E2855" i="1"/>
  <c r="H2854" i="1"/>
  <c r="F2854" i="1"/>
  <c r="E2854" i="1"/>
  <c r="H2853" i="1"/>
  <c r="F2853" i="1"/>
  <c r="E2853" i="1"/>
  <c r="H2852" i="1"/>
  <c r="F2852" i="1"/>
  <c r="E2852" i="1"/>
  <c r="H2851" i="1"/>
  <c r="F2851" i="1"/>
  <c r="E2851" i="1"/>
  <c r="H2850" i="1"/>
  <c r="F2850" i="1"/>
  <c r="E2850" i="1"/>
  <c r="H2849" i="1"/>
  <c r="F2849" i="1"/>
  <c r="E2849" i="1"/>
  <c r="H2848" i="1"/>
  <c r="F2848" i="1"/>
  <c r="E2848" i="1"/>
  <c r="H2847" i="1"/>
  <c r="F2847" i="1"/>
  <c r="E2847" i="1"/>
  <c r="H2846" i="1"/>
  <c r="F2846" i="1"/>
  <c r="E2846" i="1"/>
  <c r="H2845" i="1"/>
  <c r="F2845" i="1"/>
  <c r="E2845" i="1"/>
  <c r="H2844" i="1"/>
  <c r="F2844" i="1"/>
  <c r="E2844" i="1"/>
  <c r="H2843" i="1"/>
  <c r="F2843" i="1"/>
  <c r="E2843" i="1"/>
  <c r="H2842" i="1"/>
  <c r="F2842" i="1"/>
  <c r="E2842" i="1"/>
  <c r="H2841" i="1"/>
  <c r="F2841" i="1"/>
  <c r="E2841" i="1"/>
  <c r="H2840" i="1"/>
  <c r="F2840" i="1"/>
  <c r="E2840" i="1"/>
  <c r="H2839" i="1"/>
  <c r="F2839" i="1"/>
  <c r="E2839" i="1"/>
  <c r="H2838" i="1"/>
  <c r="F2838" i="1"/>
  <c r="E2838" i="1"/>
  <c r="H2837" i="1"/>
  <c r="F2837" i="1"/>
  <c r="E2837" i="1"/>
  <c r="H2836" i="1"/>
  <c r="F2836" i="1"/>
  <c r="E2836" i="1"/>
  <c r="H2835" i="1"/>
  <c r="F2835" i="1"/>
  <c r="E2835" i="1"/>
  <c r="H2834" i="1"/>
  <c r="F2834" i="1"/>
  <c r="E2834" i="1"/>
  <c r="H2833" i="1"/>
  <c r="F2833" i="1"/>
  <c r="E2833" i="1"/>
  <c r="H2832" i="1"/>
  <c r="F2832" i="1"/>
  <c r="E2832" i="1"/>
  <c r="H2831" i="1"/>
  <c r="F2831" i="1"/>
  <c r="E2831" i="1"/>
  <c r="H2830" i="1"/>
  <c r="F2830" i="1"/>
  <c r="E2830" i="1"/>
  <c r="H2829" i="1"/>
  <c r="F2829" i="1"/>
  <c r="E2829" i="1"/>
  <c r="H2828" i="1"/>
  <c r="F2828" i="1"/>
  <c r="E2828" i="1"/>
  <c r="H2827" i="1"/>
  <c r="F2827" i="1"/>
  <c r="E2827" i="1"/>
  <c r="H2826" i="1"/>
  <c r="F2826" i="1"/>
  <c r="E2826" i="1"/>
  <c r="H2825" i="1"/>
  <c r="F2825" i="1"/>
  <c r="E2825" i="1"/>
  <c r="H2824" i="1"/>
  <c r="F2824" i="1"/>
  <c r="E2824" i="1"/>
  <c r="H2823" i="1"/>
  <c r="F2823" i="1"/>
  <c r="E2823" i="1"/>
  <c r="H2822" i="1"/>
  <c r="F2822" i="1"/>
  <c r="E2822" i="1"/>
  <c r="H2821" i="1"/>
  <c r="F2821" i="1"/>
  <c r="E2821" i="1"/>
  <c r="H2820" i="1"/>
  <c r="F2820" i="1"/>
  <c r="E2820" i="1"/>
  <c r="H2819" i="1"/>
  <c r="F2819" i="1"/>
  <c r="E2819" i="1"/>
  <c r="H2818" i="1"/>
  <c r="F2818" i="1"/>
  <c r="E2818" i="1"/>
  <c r="H2817" i="1"/>
  <c r="F2817" i="1"/>
  <c r="E2817" i="1"/>
  <c r="H2816" i="1"/>
  <c r="F2816" i="1"/>
  <c r="E2816" i="1"/>
  <c r="H2815" i="1"/>
  <c r="F2815" i="1"/>
  <c r="E2815" i="1"/>
  <c r="H2814" i="1"/>
  <c r="F2814" i="1"/>
  <c r="E2814" i="1"/>
  <c r="H2813" i="1"/>
  <c r="F2813" i="1"/>
  <c r="E2813" i="1"/>
  <c r="H2812" i="1"/>
  <c r="F2812" i="1"/>
  <c r="E2812" i="1"/>
  <c r="H2811" i="1"/>
  <c r="F2811" i="1"/>
  <c r="E2811" i="1"/>
  <c r="H2810" i="1"/>
  <c r="F2810" i="1"/>
  <c r="E2810" i="1"/>
  <c r="H2809" i="1"/>
  <c r="F2809" i="1"/>
  <c r="E2809" i="1"/>
  <c r="H2808" i="1"/>
  <c r="F2808" i="1"/>
  <c r="E2808" i="1"/>
  <c r="H2807" i="1"/>
  <c r="F2807" i="1"/>
  <c r="E2807" i="1"/>
  <c r="H2806" i="1"/>
  <c r="F2806" i="1"/>
  <c r="E2806" i="1"/>
  <c r="H2805" i="1"/>
  <c r="F2805" i="1"/>
  <c r="E2805" i="1"/>
  <c r="H2804" i="1"/>
  <c r="F2804" i="1"/>
  <c r="E2804" i="1"/>
  <c r="H2803" i="1"/>
  <c r="F2803" i="1"/>
  <c r="E2803" i="1"/>
  <c r="H2802" i="1"/>
  <c r="F2802" i="1"/>
  <c r="E2802" i="1"/>
  <c r="H2801" i="1"/>
  <c r="F2801" i="1"/>
  <c r="E2801" i="1"/>
  <c r="H2800" i="1"/>
  <c r="F2800" i="1"/>
  <c r="E2800" i="1"/>
  <c r="H2799" i="1"/>
  <c r="F2799" i="1"/>
  <c r="E2799" i="1"/>
  <c r="H2798" i="1"/>
  <c r="F2798" i="1"/>
  <c r="E2798" i="1"/>
  <c r="H2797" i="1"/>
  <c r="F2797" i="1"/>
  <c r="E2797" i="1"/>
  <c r="H2796" i="1"/>
  <c r="F2796" i="1"/>
  <c r="E2796" i="1"/>
  <c r="H2795" i="1"/>
  <c r="F2795" i="1"/>
  <c r="E2795" i="1"/>
  <c r="H2794" i="1"/>
  <c r="F2794" i="1"/>
  <c r="E2794" i="1"/>
  <c r="H2793" i="1"/>
  <c r="F2793" i="1"/>
  <c r="E2793" i="1"/>
  <c r="H2792" i="1"/>
  <c r="F2792" i="1"/>
  <c r="E2792" i="1"/>
  <c r="H2791" i="1"/>
  <c r="F2791" i="1"/>
  <c r="E2791" i="1"/>
  <c r="H2790" i="1"/>
  <c r="F2790" i="1"/>
  <c r="E2790" i="1"/>
  <c r="H2789" i="1"/>
  <c r="F2789" i="1"/>
  <c r="E2789" i="1"/>
  <c r="H2788" i="1"/>
  <c r="F2788" i="1"/>
  <c r="E2788" i="1"/>
  <c r="H2787" i="1"/>
  <c r="F2787" i="1"/>
  <c r="E2787" i="1"/>
  <c r="H2786" i="1"/>
  <c r="F2786" i="1"/>
  <c r="E2786" i="1"/>
  <c r="H2785" i="1"/>
  <c r="F2785" i="1"/>
  <c r="E2785" i="1"/>
  <c r="H2784" i="1"/>
  <c r="F2784" i="1"/>
  <c r="E2784" i="1"/>
  <c r="H2783" i="1"/>
  <c r="F2783" i="1"/>
  <c r="E2783" i="1"/>
  <c r="H2782" i="1"/>
  <c r="F2782" i="1"/>
  <c r="E2782" i="1"/>
  <c r="H2781" i="1"/>
  <c r="F2781" i="1"/>
  <c r="E2781" i="1"/>
  <c r="H2780" i="1"/>
  <c r="F2780" i="1"/>
  <c r="E2780" i="1"/>
  <c r="H2779" i="1"/>
  <c r="F2779" i="1"/>
  <c r="E2779" i="1"/>
  <c r="H2778" i="1"/>
  <c r="F2778" i="1"/>
  <c r="E2778" i="1"/>
  <c r="H2777" i="1"/>
  <c r="F2777" i="1"/>
  <c r="E2777" i="1"/>
  <c r="H2776" i="1"/>
  <c r="F2776" i="1"/>
  <c r="E2776" i="1"/>
  <c r="H2775" i="1"/>
  <c r="F2775" i="1"/>
  <c r="E2775" i="1"/>
  <c r="H2774" i="1"/>
  <c r="F2774" i="1"/>
  <c r="E2774" i="1"/>
  <c r="H2773" i="1"/>
  <c r="F2773" i="1"/>
  <c r="E2773" i="1"/>
  <c r="H2772" i="1"/>
  <c r="F2772" i="1"/>
  <c r="E2772" i="1"/>
  <c r="H2771" i="1"/>
  <c r="F2771" i="1"/>
  <c r="E2771" i="1"/>
  <c r="H2770" i="1"/>
  <c r="F2770" i="1"/>
  <c r="E2770" i="1"/>
  <c r="H2769" i="1"/>
  <c r="F2769" i="1"/>
  <c r="E2769" i="1"/>
  <c r="H2768" i="1"/>
  <c r="F2768" i="1"/>
  <c r="E2768" i="1"/>
  <c r="H2767" i="1"/>
  <c r="F2767" i="1"/>
  <c r="E2767" i="1"/>
  <c r="H2766" i="1"/>
  <c r="F2766" i="1"/>
  <c r="E2766" i="1"/>
  <c r="H2765" i="1"/>
  <c r="F2765" i="1"/>
  <c r="E2765" i="1"/>
  <c r="H2764" i="1"/>
  <c r="F2764" i="1"/>
  <c r="E2764" i="1"/>
  <c r="H2763" i="1"/>
  <c r="F2763" i="1"/>
  <c r="E2763" i="1"/>
  <c r="H2762" i="1"/>
  <c r="F2762" i="1"/>
  <c r="E2762" i="1"/>
  <c r="H2761" i="1"/>
  <c r="F2761" i="1"/>
  <c r="E2761" i="1"/>
  <c r="H2760" i="1"/>
  <c r="F2760" i="1"/>
  <c r="E2760" i="1"/>
  <c r="H2759" i="1"/>
  <c r="F2759" i="1"/>
  <c r="E2759" i="1"/>
  <c r="H2758" i="1"/>
  <c r="F2758" i="1"/>
  <c r="E2758" i="1"/>
  <c r="H2757" i="1"/>
  <c r="F2757" i="1"/>
  <c r="E2757" i="1"/>
  <c r="H2756" i="1"/>
  <c r="F2756" i="1"/>
  <c r="E2756" i="1"/>
  <c r="H2755" i="1"/>
  <c r="F2755" i="1"/>
  <c r="E2755" i="1"/>
  <c r="H2754" i="1"/>
  <c r="F2754" i="1"/>
  <c r="E2754" i="1"/>
  <c r="H2753" i="1"/>
  <c r="F2753" i="1"/>
  <c r="E2753" i="1"/>
  <c r="H2752" i="1"/>
  <c r="F2752" i="1"/>
  <c r="E2752" i="1"/>
  <c r="H2751" i="1"/>
  <c r="F2751" i="1"/>
  <c r="E2751" i="1"/>
  <c r="H2750" i="1"/>
  <c r="F2750" i="1"/>
  <c r="E2750" i="1"/>
  <c r="H2749" i="1"/>
  <c r="F2749" i="1"/>
  <c r="E2749" i="1"/>
  <c r="H2748" i="1"/>
  <c r="F2748" i="1"/>
  <c r="E2748" i="1"/>
  <c r="H2747" i="1"/>
  <c r="F2747" i="1"/>
  <c r="E2747" i="1"/>
  <c r="H2746" i="1"/>
  <c r="F2746" i="1"/>
  <c r="E2746" i="1"/>
  <c r="H2745" i="1"/>
  <c r="F2745" i="1"/>
  <c r="E2745" i="1"/>
  <c r="H2744" i="1"/>
  <c r="F2744" i="1"/>
  <c r="E2744" i="1"/>
  <c r="H2743" i="1"/>
  <c r="F2743" i="1"/>
  <c r="E2743" i="1"/>
  <c r="H2742" i="1"/>
  <c r="F2742" i="1"/>
  <c r="E2742" i="1"/>
  <c r="H2741" i="1"/>
  <c r="F2741" i="1"/>
  <c r="E2741" i="1"/>
  <c r="H2740" i="1"/>
  <c r="F2740" i="1"/>
  <c r="E2740" i="1"/>
  <c r="H2739" i="1"/>
  <c r="F2739" i="1"/>
  <c r="E2739" i="1"/>
  <c r="H2738" i="1"/>
  <c r="F2738" i="1"/>
  <c r="E2738" i="1"/>
  <c r="H2737" i="1"/>
  <c r="F2737" i="1"/>
  <c r="E2737" i="1"/>
  <c r="H2736" i="1"/>
  <c r="F2736" i="1"/>
  <c r="E2736" i="1"/>
  <c r="H2735" i="1"/>
  <c r="F2735" i="1"/>
  <c r="E2735" i="1"/>
  <c r="H2734" i="1"/>
  <c r="F2734" i="1"/>
  <c r="E2734" i="1"/>
  <c r="H2733" i="1"/>
  <c r="F2733" i="1"/>
  <c r="E2733" i="1"/>
  <c r="H2732" i="1"/>
  <c r="F2732" i="1"/>
  <c r="E2732" i="1"/>
  <c r="H2731" i="1"/>
  <c r="F2731" i="1"/>
  <c r="E2731" i="1"/>
  <c r="H2730" i="1"/>
  <c r="F2730" i="1"/>
  <c r="E2730" i="1"/>
  <c r="H2729" i="1"/>
  <c r="F2729" i="1"/>
  <c r="E2729" i="1"/>
  <c r="H2728" i="1"/>
  <c r="F2728" i="1"/>
  <c r="E2728" i="1"/>
  <c r="H2727" i="1"/>
  <c r="F2727" i="1"/>
  <c r="E2727" i="1"/>
  <c r="H2726" i="1"/>
  <c r="F2726" i="1"/>
  <c r="E2726" i="1"/>
  <c r="H2725" i="1"/>
  <c r="F2725" i="1"/>
  <c r="E2725" i="1"/>
  <c r="H2724" i="1"/>
  <c r="F2724" i="1"/>
  <c r="E2724" i="1"/>
  <c r="H2723" i="1"/>
  <c r="F2723" i="1"/>
  <c r="E2723" i="1"/>
  <c r="H2722" i="1"/>
  <c r="F2722" i="1"/>
  <c r="E2722" i="1"/>
  <c r="H2721" i="1"/>
  <c r="F2721" i="1"/>
  <c r="E2721" i="1"/>
  <c r="H2720" i="1"/>
  <c r="F2720" i="1"/>
  <c r="E2720" i="1"/>
  <c r="H2719" i="1"/>
  <c r="F2719" i="1"/>
  <c r="E2719" i="1"/>
  <c r="H2718" i="1"/>
  <c r="F2718" i="1"/>
  <c r="E2718" i="1"/>
  <c r="H2717" i="1"/>
  <c r="F2717" i="1"/>
  <c r="E2717" i="1"/>
  <c r="H2716" i="1"/>
  <c r="F2716" i="1"/>
  <c r="E2716" i="1"/>
  <c r="H2715" i="1"/>
  <c r="F2715" i="1"/>
  <c r="E2715" i="1"/>
  <c r="H2714" i="1"/>
  <c r="F2714" i="1"/>
  <c r="E2714" i="1"/>
  <c r="H2713" i="1"/>
  <c r="F2713" i="1"/>
  <c r="E2713" i="1"/>
  <c r="H2712" i="1"/>
  <c r="F2712" i="1"/>
  <c r="E2712" i="1"/>
  <c r="H2711" i="1"/>
  <c r="F2711" i="1"/>
  <c r="E2711" i="1"/>
  <c r="H2710" i="1"/>
  <c r="F2710" i="1"/>
  <c r="E2710" i="1"/>
  <c r="H2709" i="1"/>
  <c r="F2709" i="1"/>
  <c r="E2709" i="1"/>
  <c r="H2708" i="1"/>
  <c r="F2708" i="1"/>
  <c r="E2708" i="1"/>
  <c r="H2707" i="1"/>
  <c r="F2707" i="1"/>
  <c r="E2707" i="1"/>
  <c r="H2706" i="1"/>
  <c r="F2706" i="1"/>
  <c r="E2706" i="1"/>
  <c r="H2705" i="1"/>
  <c r="F2705" i="1"/>
  <c r="E2705" i="1"/>
  <c r="H2704" i="1"/>
  <c r="F2704" i="1"/>
  <c r="E2704" i="1"/>
  <c r="H2703" i="1"/>
  <c r="F2703" i="1"/>
  <c r="E2703" i="1"/>
  <c r="H2702" i="1"/>
  <c r="F2702" i="1"/>
  <c r="E2702" i="1"/>
  <c r="H2701" i="1"/>
  <c r="F2701" i="1"/>
  <c r="E2701" i="1"/>
  <c r="H2700" i="1"/>
  <c r="F2700" i="1"/>
  <c r="E2700" i="1"/>
  <c r="H2699" i="1"/>
  <c r="F2699" i="1"/>
  <c r="E2699" i="1"/>
  <c r="H2698" i="1"/>
  <c r="F2698" i="1"/>
  <c r="E2698" i="1"/>
  <c r="H2697" i="1"/>
  <c r="F2697" i="1"/>
  <c r="E2697" i="1"/>
  <c r="H2696" i="1"/>
  <c r="F2696" i="1"/>
  <c r="E2696" i="1"/>
  <c r="H2695" i="1"/>
  <c r="F2695" i="1"/>
  <c r="E2695" i="1"/>
  <c r="H2694" i="1"/>
  <c r="F2694" i="1"/>
  <c r="E2694" i="1"/>
  <c r="H2693" i="1"/>
  <c r="F2693" i="1"/>
  <c r="E2693" i="1"/>
  <c r="H2692" i="1"/>
  <c r="F2692" i="1"/>
  <c r="E2692" i="1"/>
  <c r="H2691" i="1"/>
  <c r="F2691" i="1"/>
  <c r="E2691" i="1"/>
  <c r="H2690" i="1"/>
  <c r="F2690" i="1"/>
  <c r="E2690" i="1"/>
  <c r="H2689" i="1"/>
  <c r="F2689" i="1"/>
  <c r="E2689" i="1"/>
  <c r="H2688" i="1"/>
  <c r="F2688" i="1"/>
  <c r="E2688" i="1"/>
  <c r="H2687" i="1"/>
  <c r="F2687" i="1"/>
  <c r="E2687" i="1"/>
  <c r="H2686" i="1"/>
  <c r="F2686" i="1"/>
  <c r="E2686" i="1"/>
  <c r="H2685" i="1"/>
  <c r="F2685" i="1"/>
  <c r="E2685" i="1"/>
  <c r="H2684" i="1"/>
  <c r="F2684" i="1"/>
  <c r="E2684" i="1"/>
  <c r="H2683" i="1"/>
  <c r="F2683" i="1"/>
  <c r="E2683" i="1"/>
  <c r="H2682" i="1"/>
  <c r="F2682" i="1"/>
  <c r="E2682" i="1"/>
  <c r="H2681" i="1"/>
  <c r="F2681" i="1"/>
  <c r="E2681" i="1"/>
  <c r="H2680" i="1"/>
  <c r="F2680" i="1"/>
  <c r="E2680" i="1"/>
  <c r="H2679" i="1"/>
  <c r="F2679" i="1"/>
  <c r="E2679" i="1"/>
  <c r="H2678" i="1"/>
  <c r="F2678" i="1"/>
  <c r="E2678" i="1"/>
  <c r="H2677" i="1"/>
  <c r="F2677" i="1"/>
  <c r="E2677" i="1"/>
  <c r="H2676" i="1"/>
  <c r="F2676" i="1"/>
  <c r="E2676" i="1"/>
  <c r="H2675" i="1"/>
  <c r="F2675" i="1"/>
  <c r="E2675" i="1"/>
  <c r="H2674" i="1"/>
  <c r="F2674" i="1"/>
  <c r="E2674" i="1"/>
  <c r="H2673" i="1"/>
  <c r="F2673" i="1"/>
  <c r="E2673" i="1"/>
  <c r="H2672" i="1"/>
  <c r="F2672" i="1"/>
  <c r="E2672" i="1"/>
  <c r="H2671" i="1"/>
  <c r="F2671" i="1"/>
  <c r="E2671" i="1"/>
  <c r="H2670" i="1"/>
  <c r="F2670" i="1"/>
  <c r="E2670" i="1"/>
  <c r="H2669" i="1"/>
  <c r="F2669" i="1"/>
  <c r="E2669" i="1"/>
  <c r="H2668" i="1"/>
  <c r="F2668" i="1"/>
  <c r="E2668" i="1"/>
  <c r="H2667" i="1"/>
  <c r="F2667" i="1"/>
  <c r="E2667" i="1"/>
  <c r="H2666" i="1"/>
  <c r="F2666" i="1"/>
  <c r="E2666" i="1"/>
  <c r="H2665" i="1"/>
  <c r="F2665" i="1"/>
  <c r="E2665" i="1"/>
  <c r="H2664" i="1"/>
  <c r="F2664" i="1"/>
  <c r="E2664" i="1"/>
  <c r="H2663" i="1"/>
  <c r="F2663" i="1"/>
  <c r="E2663" i="1"/>
  <c r="H2662" i="1"/>
  <c r="F2662" i="1"/>
  <c r="E2662" i="1"/>
  <c r="H2661" i="1"/>
  <c r="F2661" i="1"/>
  <c r="E2661" i="1"/>
  <c r="H2660" i="1"/>
  <c r="F2660" i="1"/>
  <c r="E2660" i="1"/>
  <c r="H2659" i="1"/>
  <c r="F2659" i="1"/>
  <c r="E2659" i="1"/>
  <c r="H2658" i="1"/>
  <c r="F2658" i="1"/>
  <c r="E2658" i="1"/>
  <c r="H2657" i="1"/>
  <c r="F2657" i="1"/>
  <c r="E2657" i="1"/>
  <c r="H2656" i="1"/>
  <c r="F2656" i="1"/>
  <c r="E2656" i="1"/>
  <c r="H2655" i="1"/>
  <c r="F2655" i="1"/>
  <c r="E2655" i="1"/>
  <c r="H2654" i="1"/>
  <c r="F2654" i="1"/>
  <c r="E2654" i="1"/>
  <c r="H2653" i="1"/>
  <c r="F2653" i="1"/>
  <c r="E2653" i="1"/>
  <c r="H2652" i="1"/>
  <c r="F2652" i="1"/>
  <c r="E2652" i="1"/>
  <c r="H2651" i="1"/>
  <c r="F2651" i="1"/>
  <c r="E2651" i="1"/>
  <c r="H2650" i="1"/>
  <c r="F2650" i="1"/>
  <c r="E2650" i="1"/>
  <c r="H2649" i="1"/>
  <c r="F2649" i="1"/>
  <c r="E2649" i="1"/>
  <c r="H2648" i="1"/>
  <c r="F2648" i="1"/>
  <c r="E2648" i="1"/>
  <c r="H2647" i="1"/>
  <c r="F2647" i="1"/>
  <c r="E2647" i="1"/>
  <c r="H2646" i="1"/>
  <c r="F2646" i="1"/>
  <c r="E2646" i="1"/>
  <c r="H2645" i="1"/>
  <c r="F2645" i="1"/>
  <c r="E2645" i="1"/>
  <c r="H2644" i="1"/>
  <c r="F2644" i="1"/>
  <c r="E2644" i="1"/>
  <c r="H2643" i="1"/>
  <c r="F2643" i="1"/>
  <c r="E2643" i="1"/>
  <c r="H2642" i="1"/>
  <c r="F2642" i="1"/>
  <c r="E2642" i="1"/>
  <c r="H2641" i="1"/>
  <c r="F2641" i="1"/>
  <c r="E2641" i="1"/>
  <c r="H2640" i="1"/>
  <c r="F2640" i="1"/>
  <c r="E2640" i="1"/>
  <c r="H2639" i="1"/>
  <c r="F2639" i="1"/>
  <c r="E2639" i="1"/>
  <c r="H2638" i="1"/>
  <c r="F2638" i="1"/>
  <c r="E2638" i="1"/>
  <c r="H2637" i="1"/>
  <c r="F2637" i="1"/>
  <c r="E2637" i="1"/>
  <c r="H2636" i="1"/>
  <c r="F2636" i="1"/>
  <c r="E2636" i="1"/>
  <c r="H2635" i="1"/>
  <c r="F2635" i="1"/>
  <c r="E2635" i="1"/>
  <c r="H2634" i="1"/>
  <c r="F2634" i="1"/>
  <c r="E2634" i="1"/>
  <c r="H2633" i="1"/>
  <c r="F2633" i="1"/>
  <c r="E2633" i="1"/>
  <c r="H2632" i="1"/>
  <c r="F2632" i="1"/>
  <c r="E2632" i="1"/>
  <c r="H2631" i="1"/>
  <c r="F2631" i="1"/>
  <c r="E2631" i="1"/>
  <c r="H2630" i="1"/>
  <c r="F2630" i="1"/>
  <c r="E2630" i="1"/>
  <c r="H2629" i="1"/>
  <c r="F2629" i="1"/>
  <c r="E2629" i="1"/>
  <c r="H2628" i="1"/>
  <c r="F2628" i="1"/>
  <c r="E2628" i="1"/>
  <c r="H2627" i="1"/>
  <c r="F2627" i="1"/>
  <c r="E2627" i="1"/>
  <c r="H2626" i="1"/>
  <c r="F2626" i="1"/>
  <c r="E2626" i="1"/>
  <c r="H2625" i="1"/>
  <c r="F2625" i="1"/>
  <c r="E2625" i="1"/>
  <c r="H2624" i="1"/>
  <c r="F2624" i="1"/>
  <c r="E2624" i="1"/>
  <c r="H2623" i="1"/>
  <c r="F2623" i="1"/>
  <c r="E2623" i="1"/>
  <c r="H2622" i="1"/>
  <c r="F2622" i="1"/>
  <c r="E2622" i="1"/>
  <c r="H2621" i="1"/>
  <c r="F2621" i="1"/>
  <c r="E2621" i="1"/>
  <c r="H2620" i="1"/>
  <c r="F2620" i="1"/>
  <c r="E2620" i="1"/>
  <c r="H2619" i="1"/>
  <c r="F2619" i="1"/>
  <c r="E2619" i="1"/>
  <c r="H2618" i="1"/>
  <c r="F2618" i="1"/>
  <c r="E2618" i="1"/>
  <c r="H2617" i="1"/>
  <c r="F2617" i="1"/>
  <c r="E2617" i="1"/>
  <c r="H2616" i="1"/>
  <c r="F2616" i="1"/>
  <c r="E2616" i="1"/>
  <c r="H2615" i="1"/>
  <c r="F2615" i="1"/>
  <c r="E2615" i="1"/>
  <c r="H2614" i="1"/>
  <c r="F2614" i="1"/>
  <c r="E2614" i="1"/>
  <c r="H2613" i="1"/>
  <c r="F2613" i="1"/>
  <c r="E2613" i="1"/>
  <c r="H2612" i="1"/>
  <c r="F2612" i="1"/>
  <c r="E2612" i="1"/>
  <c r="H2611" i="1"/>
  <c r="F2611" i="1"/>
  <c r="E2611" i="1"/>
  <c r="H2610" i="1"/>
  <c r="F2610" i="1"/>
  <c r="E2610" i="1"/>
  <c r="H2609" i="1"/>
  <c r="F2609" i="1"/>
  <c r="E2609" i="1"/>
  <c r="H2608" i="1"/>
  <c r="F2608" i="1"/>
  <c r="E2608" i="1"/>
  <c r="H2607" i="1"/>
  <c r="F2607" i="1"/>
  <c r="E2607" i="1"/>
  <c r="H2606" i="1"/>
  <c r="F2606" i="1"/>
  <c r="E2606" i="1"/>
  <c r="H2605" i="1"/>
  <c r="F2605" i="1"/>
  <c r="E2605" i="1"/>
  <c r="H2604" i="1"/>
  <c r="F2604" i="1"/>
  <c r="E2604" i="1"/>
  <c r="H2603" i="1"/>
  <c r="F2603" i="1"/>
  <c r="E2603" i="1"/>
  <c r="H2602" i="1"/>
  <c r="F2602" i="1"/>
  <c r="E2602" i="1"/>
  <c r="H2601" i="1"/>
  <c r="F2601" i="1"/>
  <c r="E2601" i="1"/>
  <c r="H2600" i="1"/>
  <c r="F2600" i="1"/>
  <c r="E2600" i="1"/>
  <c r="H2599" i="1"/>
  <c r="F2599" i="1"/>
  <c r="E2599" i="1"/>
  <c r="H2598" i="1"/>
  <c r="F2598" i="1"/>
  <c r="E2598" i="1"/>
  <c r="H2597" i="1"/>
  <c r="F2597" i="1"/>
  <c r="E2597" i="1"/>
  <c r="H2596" i="1"/>
  <c r="F2596" i="1"/>
  <c r="E2596" i="1"/>
  <c r="H2595" i="1"/>
  <c r="F2595" i="1"/>
  <c r="E2595" i="1"/>
  <c r="H2594" i="1"/>
  <c r="F2594" i="1"/>
  <c r="E2594" i="1"/>
  <c r="H2593" i="1"/>
  <c r="F2593" i="1"/>
  <c r="E2593" i="1"/>
  <c r="H2592" i="1"/>
  <c r="F2592" i="1"/>
  <c r="E2592" i="1"/>
  <c r="H2591" i="1"/>
  <c r="F2591" i="1"/>
  <c r="E2591" i="1"/>
  <c r="H2590" i="1"/>
  <c r="F2590" i="1"/>
  <c r="E2590" i="1"/>
  <c r="H2589" i="1"/>
  <c r="F2589" i="1"/>
  <c r="E2589" i="1"/>
  <c r="H2588" i="1"/>
  <c r="F2588" i="1"/>
  <c r="E2588" i="1"/>
  <c r="H2587" i="1"/>
  <c r="F2587" i="1"/>
  <c r="E2587" i="1"/>
  <c r="H2586" i="1"/>
  <c r="F2586" i="1"/>
  <c r="E2586" i="1"/>
  <c r="H2585" i="1"/>
  <c r="F2585" i="1"/>
  <c r="E2585" i="1"/>
  <c r="H2584" i="1"/>
  <c r="F2584" i="1"/>
  <c r="E2584" i="1"/>
  <c r="H2583" i="1"/>
  <c r="F2583" i="1"/>
  <c r="E2583" i="1"/>
  <c r="H2582" i="1"/>
  <c r="F2582" i="1"/>
  <c r="E2582" i="1"/>
  <c r="H2581" i="1"/>
  <c r="F2581" i="1"/>
  <c r="E2581" i="1"/>
  <c r="H2580" i="1"/>
  <c r="F2580" i="1"/>
  <c r="E2580" i="1"/>
  <c r="H2579" i="1"/>
  <c r="F2579" i="1"/>
  <c r="E2579" i="1"/>
  <c r="H2578" i="1"/>
  <c r="F2578" i="1"/>
  <c r="E2578" i="1"/>
  <c r="H2577" i="1"/>
  <c r="F2577" i="1"/>
  <c r="E2577" i="1"/>
  <c r="H2576" i="1"/>
  <c r="F2576" i="1"/>
  <c r="E2576" i="1"/>
  <c r="H2575" i="1"/>
  <c r="F2575" i="1"/>
  <c r="E2575" i="1"/>
  <c r="H2574" i="1"/>
  <c r="F2574" i="1"/>
  <c r="E2574" i="1"/>
  <c r="H2573" i="1"/>
  <c r="F2573" i="1"/>
  <c r="E2573" i="1"/>
  <c r="H2572" i="1"/>
  <c r="F2572" i="1"/>
  <c r="E2572" i="1"/>
  <c r="H2571" i="1"/>
  <c r="F2571" i="1"/>
  <c r="E2571" i="1"/>
  <c r="H2570" i="1"/>
  <c r="F2570" i="1"/>
  <c r="E2570" i="1"/>
  <c r="H2569" i="1"/>
  <c r="F2569" i="1"/>
  <c r="E2569" i="1"/>
  <c r="H2568" i="1"/>
  <c r="F2568" i="1"/>
  <c r="E2568" i="1"/>
  <c r="H2567" i="1"/>
  <c r="F2567" i="1"/>
  <c r="E2567" i="1"/>
  <c r="H2566" i="1"/>
  <c r="F2566" i="1"/>
  <c r="E2566" i="1"/>
  <c r="H2565" i="1"/>
  <c r="F2565" i="1"/>
  <c r="E2565" i="1"/>
  <c r="H2564" i="1"/>
  <c r="F2564" i="1"/>
  <c r="E2564" i="1"/>
  <c r="H2563" i="1"/>
  <c r="F2563" i="1"/>
  <c r="E2563" i="1"/>
  <c r="H2562" i="1"/>
  <c r="F2562" i="1"/>
  <c r="E2562" i="1"/>
  <c r="H2561" i="1"/>
  <c r="F2561" i="1"/>
  <c r="E2561" i="1"/>
  <c r="H2560" i="1"/>
  <c r="F2560" i="1"/>
  <c r="E2560" i="1"/>
  <c r="H2559" i="1"/>
  <c r="F2559" i="1"/>
  <c r="E2559" i="1"/>
  <c r="H2558" i="1"/>
  <c r="F2558" i="1"/>
  <c r="E2558" i="1"/>
  <c r="H2557" i="1"/>
  <c r="F2557" i="1"/>
  <c r="E2557" i="1"/>
  <c r="H2556" i="1"/>
  <c r="F2556" i="1"/>
  <c r="E2556" i="1"/>
  <c r="H2555" i="1"/>
  <c r="F2555" i="1"/>
  <c r="E2555" i="1"/>
  <c r="H2554" i="1"/>
  <c r="F2554" i="1"/>
  <c r="E2554" i="1"/>
  <c r="H2553" i="1"/>
  <c r="F2553" i="1"/>
  <c r="E2553" i="1"/>
  <c r="H2552" i="1"/>
  <c r="F2552" i="1"/>
  <c r="E2552" i="1"/>
  <c r="H2551" i="1"/>
  <c r="F2551" i="1"/>
  <c r="E2551" i="1"/>
  <c r="H2550" i="1"/>
  <c r="F2550" i="1"/>
  <c r="E2550" i="1"/>
  <c r="H2549" i="1"/>
  <c r="F2549" i="1"/>
  <c r="E2549" i="1"/>
  <c r="H2548" i="1"/>
  <c r="F2548" i="1"/>
  <c r="E2548" i="1"/>
  <c r="H2547" i="1"/>
  <c r="F2547" i="1"/>
  <c r="E2547" i="1"/>
  <c r="H2546" i="1"/>
  <c r="F2546" i="1"/>
  <c r="E2546" i="1"/>
  <c r="H2545" i="1"/>
  <c r="F2545" i="1"/>
  <c r="E2545" i="1"/>
  <c r="H2544" i="1"/>
  <c r="F2544" i="1"/>
  <c r="E2544" i="1"/>
  <c r="H2543" i="1"/>
  <c r="F2543" i="1"/>
  <c r="E2543" i="1"/>
  <c r="H2542" i="1"/>
  <c r="F2542" i="1"/>
  <c r="E2542" i="1"/>
  <c r="H2541" i="1"/>
  <c r="F2541" i="1"/>
  <c r="E2541" i="1"/>
  <c r="H2540" i="1"/>
  <c r="F2540" i="1"/>
  <c r="E2540" i="1"/>
  <c r="H2539" i="1"/>
  <c r="F2539" i="1"/>
  <c r="E2539" i="1"/>
  <c r="H2538" i="1"/>
  <c r="F2538" i="1"/>
  <c r="E2538" i="1"/>
  <c r="H2537" i="1"/>
  <c r="F2537" i="1"/>
  <c r="E2537" i="1"/>
  <c r="H2536" i="1"/>
  <c r="F2536" i="1"/>
  <c r="E2536" i="1"/>
  <c r="H2535" i="1"/>
  <c r="F2535" i="1"/>
  <c r="E2535" i="1"/>
  <c r="H2534" i="1"/>
  <c r="F2534" i="1"/>
  <c r="E2534" i="1"/>
  <c r="H2533" i="1"/>
  <c r="F2533" i="1"/>
  <c r="E2533" i="1"/>
  <c r="H2532" i="1"/>
  <c r="F2532" i="1"/>
  <c r="E2532" i="1"/>
  <c r="H2531" i="1"/>
  <c r="F2531" i="1"/>
  <c r="E2531" i="1"/>
  <c r="H2530" i="1"/>
  <c r="F2530" i="1"/>
  <c r="E2530" i="1"/>
  <c r="H2529" i="1"/>
  <c r="F2529" i="1"/>
  <c r="E2529" i="1"/>
  <c r="H2528" i="1"/>
  <c r="F2528" i="1"/>
  <c r="E2528" i="1"/>
  <c r="H2527" i="1"/>
  <c r="F2527" i="1"/>
  <c r="E2527" i="1"/>
  <c r="H2526" i="1"/>
  <c r="F2526" i="1"/>
  <c r="E2526" i="1"/>
  <c r="H2525" i="1"/>
  <c r="F2525" i="1"/>
  <c r="E2525" i="1"/>
  <c r="H2524" i="1"/>
  <c r="F2524" i="1"/>
  <c r="E2524" i="1"/>
  <c r="H2523" i="1"/>
  <c r="F2523" i="1"/>
  <c r="E2523" i="1"/>
  <c r="H2522" i="1"/>
  <c r="F2522" i="1"/>
  <c r="E2522" i="1"/>
  <c r="H2521" i="1"/>
  <c r="F2521" i="1"/>
  <c r="E2521" i="1"/>
  <c r="H2520" i="1"/>
  <c r="F2520" i="1"/>
  <c r="E2520" i="1"/>
  <c r="H2519" i="1"/>
  <c r="F2519" i="1"/>
  <c r="E2519" i="1"/>
  <c r="H2518" i="1"/>
  <c r="F2518" i="1"/>
  <c r="E2518" i="1"/>
  <c r="H2517" i="1"/>
  <c r="F2517" i="1"/>
  <c r="E2517" i="1"/>
  <c r="H2516" i="1"/>
  <c r="F2516" i="1"/>
  <c r="E2516" i="1"/>
  <c r="H2515" i="1"/>
  <c r="F2515" i="1"/>
  <c r="E2515" i="1"/>
  <c r="H2514" i="1"/>
  <c r="F2514" i="1"/>
  <c r="E2514" i="1"/>
  <c r="H2513" i="1"/>
  <c r="F2513" i="1"/>
  <c r="E2513" i="1"/>
  <c r="H2512" i="1"/>
  <c r="F2512" i="1"/>
  <c r="E2512" i="1"/>
  <c r="H2511" i="1"/>
  <c r="F2511" i="1"/>
  <c r="E2511" i="1"/>
  <c r="H2510" i="1"/>
  <c r="F2510" i="1"/>
  <c r="E2510" i="1"/>
  <c r="H2509" i="1"/>
  <c r="F2509" i="1"/>
  <c r="E2509" i="1"/>
  <c r="H2508" i="1"/>
  <c r="F2508" i="1"/>
  <c r="E2508" i="1"/>
  <c r="H2507" i="1"/>
  <c r="F2507" i="1"/>
  <c r="E2507" i="1"/>
  <c r="H2506" i="1"/>
  <c r="F2506" i="1"/>
  <c r="E2506" i="1"/>
  <c r="H2505" i="1"/>
  <c r="F2505" i="1"/>
  <c r="E2505" i="1"/>
  <c r="H2504" i="1"/>
  <c r="F2504" i="1"/>
  <c r="E2504" i="1"/>
  <c r="H2503" i="1"/>
  <c r="F2503" i="1"/>
  <c r="E2503" i="1"/>
  <c r="H2502" i="1"/>
  <c r="F2502" i="1"/>
  <c r="E2502" i="1"/>
  <c r="H2501" i="1"/>
  <c r="F2501" i="1"/>
  <c r="E2501" i="1"/>
  <c r="H2500" i="1"/>
  <c r="F2500" i="1"/>
  <c r="E2500" i="1"/>
  <c r="H2499" i="1"/>
  <c r="F2499" i="1"/>
  <c r="E2499" i="1"/>
  <c r="H2498" i="1"/>
  <c r="F2498" i="1"/>
  <c r="E2498" i="1"/>
  <c r="H2497" i="1"/>
  <c r="F2497" i="1"/>
  <c r="E2497" i="1"/>
  <c r="H2496" i="1"/>
  <c r="F2496" i="1"/>
  <c r="E2496" i="1"/>
  <c r="H2495" i="1"/>
  <c r="F2495" i="1"/>
  <c r="E2495" i="1"/>
  <c r="H2494" i="1"/>
  <c r="F2494" i="1"/>
  <c r="E2494" i="1"/>
  <c r="H2493" i="1"/>
  <c r="F2493" i="1"/>
  <c r="E2493" i="1"/>
  <c r="H2492" i="1"/>
  <c r="F2492" i="1"/>
  <c r="E2492" i="1"/>
  <c r="H2491" i="1"/>
  <c r="F2491" i="1"/>
  <c r="E2491" i="1"/>
  <c r="H2490" i="1"/>
  <c r="F2490" i="1"/>
  <c r="E2490" i="1"/>
  <c r="H2489" i="1"/>
  <c r="F2489" i="1"/>
  <c r="E2489" i="1"/>
  <c r="H2488" i="1"/>
  <c r="F2488" i="1"/>
  <c r="E2488" i="1"/>
  <c r="H2487" i="1"/>
  <c r="F2487" i="1"/>
  <c r="E2487" i="1"/>
  <c r="H2486" i="1"/>
  <c r="F2486" i="1"/>
  <c r="E2486" i="1"/>
  <c r="H2485" i="1"/>
  <c r="F2485" i="1"/>
  <c r="E2485" i="1"/>
  <c r="H2484" i="1"/>
  <c r="F2484" i="1"/>
  <c r="E2484" i="1"/>
  <c r="H2483" i="1"/>
  <c r="F2483" i="1"/>
  <c r="E2483" i="1"/>
  <c r="H2482" i="1"/>
  <c r="F2482" i="1"/>
  <c r="E2482" i="1"/>
  <c r="H2481" i="1"/>
  <c r="F2481" i="1"/>
  <c r="E2481" i="1"/>
  <c r="H2480" i="1"/>
  <c r="F2480" i="1"/>
  <c r="E2480" i="1"/>
  <c r="H2479" i="1"/>
  <c r="F2479" i="1"/>
  <c r="E2479" i="1"/>
  <c r="H2478" i="1"/>
  <c r="F2478" i="1"/>
  <c r="E2478" i="1"/>
  <c r="H2477" i="1"/>
  <c r="F2477" i="1"/>
  <c r="E2477" i="1"/>
  <c r="H2476" i="1"/>
  <c r="F2476" i="1"/>
  <c r="E2476" i="1"/>
  <c r="H2475" i="1"/>
  <c r="F2475" i="1"/>
  <c r="E2475" i="1"/>
  <c r="H2474" i="1"/>
  <c r="F2474" i="1"/>
  <c r="E2474" i="1"/>
  <c r="H2473" i="1"/>
  <c r="F2473" i="1"/>
  <c r="E2473" i="1"/>
  <c r="H2472" i="1"/>
  <c r="F2472" i="1"/>
  <c r="E2472" i="1"/>
  <c r="H2471" i="1"/>
  <c r="F2471" i="1"/>
  <c r="E2471" i="1"/>
  <c r="H2470" i="1"/>
  <c r="F2470" i="1"/>
  <c r="E2470" i="1"/>
  <c r="H2469" i="1"/>
  <c r="F2469" i="1"/>
  <c r="E2469" i="1"/>
  <c r="H2468" i="1"/>
  <c r="F2468" i="1"/>
  <c r="E2468" i="1"/>
  <c r="H2467" i="1"/>
  <c r="F2467" i="1"/>
  <c r="E2467" i="1"/>
  <c r="H2466" i="1"/>
  <c r="F2466" i="1"/>
  <c r="E2466" i="1"/>
  <c r="H2465" i="1"/>
  <c r="F2465" i="1"/>
  <c r="E2465" i="1"/>
  <c r="H2464" i="1"/>
  <c r="F2464" i="1"/>
  <c r="E2464" i="1"/>
  <c r="H2463" i="1"/>
  <c r="F2463" i="1"/>
  <c r="E2463" i="1"/>
  <c r="H2462" i="1"/>
  <c r="F2462" i="1"/>
  <c r="E2462" i="1"/>
  <c r="H2461" i="1"/>
  <c r="F2461" i="1"/>
  <c r="E2461" i="1"/>
  <c r="H2460" i="1"/>
  <c r="F2460" i="1"/>
  <c r="E2460" i="1"/>
  <c r="H2459" i="1"/>
  <c r="F2459" i="1"/>
  <c r="E2459" i="1"/>
  <c r="H2458" i="1"/>
  <c r="F2458" i="1"/>
  <c r="E2458" i="1"/>
  <c r="H2457" i="1"/>
  <c r="F2457" i="1"/>
  <c r="E2457" i="1"/>
  <c r="H2456" i="1"/>
  <c r="F2456" i="1"/>
  <c r="E2456" i="1"/>
  <c r="H2455" i="1"/>
  <c r="F2455" i="1"/>
  <c r="E2455" i="1"/>
  <c r="H2454" i="1"/>
  <c r="F2454" i="1"/>
  <c r="E2454" i="1"/>
  <c r="H2453" i="1"/>
  <c r="F2453" i="1"/>
  <c r="E2453" i="1"/>
  <c r="H2452" i="1"/>
  <c r="F2452" i="1"/>
  <c r="E2452" i="1"/>
  <c r="H2451" i="1"/>
  <c r="F2451" i="1"/>
  <c r="E2451" i="1"/>
  <c r="H2450" i="1"/>
  <c r="F2450" i="1"/>
  <c r="E2450" i="1"/>
  <c r="H2449" i="1"/>
  <c r="F2449" i="1"/>
  <c r="E2449" i="1"/>
  <c r="H2448" i="1"/>
  <c r="F2448" i="1"/>
  <c r="E2448" i="1"/>
  <c r="H2447" i="1"/>
  <c r="F2447" i="1"/>
  <c r="E2447" i="1"/>
  <c r="H2446" i="1"/>
  <c r="F2446" i="1"/>
  <c r="E2446" i="1"/>
  <c r="H2445" i="1"/>
  <c r="F2445" i="1"/>
  <c r="E2445" i="1"/>
  <c r="H2444" i="1"/>
  <c r="F2444" i="1"/>
  <c r="E2444" i="1"/>
  <c r="H2443" i="1"/>
  <c r="F2443" i="1"/>
  <c r="E2443" i="1"/>
  <c r="H2442" i="1"/>
  <c r="F2442" i="1"/>
  <c r="E2442" i="1"/>
  <c r="H2441" i="1"/>
  <c r="F2441" i="1"/>
  <c r="E2441" i="1"/>
  <c r="H2440" i="1"/>
  <c r="F2440" i="1"/>
  <c r="E2440" i="1"/>
  <c r="H2439" i="1"/>
  <c r="F2439" i="1"/>
  <c r="E2439" i="1"/>
  <c r="H2438" i="1"/>
  <c r="F2438" i="1"/>
  <c r="E2438" i="1"/>
  <c r="H2437" i="1"/>
  <c r="F2437" i="1"/>
  <c r="E2437" i="1"/>
  <c r="H2436" i="1"/>
  <c r="F2436" i="1"/>
  <c r="E2436" i="1"/>
  <c r="H2435" i="1"/>
  <c r="F2435" i="1"/>
  <c r="E2435" i="1"/>
  <c r="H2434" i="1"/>
  <c r="F2434" i="1"/>
  <c r="E2434" i="1"/>
  <c r="H2433" i="1"/>
  <c r="F2433" i="1"/>
  <c r="E2433" i="1"/>
  <c r="H2432" i="1"/>
  <c r="F2432" i="1"/>
  <c r="E2432" i="1"/>
  <c r="H2431" i="1"/>
  <c r="F2431" i="1"/>
  <c r="E2431" i="1"/>
  <c r="H2430" i="1"/>
  <c r="F2430" i="1"/>
  <c r="E2430" i="1"/>
  <c r="H2429" i="1"/>
  <c r="F2429" i="1"/>
  <c r="E2429" i="1"/>
  <c r="H2428" i="1"/>
  <c r="F2428" i="1"/>
  <c r="E2428" i="1"/>
  <c r="H2427" i="1"/>
  <c r="F2427" i="1"/>
  <c r="E2427" i="1"/>
  <c r="H2426" i="1"/>
  <c r="F2426" i="1"/>
  <c r="E2426" i="1"/>
  <c r="H2425" i="1"/>
  <c r="F2425" i="1"/>
  <c r="E2425" i="1"/>
  <c r="H2424" i="1"/>
  <c r="F2424" i="1"/>
  <c r="E2424" i="1"/>
  <c r="H2423" i="1"/>
  <c r="F2423" i="1"/>
  <c r="E2423" i="1"/>
  <c r="H2422" i="1"/>
  <c r="F2422" i="1"/>
  <c r="E2422" i="1"/>
  <c r="H2421" i="1"/>
  <c r="F2421" i="1"/>
  <c r="E2421" i="1"/>
  <c r="H2420" i="1"/>
  <c r="F2420" i="1"/>
  <c r="E2420" i="1"/>
  <c r="H2419" i="1"/>
  <c r="F2419" i="1"/>
  <c r="E2419" i="1"/>
  <c r="H2418" i="1"/>
  <c r="F2418" i="1"/>
  <c r="E2418" i="1"/>
  <c r="H2417" i="1"/>
  <c r="F2417" i="1"/>
  <c r="E2417" i="1"/>
  <c r="H2416" i="1"/>
  <c r="F2416" i="1"/>
  <c r="E2416" i="1"/>
  <c r="H2415" i="1"/>
  <c r="F2415" i="1"/>
  <c r="E2415" i="1"/>
  <c r="H2414" i="1"/>
  <c r="F2414" i="1"/>
  <c r="E2414" i="1"/>
  <c r="H2413" i="1"/>
  <c r="F2413" i="1"/>
  <c r="E2413" i="1"/>
  <c r="H2412" i="1"/>
  <c r="F2412" i="1"/>
  <c r="E2412" i="1"/>
  <c r="H2411" i="1"/>
  <c r="F2411" i="1"/>
  <c r="E2411" i="1"/>
  <c r="H2410" i="1"/>
  <c r="F2410" i="1"/>
  <c r="E2410" i="1"/>
  <c r="H2409" i="1"/>
  <c r="F2409" i="1"/>
  <c r="E2409" i="1"/>
  <c r="H2408" i="1"/>
  <c r="F2408" i="1"/>
  <c r="E2408" i="1"/>
  <c r="H2407" i="1"/>
  <c r="F2407" i="1"/>
  <c r="E2407" i="1"/>
  <c r="H2406" i="1"/>
  <c r="F2406" i="1"/>
  <c r="E2406" i="1"/>
  <c r="H2405" i="1"/>
  <c r="F2405" i="1"/>
  <c r="E2405" i="1"/>
  <c r="H2404" i="1"/>
  <c r="F2404" i="1"/>
  <c r="E2404" i="1"/>
  <c r="H2403" i="1"/>
  <c r="F2403" i="1"/>
  <c r="E2403" i="1"/>
  <c r="H2402" i="1"/>
  <c r="F2402" i="1"/>
  <c r="E2402" i="1"/>
  <c r="H2401" i="1"/>
  <c r="F2401" i="1"/>
  <c r="E2401" i="1"/>
  <c r="H2400" i="1"/>
  <c r="F2400" i="1"/>
  <c r="E2400" i="1"/>
  <c r="H2399" i="1"/>
  <c r="F2399" i="1"/>
  <c r="E2399" i="1"/>
  <c r="H2398" i="1"/>
  <c r="F2398" i="1"/>
  <c r="E2398" i="1"/>
  <c r="H2397" i="1"/>
  <c r="F2397" i="1"/>
  <c r="E2397" i="1"/>
  <c r="H2396" i="1"/>
  <c r="F2396" i="1"/>
  <c r="E2396" i="1"/>
  <c r="H2395" i="1"/>
  <c r="F2395" i="1"/>
  <c r="E2395" i="1"/>
  <c r="H2394" i="1"/>
  <c r="F2394" i="1"/>
  <c r="E2394" i="1"/>
  <c r="H2393" i="1"/>
  <c r="F2393" i="1"/>
  <c r="E2393" i="1"/>
  <c r="H2392" i="1"/>
  <c r="F2392" i="1"/>
  <c r="E2392" i="1"/>
  <c r="H2391" i="1"/>
  <c r="F2391" i="1"/>
  <c r="E2391" i="1"/>
  <c r="H2390" i="1"/>
  <c r="F2390" i="1"/>
  <c r="E2390" i="1"/>
  <c r="H2389" i="1"/>
  <c r="F2389" i="1"/>
  <c r="E2389" i="1"/>
  <c r="H2388" i="1"/>
  <c r="F2388" i="1"/>
  <c r="E2388" i="1"/>
  <c r="H2387" i="1"/>
  <c r="F2387" i="1"/>
  <c r="E2387" i="1"/>
  <c r="H2386" i="1"/>
  <c r="F2386" i="1"/>
  <c r="E2386" i="1"/>
  <c r="H2385" i="1"/>
  <c r="F2385" i="1"/>
  <c r="E2385" i="1"/>
  <c r="H2384" i="1"/>
  <c r="F2384" i="1"/>
  <c r="E2384" i="1"/>
  <c r="H2383" i="1"/>
  <c r="F2383" i="1"/>
  <c r="E2383" i="1"/>
  <c r="H2382" i="1"/>
  <c r="F2382" i="1"/>
  <c r="E2382" i="1"/>
  <c r="H2381" i="1"/>
  <c r="F2381" i="1"/>
  <c r="E2381" i="1"/>
  <c r="H2380" i="1"/>
  <c r="F2380" i="1"/>
  <c r="E2380" i="1"/>
  <c r="H2379" i="1"/>
  <c r="F2379" i="1"/>
  <c r="E2379" i="1"/>
  <c r="H2378" i="1"/>
  <c r="F2378" i="1"/>
  <c r="E2378" i="1"/>
  <c r="H2377" i="1"/>
  <c r="F2377" i="1"/>
  <c r="E2377" i="1"/>
  <c r="H2376" i="1"/>
  <c r="F2376" i="1"/>
  <c r="E2376" i="1"/>
  <c r="H2375" i="1"/>
  <c r="F2375" i="1"/>
  <c r="E2375" i="1"/>
  <c r="H2374" i="1"/>
  <c r="F2374" i="1"/>
  <c r="E2374" i="1"/>
  <c r="H2373" i="1"/>
  <c r="F2373" i="1"/>
  <c r="E2373" i="1"/>
  <c r="H2372" i="1"/>
  <c r="F2372" i="1"/>
  <c r="E2372" i="1"/>
  <c r="H2371" i="1"/>
  <c r="F2371" i="1"/>
  <c r="E2371" i="1"/>
  <c r="H2370" i="1"/>
  <c r="F2370" i="1"/>
  <c r="E2370" i="1"/>
  <c r="H2369" i="1"/>
  <c r="F2369" i="1"/>
  <c r="E2369" i="1"/>
  <c r="H2368" i="1"/>
  <c r="F2368" i="1"/>
  <c r="E2368" i="1"/>
  <c r="H2367" i="1"/>
  <c r="F2367" i="1"/>
  <c r="E2367" i="1"/>
  <c r="H2366" i="1"/>
  <c r="F2366" i="1"/>
  <c r="E2366" i="1"/>
  <c r="H2365" i="1"/>
  <c r="F2365" i="1"/>
  <c r="E2365" i="1"/>
  <c r="H2364" i="1"/>
  <c r="F2364" i="1"/>
  <c r="E2364" i="1"/>
  <c r="H2363" i="1"/>
  <c r="F2363" i="1"/>
  <c r="E2363" i="1"/>
  <c r="H2362" i="1"/>
  <c r="F2362" i="1"/>
  <c r="E2362" i="1"/>
  <c r="H2361" i="1"/>
  <c r="F2361" i="1"/>
  <c r="E2361" i="1"/>
  <c r="H2360" i="1"/>
  <c r="F2360" i="1"/>
  <c r="E2360" i="1"/>
  <c r="H2359" i="1"/>
  <c r="F2359" i="1"/>
  <c r="E2359" i="1"/>
  <c r="H2358" i="1"/>
  <c r="F2358" i="1"/>
  <c r="E2358" i="1"/>
  <c r="H2357" i="1"/>
  <c r="F2357" i="1"/>
  <c r="E2357" i="1"/>
  <c r="H2356" i="1"/>
  <c r="F2356" i="1"/>
  <c r="E2356" i="1"/>
  <c r="H2355" i="1"/>
  <c r="F2355" i="1"/>
  <c r="E2355" i="1"/>
  <c r="H2354" i="1"/>
  <c r="F2354" i="1"/>
  <c r="E2354" i="1"/>
  <c r="H2353" i="1"/>
  <c r="F2353" i="1"/>
  <c r="E2353" i="1"/>
  <c r="H2352" i="1"/>
  <c r="F2352" i="1"/>
  <c r="E2352" i="1"/>
  <c r="H2351" i="1"/>
  <c r="F2351" i="1"/>
  <c r="E2351" i="1"/>
  <c r="H2350" i="1"/>
  <c r="F2350" i="1"/>
  <c r="E2350" i="1"/>
  <c r="H2349" i="1"/>
  <c r="F2349" i="1"/>
  <c r="E2349" i="1"/>
  <c r="H2348" i="1"/>
  <c r="F2348" i="1"/>
  <c r="E2348" i="1"/>
  <c r="H2347" i="1"/>
  <c r="F2347" i="1"/>
  <c r="E2347" i="1"/>
  <c r="H2346" i="1"/>
  <c r="F2346" i="1"/>
  <c r="E2346" i="1"/>
  <c r="H2345" i="1"/>
  <c r="F2345" i="1"/>
  <c r="E2345" i="1"/>
  <c r="H2344" i="1"/>
  <c r="F2344" i="1"/>
  <c r="E2344" i="1"/>
  <c r="H2343" i="1"/>
  <c r="F2343" i="1"/>
  <c r="E2343" i="1"/>
  <c r="H2342" i="1"/>
  <c r="F2342" i="1"/>
  <c r="E2342" i="1"/>
  <c r="H2341" i="1"/>
  <c r="F2341" i="1"/>
  <c r="E2341" i="1"/>
  <c r="H2340" i="1"/>
  <c r="F2340" i="1"/>
  <c r="E2340" i="1"/>
  <c r="H2339" i="1"/>
  <c r="F2339" i="1"/>
  <c r="E2339" i="1"/>
  <c r="H2338" i="1"/>
  <c r="F2338" i="1"/>
  <c r="E2338" i="1"/>
  <c r="H2337" i="1"/>
  <c r="F2337" i="1"/>
  <c r="E2337" i="1"/>
  <c r="H2336" i="1"/>
  <c r="F2336" i="1"/>
  <c r="E2336" i="1"/>
  <c r="H2335" i="1"/>
  <c r="F2335" i="1"/>
  <c r="E2335" i="1"/>
  <c r="H2334" i="1"/>
  <c r="F2334" i="1"/>
  <c r="E2334" i="1"/>
  <c r="H2333" i="1"/>
  <c r="F2333" i="1"/>
  <c r="E2333" i="1"/>
  <c r="H2332" i="1"/>
  <c r="F2332" i="1"/>
  <c r="E2332" i="1"/>
  <c r="H2331" i="1"/>
  <c r="F2331" i="1"/>
  <c r="E2331" i="1"/>
  <c r="H2330" i="1"/>
  <c r="F2330" i="1"/>
  <c r="E2330" i="1"/>
  <c r="H2329" i="1"/>
  <c r="F2329" i="1"/>
  <c r="E2329" i="1"/>
  <c r="H2328" i="1"/>
  <c r="F2328" i="1"/>
  <c r="E2328" i="1"/>
  <c r="H2327" i="1"/>
  <c r="F2327" i="1"/>
  <c r="E2327" i="1"/>
  <c r="H2326" i="1"/>
  <c r="F2326" i="1"/>
  <c r="E2326" i="1"/>
  <c r="H2325" i="1"/>
  <c r="F2325" i="1"/>
  <c r="E2325" i="1"/>
  <c r="H2324" i="1"/>
  <c r="F2324" i="1"/>
  <c r="E2324" i="1"/>
  <c r="H2323" i="1"/>
  <c r="F2323" i="1"/>
  <c r="E2323" i="1"/>
  <c r="H2322" i="1"/>
  <c r="F2322" i="1"/>
  <c r="E2322" i="1"/>
  <c r="H2321" i="1"/>
  <c r="F2321" i="1"/>
  <c r="E2321" i="1"/>
  <c r="H2320" i="1"/>
  <c r="F2320" i="1"/>
  <c r="E2320" i="1"/>
  <c r="H2319" i="1"/>
  <c r="F2319" i="1"/>
  <c r="E2319" i="1"/>
  <c r="H2318" i="1"/>
  <c r="F2318" i="1"/>
  <c r="E2318" i="1"/>
  <c r="H2317" i="1"/>
  <c r="F2317" i="1"/>
  <c r="E2317" i="1"/>
  <c r="H2316" i="1"/>
  <c r="F2316" i="1"/>
  <c r="E2316" i="1"/>
  <c r="H2315" i="1"/>
  <c r="F2315" i="1"/>
  <c r="E2315" i="1"/>
  <c r="H2314" i="1"/>
  <c r="F2314" i="1"/>
  <c r="E2314" i="1"/>
  <c r="H2313" i="1"/>
  <c r="F2313" i="1"/>
  <c r="E2313" i="1"/>
  <c r="H2312" i="1"/>
  <c r="F2312" i="1"/>
  <c r="E2312" i="1"/>
  <c r="H2311" i="1"/>
  <c r="F2311" i="1"/>
  <c r="E2311" i="1"/>
  <c r="H2310" i="1"/>
  <c r="F2310" i="1"/>
  <c r="E2310" i="1"/>
  <c r="H2309" i="1"/>
  <c r="F2309" i="1"/>
  <c r="E2309" i="1"/>
  <c r="H2308" i="1"/>
  <c r="F2308" i="1"/>
  <c r="E2308" i="1"/>
  <c r="H2307" i="1"/>
  <c r="F2307" i="1"/>
  <c r="E2307" i="1"/>
  <c r="H2306" i="1"/>
  <c r="F2306" i="1"/>
  <c r="E2306" i="1"/>
  <c r="H2305" i="1"/>
  <c r="F2305" i="1"/>
  <c r="E2305" i="1"/>
  <c r="H2304" i="1"/>
  <c r="F2304" i="1"/>
  <c r="E2304" i="1"/>
  <c r="H2303" i="1"/>
  <c r="F2303" i="1"/>
  <c r="E2303" i="1"/>
  <c r="H2302" i="1"/>
  <c r="F2302" i="1"/>
  <c r="E2302" i="1"/>
  <c r="H2301" i="1"/>
  <c r="F2301" i="1"/>
  <c r="E2301" i="1"/>
  <c r="H2300" i="1"/>
  <c r="F2300" i="1"/>
  <c r="E2300" i="1"/>
  <c r="H2299" i="1"/>
  <c r="F2299" i="1"/>
  <c r="E2299" i="1"/>
  <c r="H2298" i="1"/>
  <c r="F2298" i="1"/>
  <c r="E2298" i="1"/>
  <c r="H2297" i="1"/>
  <c r="F2297" i="1"/>
  <c r="E2297" i="1"/>
  <c r="H2296" i="1"/>
  <c r="F2296" i="1"/>
  <c r="E2296" i="1"/>
  <c r="H2295" i="1"/>
  <c r="F2295" i="1"/>
  <c r="E2295" i="1"/>
  <c r="H2294" i="1"/>
  <c r="F2294" i="1"/>
  <c r="E2294" i="1"/>
  <c r="H2293" i="1"/>
  <c r="F2293" i="1"/>
  <c r="E2293" i="1"/>
  <c r="H2292" i="1"/>
  <c r="F2292" i="1"/>
  <c r="E2292" i="1"/>
  <c r="H2291" i="1"/>
  <c r="F2291" i="1"/>
  <c r="E2291" i="1"/>
  <c r="H2290" i="1"/>
  <c r="F2290" i="1"/>
  <c r="E2290" i="1"/>
  <c r="H2289" i="1"/>
  <c r="F2289" i="1"/>
  <c r="E2289" i="1"/>
  <c r="H2288" i="1"/>
  <c r="F2288" i="1"/>
  <c r="E2288" i="1"/>
  <c r="H2287" i="1"/>
  <c r="F2287" i="1"/>
  <c r="E2287" i="1"/>
  <c r="H2286" i="1"/>
  <c r="F2286" i="1"/>
  <c r="E2286" i="1"/>
  <c r="H2285" i="1"/>
  <c r="F2285" i="1"/>
  <c r="E2285" i="1"/>
  <c r="H2284" i="1"/>
  <c r="F2284" i="1"/>
  <c r="E2284" i="1"/>
  <c r="H2283" i="1"/>
  <c r="F2283" i="1"/>
  <c r="E2283" i="1"/>
  <c r="H2282" i="1"/>
  <c r="F2282" i="1"/>
  <c r="E2282" i="1"/>
  <c r="H2281" i="1"/>
  <c r="F2281" i="1"/>
  <c r="E2281" i="1"/>
  <c r="H2280" i="1"/>
  <c r="F2280" i="1"/>
  <c r="E2280" i="1"/>
  <c r="H2279" i="1"/>
  <c r="F2279" i="1"/>
  <c r="E2279" i="1"/>
  <c r="H2278" i="1"/>
  <c r="F2278" i="1"/>
  <c r="E2278" i="1"/>
  <c r="H2277" i="1"/>
  <c r="F2277" i="1"/>
  <c r="E2277" i="1"/>
  <c r="H2276" i="1"/>
  <c r="F2276" i="1"/>
  <c r="E2276" i="1"/>
  <c r="H2275" i="1"/>
  <c r="F2275" i="1"/>
  <c r="E2275" i="1"/>
  <c r="H2274" i="1"/>
  <c r="F2274" i="1"/>
  <c r="E2274" i="1"/>
  <c r="H2273" i="1"/>
  <c r="F2273" i="1"/>
  <c r="E2273" i="1"/>
  <c r="H2272" i="1"/>
  <c r="F2272" i="1"/>
  <c r="E2272" i="1"/>
  <c r="H2271" i="1"/>
  <c r="F2271" i="1"/>
  <c r="E2271" i="1"/>
  <c r="H2270" i="1"/>
  <c r="F2270" i="1"/>
  <c r="E2270" i="1"/>
  <c r="H2269" i="1"/>
  <c r="F2269" i="1"/>
  <c r="E2269" i="1"/>
  <c r="H2268" i="1"/>
  <c r="F2268" i="1"/>
  <c r="E2268" i="1"/>
  <c r="H2267" i="1"/>
  <c r="F2267" i="1"/>
  <c r="E2267" i="1"/>
  <c r="H2266" i="1"/>
  <c r="F2266" i="1"/>
  <c r="E2266" i="1"/>
  <c r="H2265" i="1"/>
  <c r="F2265" i="1"/>
  <c r="E2265" i="1"/>
  <c r="H2264" i="1"/>
  <c r="F2264" i="1"/>
  <c r="E2264" i="1"/>
  <c r="H2263" i="1"/>
  <c r="F2263" i="1"/>
  <c r="E2263" i="1"/>
  <c r="H2262" i="1"/>
  <c r="F2262" i="1"/>
  <c r="E2262" i="1"/>
  <c r="H2261" i="1"/>
  <c r="F2261" i="1"/>
  <c r="E2261" i="1"/>
  <c r="H2260" i="1"/>
  <c r="F2260" i="1"/>
  <c r="E2260" i="1"/>
  <c r="H2259" i="1"/>
  <c r="F2259" i="1"/>
  <c r="E2259" i="1"/>
  <c r="H2258" i="1"/>
  <c r="F2258" i="1"/>
  <c r="E2258" i="1"/>
  <c r="H2257" i="1"/>
  <c r="F2257" i="1"/>
  <c r="E2257" i="1"/>
  <c r="H2256" i="1"/>
  <c r="F2256" i="1"/>
  <c r="E2256" i="1"/>
  <c r="H2255" i="1"/>
  <c r="F2255" i="1"/>
  <c r="E2255" i="1"/>
  <c r="H2254" i="1"/>
  <c r="F2254" i="1"/>
  <c r="E2254" i="1"/>
  <c r="H2253" i="1"/>
  <c r="F2253" i="1"/>
  <c r="E2253" i="1"/>
  <c r="H2252" i="1"/>
  <c r="F2252" i="1"/>
  <c r="E2252" i="1"/>
  <c r="H2251" i="1"/>
  <c r="F2251" i="1"/>
  <c r="E2251" i="1"/>
  <c r="H2250" i="1"/>
  <c r="F2250" i="1"/>
  <c r="E2250" i="1"/>
  <c r="H2249" i="1"/>
  <c r="F2249" i="1"/>
  <c r="E2249" i="1"/>
  <c r="H2248" i="1"/>
  <c r="F2248" i="1"/>
  <c r="E2248" i="1"/>
  <c r="H2247" i="1"/>
  <c r="F2247" i="1"/>
  <c r="E2247" i="1"/>
  <c r="H2246" i="1"/>
  <c r="F2246" i="1"/>
  <c r="E2246" i="1"/>
  <c r="H2245" i="1"/>
  <c r="F2245" i="1"/>
  <c r="E2245" i="1"/>
  <c r="H2244" i="1"/>
  <c r="F2244" i="1"/>
  <c r="E2244" i="1"/>
  <c r="H2243" i="1"/>
  <c r="F2243" i="1"/>
  <c r="E2243" i="1"/>
  <c r="H2242" i="1"/>
  <c r="F2242" i="1"/>
  <c r="E2242" i="1"/>
  <c r="H2241" i="1"/>
  <c r="F2241" i="1"/>
  <c r="E2241" i="1"/>
  <c r="H2240" i="1"/>
  <c r="F2240" i="1"/>
  <c r="E2240" i="1"/>
  <c r="H2239" i="1"/>
  <c r="F2239" i="1"/>
  <c r="E2239" i="1"/>
  <c r="H2238" i="1"/>
  <c r="F2238" i="1"/>
  <c r="E2238" i="1"/>
  <c r="H2237" i="1"/>
  <c r="F2237" i="1"/>
  <c r="E2237" i="1"/>
  <c r="H2236" i="1"/>
  <c r="F2236" i="1"/>
  <c r="E2236" i="1"/>
  <c r="H2235" i="1"/>
  <c r="F2235" i="1"/>
  <c r="E2235" i="1"/>
  <c r="H2234" i="1"/>
  <c r="F2234" i="1"/>
  <c r="E2234" i="1"/>
  <c r="H2233" i="1"/>
  <c r="F2233" i="1"/>
  <c r="E2233" i="1"/>
  <c r="H2232" i="1"/>
  <c r="F2232" i="1"/>
  <c r="E2232" i="1"/>
  <c r="H2231" i="1"/>
  <c r="F2231" i="1"/>
  <c r="E2231" i="1"/>
  <c r="H2230" i="1"/>
  <c r="F2230" i="1"/>
  <c r="E2230" i="1"/>
  <c r="H2229" i="1"/>
  <c r="F2229" i="1"/>
  <c r="E2229" i="1"/>
  <c r="H2228" i="1"/>
  <c r="F2228" i="1"/>
  <c r="E2228" i="1"/>
  <c r="H2227" i="1"/>
  <c r="F2227" i="1"/>
  <c r="E2227" i="1"/>
  <c r="H2226" i="1"/>
  <c r="F2226" i="1"/>
  <c r="E2226" i="1"/>
  <c r="H2225" i="1"/>
  <c r="F2225" i="1"/>
  <c r="E2225" i="1"/>
  <c r="H2224" i="1"/>
  <c r="F2224" i="1"/>
  <c r="E2224" i="1"/>
  <c r="H2223" i="1"/>
  <c r="F2223" i="1"/>
  <c r="E2223" i="1"/>
  <c r="H2222" i="1"/>
  <c r="F2222" i="1"/>
  <c r="E2222" i="1"/>
  <c r="H2221" i="1"/>
  <c r="F2221" i="1"/>
  <c r="E2221" i="1"/>
  <c r="H2220" i="1"/>
  <c r="F2220" i="1"/>
  <c r="E2220" i="1"/>
  <c r="H2219" i="1"/>
  <c r="F2219" i="1"/>
  <c r="E2219" i="1"/>
  <c r="H2218" i="1"/>
  <c r="F2218" i="1"/>
  <c r="E2218" i="1"/>
  <c r="H2217" i="1"/>
  <c r="F2217" i="1"/>
  <c r="E2217" i="1"/>
  <c r="H2216" i="1"/>
  <c r="F2216" i="1"/>
  <c r="E2216" i="1"/>
  <c r="H2215" i="1"/>
  <c r="F2215" i="1"/>
  <c r="E2215" i="1"/>
  <c r="H2214" i="1"/>
  <c r="F2214" i="1"/>
  <c r="E2214" i="1"/>
  <c r="H2213" i="1"/>
  <c r="F2213" i="1"/>
  <c r="E2213" i="1"/>
  <c r="H2212" i="1"/>
  <c r="F2212" i="1"/>
  <c r="E2212" i="1"/>
  <c r="H2211" i="1"/>
  <c r="F2211" i="1"/>
  <c r="E2211" i="1"/>
  <c r="H2210" i="1"/>
  <c r="F2210" i="1"/>
  <c r="E2210" i="1"/>
  <c r="H2209" i="1"/>
  <c r="F2209" i="1"/>
  <c r="E2209" i="1"/>
  <c r="H2208" i="1"/>
  <c r="F2208" i="1"/>
  <c r="E2208" i="1"/>
  <c r="H2207" i="1"/>
  <c r="F2207" i="1"/>
  <c r="E2207" i="1"/>
  <c r="H2206" i="1"/>
  <c r="F2206" i="1"/>
  <c r="E2206" i="1"/>
  <c r="H2205" i="1"/>
  <c r="F2205" i="1"/>
  <c r="E2205" i="1"/>
  <c r="H2204" i="1"/>
  <c r="F2204" i="1"/>
  <c r="E2204" i="1"/>
  <c r="H2203" i="1"/>
  <c r="F2203" i="1"/>
  <c r="E2203" i="1"/>
  <c r="H2202" i="1"/>
  <c r="F2202" i="1"/>
  <c r="E2202" i="1"/>
  <c r="H2201" i="1"/>
  <c r="F2201" i="1"/>
  <c r="E2201" i="1"/>
  <c r="H2200" i="1"/>
  <c r="F2200" i="1"/>
  <c r="E2200" i="1"/>
  <c r="H2199" i="1"/>
  <c r="F2199" i="1"/>
  <c r="E2199" i="1"/>
  <c r="H2198" i="1"/>
  <c r="F2198" i="1"/>
  <c r="E2198" i="1"/>
  <c r="H2197" i="1"/>
  <c r="F2197" i="1"/>
  <c r="E2197" i="1"/>
  <c r="H2196" i="1"/>
  <c r="F2196" i="1"/>
  <c r="E2196" i="1"/>
  <c r="H2195" i="1"/>
  <c r="F2195" i="1"/>
  <c r="E2195" i="1"/>
  <c r="H2194" i="1"/>
  <c r="F2194" i="1"/>
  <c r="E2194" i="1"/>
  <c r="H2193" i="1"/>
  <c r="F2193" i="1"/>
  <c r="E2193" i="1"/>
  <c r="H2192" i="1"/>
  <c r="F2192" i="1"/>
  <c r="E2192" i="1"/>
  <c r="H2191" i="1"/>
  <c r="F2191" i="1"/>
  <c r="E2191" i="1"/>
  <c r="H2190" i="1"/>
  <c r="F2190" i="1"/>
  <c r="E2190" i="1"/>
  <c r="H2189" i="1"/>
  <c r="F2189" i="1"/>
  <c r="E2189" i="1"/>
  <c r="H2188" i="1"/>
  <c r="F2188" i="1"/>
  <c r="E2188" i="1"/>
  <c r="H2187" i="1"/>
  <c r="F2187" i="1"/>
  <c r="E2187" i="1"/>
  <c r="H2186" i="1"/>
  <c r="F2186" i="1"/>
  <c r="E2186" i="1"/>
  <c r="H2185" i="1"/>
  <c r="F2185" i="1"/>
  <c r="E2185" i="1"/>
  <c r="H2184" i="1"/>
  <c r="F2184" i="1"/>
  <c r="E2184" i="1"/>
  <c r="H2183" i="1"/>
  <c r="F2183" i="1"/>
  <c r="E2183" i="1"/>
  <c r="H2182" i="1"/>
  <c r="F2182" i="1"/>
  <c r="E2182" i="1"/>
  <c r="H2181" i="1"/>
  <c r="F2181" i="1"/>
  <c r="E2181" i="1"/>
  <c r="H2180" i="1"/>
  <c r="F2180" i="1"/>
  <c r="E2180" i="1"/>
  <c r="H2179" i="1"/>
  <c r="F2179" i="1"/>
  <c r="E2179" i="1"/>
  <c r="H2178" i="1"/>
  <c r="F2178" i="1"/>
  <c r="E2178" i="1"/>
  <c r="H2177" i="1"/>
  <c r="F2177" i="1"/>
  <c r="E2177" i="1"/>
  <c r="H2176" i="1"/>
  <c r="F2176" i="1"/>
  <c r="E2176" i="1"/>
  <c r="H2175" i="1"/>
  <c r="F2175" i="1"/>
  <c r="E2175" i="1"/>
  <c r="H2174" i="1"/>
  <c r="F2174" i="1"/>
  <c r="E2174" i="1"/>
  <c r="H2173" i="1"/>
  <c r="F2173" i="1"/>
  <c r="E2173" i="1"/>
  <c r="H2172" i="1"/>
  <c r="F2172" i="1"/>
  <c r="E2172" i="1"/>
  <c r="H2171" i="1"/>
  <c r="F2171" i="1"/>
  <c r="E2171" i="1"/>
  <c r="H2170" i="1"/>
  <c r="F2170" i="1"/>
  <c r="E2170" i="1"/>
  <c r="H2169" i="1"/>
  <c r="F2169" i="1"/>
  <c r="E2169" i="1"/>
  <c r="H2168" i="1"/>
  <c r="F2168" i="1"/>
  <c r="E2168" i="1"/>
  <c r="H2167" i="1"/>
  <c r="F2167" i="1"/>
  <c r="E2167" i="1"/>
  <c r="H2166" i="1"/>
  <c r="F2166" i="1"/>
  <c r="E2166" i="1"/>
  <c r="H2165" i="1"/>
  <c r="F2165" i="1"/>
  <c r="E2165" i="1"/>
  <c r="H2164" i="1"/>
  <c r="F2164" i="1"/>
  <c r="E2164" i="1"/>
  <c r="H2163" i="1"/>
  <c r="F2163" i="1"/>
  <c r="E2163" i="1"/>
  <c r="H2162" i="1"/>
  <c r="F2162" i="1"/>
  <c r="E2162" i="1"/>
  <c r="H2161" i="1"/>
  <c r="F2161" i="1"/>
  <c r="E2161" i="1"/>
  <c r="H2160" i="1"/>
  <c r="F2160" i="1"/>
  <c r="E2160" i="1"/>
  <c r="H2159" i="1"/>
  <c r="F2159" i="1"/>
  <c r="E2159" i="1"/>
  <c r="H2158" i="1"/>
  <c r="F2158" i="1"/>
  <c r="E2158" i="1"/>
  <c r="H2157" i="1"/>
  <c r="F2157" i="1"/>
  <c r="E2157" i="1"/>
  <c r="H2156" i="1"/>
  <c r="F2156" i="1"/>
  <c r="E2156" i="1"/>
  <c r="H2155" i="1"/>
  <c r="F2155" i="1"/>
  <c r="E2155" i="1"/>
  <c r="H2154" i="1"/>
  <c r="F2154" i="1"/>
  <c r="E2154" i="1"/>
  <c r="H2153" i="1"/>
  <c r="F2153" i="1"/>
  <c r="E2153" i="1"/>
  <c r="H2152" i="1"/>
  <c r="F2152" i="1"/>
  <c r="E2152" i="1"/>
  <c r="H2151" i="1"/>
  <c r="F2151" i="1"/>
  <c r="E2151" i="1"/>
  <c r="H2150" i="1"/>
  <c r="F2150" i="1"/>
  <c r="E2150" i="1"/>
  <c r="H2149" i="1"/>
  <c r="F2149" i="1"/>
  <c r="E2149" i="1"/>
  <c r="H2148" i="1"/>
  <c r="F2148" i="1"/>
  <c r="E2148" i="1"/>
  <c r="H2147" i="1"/>
  <c r="F2147" i="1"/>
  <c r="E2147" i="1"/>
  <c r="H2146" i="1"/>
  <c r="F2146" i="1"/>
  <c r="E2146" i="1"/>
  <c r="H2145" i="1"/>
  <c r="F2145" i="1"/>
  <c r="E2145" i="1"/>
  <c r="H2144" i="1"/>
  <c r="F2144" i="1"/>
  <c r="E2144" i="1"/>
  <c r="H2143" i="1"/>
  <c r="F2143" i="1"/>
  <c r="E2143" i="1"/>
  <c r="H2142" i="1"/>
  <c r="F2142" i="1"/>
  <c r="E2142" i="1"/>
  <c r="H2141" i="1"/>
  <c r="F2141" i="1"/>
  <c r="E2141" i="1"/>
  <c r="H2140" i="1"/>
  <c r="F2140" i="1"/>
  <c r="E2140" i="1"/>
  <c r="H2139" i="1"/>
  <c r="F2139" i="1"/>
  <c r="E2139" i="1"/>
  <c r="H2138" i="1"/>
  <c r="F2138" i="1"/>
  <c r="E2138" i="1"/>
  <c r="H2137" i="1"/>
  <c r="F2137" i="1"/>
  <c r="E2137" i="1"/>
  <c r="H2136" i="1"/>
  <c r="F2136" i="1"/>
  <c r="E2136" i="1"/>
  <c r="H2135" i="1"/>
  <c r="F2135" i="1"/>
  <c r="E2135" i="1"/>
  <c r="H2134" i="1"/>
  <c r="F2134" i="1"/>
  <c r="E2134" i="1"/>
  <c r="H2133" i="1"/>
  <c r="F2133" i="1"/>
  <c r="E2133" i="1"/>
  <c r="H2132" i="1"/>
  <c r="F2132" i="1"/>
  <c r="E2132" i="1"/>
  <c r="H2131" i="1"/>
  <c r="F2131" i="1"/>
  <c r="E2131" i="1"/>
  <c r="H2130" i="1"/>
  <c r="F2130" i="1"/>
  <c r="E2130" i="1"/>
  <c r="H2129" i="1"/>
  <c r="F2129" i="1"/>
  <c r="E2129" i="1"/>
  <c r="H2128" i="1"/>
  <c r="F2128" i="1"/>
  <c r="E2128" i="1"/>
  <c r="H2127" i="1"/>
  <c r="F2127" i="1"/>
  <c r="E2127" i="1"/>
  <c r="H2126" i="1"/>
  <c r="F2126" i="1"/>
  <c r="E2126" i="1"/>
  <c r="H2125" i="1"/>
  <c r="F2125" i="1"/>
  <c r="E2125" i="1"/>
  <c r="H2124" i="1"/>
  <c r="F2124" i="1"/>
  <c r="E2124" i="1"/>
  <c r="H2123" i="1"/>
  <c r="F2123" i="1"/>
  <c r="E2123" i="1"/>
  <c r="H2122" i="1"/>
  <c r="F2122" i="1"/>
  <c r="E2122" i="1"/>
  <c r="H2121" i="1"/>
  <c r="F2121" i="1"/>
  <c r="E2121" i="1"/>
  <c r="H2120" i="1"/>
  <c r="F2120" i="1"/>
  <c r="E2120" i="1"/>
  <c r="H2119" i="1"/>
  <c r="F2119" i="1"/>
  <c r="E2119" i="1"/>
  <c r="H2118" i="1"/>
  <c r="F2118" i="1"/>
  <c r="E2118" i="1"/>
  <c r="H2117" i="1"/>
  <c r="F2117" i="1"/>
  <c r="E2117" i="1"/>
  <c r="H2116" i="1"/>
  <c r="F2116" i="1"/>
  <c r="E2116" i="1"/>
  <c r="H2115" i="1"/>
  <c r="F2115" i="1"/>
  <c r="E2115" i="1"/>
  <c r="H2114" i="1"/>
  <c r="F2114" i="1"/>
  <c r="E2114" i="1"/>
  <c r="H2113" i="1"/>
  <c r="F2113" i="1"/>
  <c r="E2113" i="1"/>
  <c r="H2112" i="1"/>
  <c r="F2112" i="1"/>
  <c r="E2112" i="1"/>
  <c r="H2111" i="1"/>
  <c r="F2111" i="1"/>
  <c r="E2111" i="1"/>
  <c r="H2110" i="1"/>
  <c r="F2110" i="1"/>
  <c r="E2110" i="1"/>
  <c r="H2109" i="1"/>
  <c r="F2109" i="1"/>
  <c r="E2109" i="1"/>
  <c r="H2108" i="1"/>
  <c r="F2108" i="1"/>
  <c r="E2108" i="1"/>
  <c r="H2107" i="1"/>
  <c r="F2107" i="1"/>
  <c r="E2107" i="1"/>
  <c r="H2106" i="1"/>
  <c r="F2106" i="1"/>
  <c r="E2106" i="1"/>
  <c r="H2105" i="1"/>
  <c r="F2105" i="1"/>
  <c r="E2105" i="1"/>
  <c r="H2104" i="1"/>
  <c r="F2104" i="1"/>
  <c r="E2104" i="1"/>
  <c r="H2103" i="1"/>
  <c r="F2103" i="1"/>
  <c r="E2103" i="1"/>
  <c r="H2102" i="1"/>
  <c r="F2102" i="1"/>
  <c r="E2102" i="1"/>
  <c r="H2101" i="1"/>
  <c r="F2101" i="1"/>
  <c r="E2101" i="1"/>
  <c r="H2100" i="1"/>
  <c r="F2100" i="1"/>
  <c r="E2100" i="1"/>
  <c r="H2099" i="1"/>
  <c r="F2099" i="1"/>
  <c r="E2099" i="1"/>
  <c r="H2098" i="1"/>
  <c r="F2098" i="1"/>
  <c r="E2098" i="1"/>
  <c r="H2097" i="1"/>
  <c r="F2097" i="1"/>
  <c r="E2097" i="1"/>
  <c r="H2096" i="1"/>
  <c r="F2096" i="1"/>
  <c r="E2096" i="1"/>
  <c r="H2095" i="1"/>
  <c r="F2095" i="1"/>
  <c r="E2095" i="1"/>
  <c r="H2094" i="1"/>
  <c r="F2094" i="1"/>
  <c r="E2094" i="1"/>
  <c r="H2093" i="1"/>
  <c r="F2093" i="1"/>
  <c r="E2093" i="1"/>
  <c r="H2092" i="1"/>
  <c r="F2092" i="1"/>
  <c r="E2092" i="1"/>
  <c r="H2091" i="1"/>
  <c r="F2091" i="1"/>
  <c r="E2091" i="1"/>
  <c r="H2090" i="1"/>
  <c r="F2090" i="1"/>
  <c r="E2090" i="1"/>
  <c r="H2089" i="1"/>
  <c r="F2089" i="1"/>
  <c r="E2089" i="1"/>
  <c r="H2088" i="1"/>
  <c r="F2088" i="1"/>
  <c r="E2088" i="1"/>
  <c r="H2087" i="1"/>
  <c r="F2087" i="1"/>
  <c r="E2087" i="1"/>
  <c r="H2086" i="1"/>
  <c r="F2086" i="1"/>
  <c r="E2086" i="1"/>
  <c r="H2085" i="1"/>
  <c r="F2085" i="1"/>
  <c r="E2085" i="1"/>
  <c r="H2084" i="1"/>
  <c r="F2084" i="1"/>
  <c r="E2084" i="1"/>
  <c r="H2083" i="1"/>
  <c r="F2083" i="1"/>
  <c r="E2083" i="1"/>
  <c r="H2082" i="1"/>
  <c r="F2082" i="1"/>
  <c r="E2082" i="1"/>
  <c r="H2081" i="1"/>
  <c r="F2081" i="1"/>
  <c r="E2081" i="1"/>
  <c r="H2080" i="1"/>
  <c r="F2080" i="1"/>
  <c r="E2080" i="1"/>
  <c r="H2079" i="1"/>
  <c r="F2079" i="1"/>
  <c r="E2079" i="1"/>
  <c r="H2078" i="1"/>
  <c r="F2078" i="1"/>
  <c r="E2078" i="1"/>
  <c r="H2077" i="1"/>
  <c r="F2077" i="1"/>
  <c r="E2077" i="1"/>
  <c r="H2076" i="1"/>
  <c r="F2076" i="1"/>
  <c r="E2076" i="1"/>
  <c r="H2075" i="1"/>
  <c r="F2075" i="1"/>
  <c r="E2075" i="1"/>
  <c r="H2074" i="1"/>
  <c r="F2074" i="1"/>
  <c r="E2074" i="1"/>
  <c r="H2073" i="1"/>
  <c r="F2073" i="1"/>
  <c r="E2073" i="1"/>
  <c r="H2072" i="1"/>
  <c r="F2072" i="1"/>
  <c r="E2072" i="1"/>
  <c r="H2071" i="1"/>
  <c r="F2071" i="1"/>
  <c r="E2071" i="1"/>
  <c r="H2070" i="1"/>
  <c r="F2070" i="1"/>
  <c r="E2070" i="1"/>
  <c r="H2069" i="1"/>
  <c r="F2069" i="1"/>
  <c r="E2069" i="1"/>
  <c r="H2068" i="1"/>
  <c r="F2068" i="1"/>
  <c r="E2068" i="1"/>
  <c r="H2067" i="1"/>
  <c r="F2067" i="1"/>
  <c r="E2067" i="1"/>
  <c r="H2066" i="1"/>
  <c r="F2066" i="1"/>
  <c r="E2066" i="1"/>
  <c r="H2065" i="1"/>
  <c r="F2065" i="1"/>
  <c r="E2065" i="1"/>
  <c r="H2064" i="1"/>
  <c r="F2064" i="1"/>
  <c r="E2064" i="1"/>
  <c r="H2063" i="1"/>
  <c r="F2063" i="1"/>
  <c r="E2063" i="1"/>
  <c r="H2062" i="1"/>
  <c r="F2062" i="1"/>
  <c r="E2062" i="1"/>
  <c r="H2061" i="1"/>
  <c r="F2061" i="1"/>
  <c r="E2061" i="1"/>
  <c r="H2060" i="1"/>
  <c r="F2060" i="1"/>
  <c r="E2060" i="1"/>
  <c r="H2059" i="1"/>
  <c r="F2059" i="1"/>
  <c r="E2059" i="1"/>
  <c r="H2058" i="1"/>
  <c r="F2058" i="1"/>
  <c r="E2058" i="1"/>
  <c r="H2057" i="1"/>
  <c r="F2057" i="1"/>
  <c r="E2057" i="1"/>
  <c r="H2056" i="1"/>
  <c r="F2056" i="1"/>
  <c r="E2056" i="1"/>
  <c r="H2055" i="1"/>
  <c r="F2055" i="1"/>
  <c r="E2055" i="1"/>
  <c r="H2054" i="1"/>
  <c r="F2054" i="1"/>
  <c r="E2054" i="1"/>
  <c r="H2053" i="1"/>
  <c r="F2053" i="1"/>
  <c r="E2053" i="1"/>
  <c r="H2052" i="1"/>
  <c r="F2052" i="1"/>
  <c r="E2052" i="1"/>
  <c r="H2051" i="1"/>
  <c r="F2051" i="1"/>
  <c r="E2051" i="1"/>
  <c r="H2050" i="1"/>
  <c r="F2050" i="1"/>
  <c r="E2050" i="1"/>
  <c r="H2049" i="1"/>
  <c r="F2049" i="1"/>
  <c r="E2049" i="1"/>
  <c r="H2048" i="1"/>
  <c r="F2048" i="1"/>
  <c r="E2048" i="1"/>
  <c r="H2047" i="1"/>
  <c r="F2047" i="1"/>
  <c r="E2047" i="1"/>
  <c r="H2046" i="1"/>
  <c r="F2046" i="1"/>
  <c r="E2046" i="1"/>
  <c r="H2045" i="1"/>
  <c r="F2045" i="1"/>
  <c r="E2045" i="1"/>
  <c r="H2044" i="1"/>
  <c r="F2044" i="1"/>
  <c r="E2044" i="1"/>
  <c r="H2043" i="1"/>
  <c r="F2043" i="1"/>
  <c r="E2043" i="1"/>
  <c r="H2042" i="1"/>
  <c r="F2042" i="1"/>
  <c r="E2042" i="1"/>
  <c r="H2041" i="1"/>
  <c r="F2041" i="1"/>
  <c r="E2041" i="1"/>
  <c r="H2040" i="1"/>
  <c r="F2040" i="1"/>
  <c r="E2040" i="1"/>
  <c r="H2039" i="1"/>
  <c r="F2039" i="1"/>
  <c r="E2039" i="1"/>
  <c r="H2038" i="1"/>
  <c r="F2038" i="1"/>
  <c r="E2038" i="1"/>
  <c r="H2037" i="1"/>
  <c r="F2037" i="1"/>
  <c r="E2037" i="1"/>
  <c r="H2036" i="1"/>
  <c r="F2036" i="1"/>
  <c r="E2036" i="1"/>
  <c r="H2035" i="1"/>
  <c r="F2035" i="1"/>
  <c r="E2035" i="1"/>
  <c r="H2034" i="1"/>
  <c r="F2034" i="1"/>
  <c r="E2034" i="1"/>
  <c r="H2033" i="1"/>
  <c r="F2033" i="1"/>
  <c r="E2033" i="1"/>
  <c r="H2032" i="1"/>
  <c r="F2032" i="1"/>
  <c r="E2032" i="1"/>
  <c r="H2031" i="1"/>
  <c r="F2031" i="1"/>
  <c r="E2031" i="1"/>
  <c r="H2030" i="1"/>
  <c r="F2030" i="1"/>
  <c r="E2030" i="1"/>
  <c r="H2029" i="1"/>
  <c r="F2029" i="1"/>
  <c r="E2029" i="1"/>
  <c r="H2028" i="1"/>
  <c r="F2028" i="1"/>
  <c r="E2028" i="1"/>
  <c r="H2027" i="1"/>
  <c r="F2027" i="1"/>
  <c r="E2027" i="1"/>
  <c r="H2026" i="1"/>
  <c r="F2026" i="1"/>
  <c r="E2026" i="1"/>
  <c r="H2025" i="1"/>
  <c r="F2025" i="1"/>
  <c r="E2025" i="1"/>
  <c r="H2024" i="1"/>
  <c r="F2024" i="1"/>
  <c r="E2024" i="1"/>
  <c r="H2023" i="1"/>
  <c r="F2023" i="1"/>
  <c r="E2023" i="1"/>
  <c r="H2022" i="1"/>
  <c r="F2022" i="1"/>
  <c r="E2022" i="1"/>
  <c r="H2021" i="1"/>
  <c r="F2021" i="1"/>
  <c r="E2021" i="1"/>
  <c r="H2020" i="1"/>
  <c r="F2020" i="1"/>
  <c r="E2020" i="1"/>
  <c r="H2019" i="1"/>
  <c r="F2019" i="1"/>
  <c r="E2019" i="1"/>
  <c r="H2018" i="1"/>
  <c r="F2018" i="1"/>
  <c r="E2018" i="1"/>
  <c r="H2017" i="1"/>
  <c r="F2017" i="1"/>
  <c r="E2017" i="1"/>
  <c r="H2016" i="1"/>
  <c r="F2016" i="1"/>
  <c r="E2016" i="1"/>
  <c r="H2015" i="1"/>
  <c r="F2015" i="1"/>
  <c r="E2015" i="1"/>
  <c r="H2014" i="1"/>
  <c r="F2014" i="1"/>
  <c r="E2014" i="1"/>
  <c r="H2013" i="1"/>
  <c r="F2013" i="1"/>
  <c r="E2013" i="1"/>
  <c r="H2012" i="1"/>
  <c r="F2012" i="1"/>
  <c r="E2012" i="1"/>
  <c r="H2011" i="1"/>
  <c r="F2011" i="1"/>
  <c r="E2011" i="1"/>
  <c r="H2010" i="1"/>
  <c r="F2010" i="1"/>
  <c r="E2010" i="1"/>
  <c r="H2009" i="1"/>
  <c r="F2009" i="1"/>
  <c r="E2009" i="1"/>
  <c r="H2008" i="1"/>
  <c r="F2008" i="1"/>
  <c r="E2008" i="1"/>
  <c r="H2007" i="1"/>
  <c r="F2007" i="1"/>
  <c r="E2007" i="1"/>
  <c r="H2006" i="1"/>
  <c r="F2006" i="1"/>
  <c r="E2006" i="1"/>
  <c r="H2005" i="1"/>
  <c r="F2005" i="1"/>
  <c r="E2005" i="1"/>
  <c r="H2004" i="1"/>
  <c r="F2004" i="1"/>
  <c r="E2004" i="1"/>
  <c r="H2003" i="1"/>
  <c r="F2003" i="1"/>
  <c r="E2003" i="1"/>
  <c r="H2002" i="1"/>
  <c r="F2002" i="1"/>
  <c r="E2002" i="1"/>
  <c r="H2001" i="1"/>
  <c r="F2001" i="1"/>
  <c r="E2001" i="1"/>
  <c r="H2000" i="1"/>
  <c r="F2000" i="1"/>
  <c r="E2000" i="1"/>
  <c r="H1999" i="1"/>
  <c r="F1999" i="1"/>
  <c r="E1999" i="1"/>
  <c r="H1998" i="1"/>
  <c r="F1998" i="1"/>
  <c r="E1998" i="1"/>
  <c r="H1997" i="1"/>
  <c r="F1997" i="1"/>
  <c r="E1997" i="1"/>
  <c r="H1996" i="1"/>
  <c r="F1996" i="1"/>
  <c r="E1996" i="1"/>
  <c r="H1995" i="1"/>
  <c r="F1995" i="1"/>
  <c r="E1995" i="1"/>
  <c r="H1994" i="1"/>
  <c r="F1994" i="1"/>
  <c r="E1994" i="1"/>
  <c r="H1993" i="1"/>
  <c r="F1993" i="1"/>
  <c r="E1993" i="1"/>
  <c r="H1992" i="1"/>
  <c r="F1992" i="1"/>
  <c r="E1992" i="1"/>
  <c r="H1991" i="1"/>
  <c r="F1991" i="1"/>
  <c r="E1991" i="1"/>
  <c r="H1990" i="1"/>
  <c r="F1990" i="1"/>
  <c r="E1990" i="1"/>
  <c r="H1989" i="1"/>
  <c r="F1989" i="1"/>
  <c r="E1989" i="1"/>
  <c r="H1988" i="1"/>
  <c r="F1988" i="1"/>
  <c r="E1988" i="1"/>
  <c r="H1987" i="1"/>
  <c r="F1987" i="1"/>
  <c r="E1987" i="1"/>
  <c r="H1986" i="1"/>
  <c r="F1986" i="1"/>
  <c r="E1986" i="1"/>
  <c r="H1985" i="1"/>
  <c r="F1985" i="1"/>
  <c r="E1985" i="1"/>
  <c r="H1984" i="1"/>
  <c r="F1984" i="1"/>
  <c r="E1984" i="1"/>
  <c r="H1983" i="1"/>
  <c r="F1983" i="1"/>
  <c r="E1983" i="1"/>
  <c r="H1982" i="1"/>
  <c r="F1982" i="1"/>
  <c r="E1982" i="1"/>
  <c r="H1981" i="1"/>
  <c r="F1981" i="1"/>
  <c r="E1981" i="1"/>
  <c r="H1980" i="1"/>
  <c r="F1980" i="1"/>
  <c r="E1980" i="1"/>
  <c r="H1979" i="1"/>
  <c r="F1979" i="1"/>
  <c r="E1979" i="1"/>
  <c r="H1978" i="1"/>
  <c r="F1978" i="1"/>
  <c r="E1978" i="1"/>
  <c r="H1977" i="1"/>
  <c r="F1977" i="1"/>
  <c r="E1977" i="1"/>
  <c r="H1976" i="1"/>
  <c r="F1976" i="1"/>
  <c r="E1976" i="1"/>
  <c r="H1975" i="1"/>
  <c r="F1975" i="1"/>
  <c r="E1975" i="1"/>
  <c r="H1974" i="1"/>
  <c r="F1974" i="1"/>
  <c r="E1974" i="1"/>
  <c r="H1973" i="1"/>
  <c r="F1973" i="1"/>
  <c r="E1973" i="1"/>
  <c r="H1972" i="1"/>
  <c r="F1972" i="1"/>
  <c r="E1972" i="1"/>
  <c r="H1971" i="1"/>
  <c r="F1971" i="1"/>
  <c r="E1971" i="1"/>
  <c r="H1970" i="1"/>
  <c r="F1970" i="1"/>
  <c r="E1970" i="1"/>
  <c r="H1969" i="1"/>
  <c r="F1969" i="1"/>
  <c r="E1969" i="1"/>
  <c r="H1968" i="1"/>
  <c r="F1968" i="1"/>
  <c r="E1968" i="1"/>
  <c r="H1967" i="1"/>
  <c r="F1967" i="1"/>
  <c r="E1967" i="1"/>
  <c r="H1966" i="1"/>
  <c r="F1966" i="1"/>
  <c r="E1966" i="1"/>
  <c r="H1965" i="1"/>
  <c r="F1965" i="1"/>
  <c r="E1965" i="1"/>
  <c r="H1964" i="1"/>
  <c r="F1964" i="1"/>
  <c r="E1964" i="1"/>
  <c r="H1963" i="1"/>
  <c r="F1963" i="1"/>
  <c r="E1963" i="1"/>
  <c r="H1962" i="1"/>
  <c r="F1962" i="1"/>
  <c r="E1962" i="1"/>
  <c r="H1961" i="1"/>
  <c r="F1961" i="1"/>
  <c r="E1961" i="1"/>
  <c r="H1960" i="1"/>
  <c r="F1960" i="1"/>
  <c r="E1960" i="1"/>
  <c r="H1959" i="1"/>
  <c r="F1959" i="1"/>
  <c r="E1959" i="1"/>
  <c r="H1958" i="1"/>
  <c r="F1958" i="1"/>
  <c r="E1958" i="1"/>
  <c r="H1957" i="1"/>
  <c r="F1957" i="1"/>
  <c r="E1957" i="1"/>
  <c r="H1956" i="1"/>
  <c r="F1956" i="1"/>
  <c r="E1956" i="1"/>
  <c r="H1955" i="1"/>
  <c r="F1955" i="1"/>
  <c r="E1955" i="1"/>
  <c r="H1954" i="1"/>
  <c r="F1954" i="1"/>
  <c r="E1954" i="1"/>
  <c r="H1953" i="1"/>
  <c r="F1953" i="1"/>
  <c r="E1953" i="1"/>
  <c r="H1952" i="1"/>
  <c r="F1952" i="1"/>
  <c r="E1952" i="1"/>
  <c r="H1951" i="1"/>
  <c r="F1951" i="1"/>
  <c r="E1951" i="1"/>
  <c r="H1950" i="1"/>
  <c r="F1950" i="1"/>
  <c r="E1950" i="1"/>
  <c r="H1949" i="1"/>
  <c r="F1949" i="1"/>
  <c r="E1949" i="1"/>
  <c r="H1948" i="1"/>
  <c r="F1948" i="1"/>
  <c r="E1948" i="1"/>
  <c r="H1947" i="1"/>
  <c r="F1947" i="1"/>
  <c r="E1947" i="1"/>
  <c r="H1946" i="1"/>
  <c r="F1946" i="1"/>
  <c r="E1946" i="1"/>
  <c r="H1945" i="1"/>
  <c r="F1945" i="1"/>
  <c r="E1945" i="1"/>
  <c r="H1944" i="1"/>
  <c r="F1944" i="1"/>
  <c r="E1944" i="1"/>
  <c r="H1943" i="1"/>
  <c r="F1943" i="1"/>
  <c r="E1943" i="1"/>
  <c r="H1942" i="1"/>
  <c r="F1942" i="1"/>
  <c r="E1942" i="1"/>
  <c r="H1941" i="1"/>
  <c r="F1941" i="1"/>
  <c r="E1941" i="1"/>
  <c r="H1940" i="1"/>
  <c r="F1940" i="1"/>
  <c r="E1940" i="1"/>
  <c r="H1939" i="1"/>
  <c r="F1939" i="1"/>
  <c r="E1939" i="1"/>
  <c r="H1938" i="1"/>
  <c r="F1938" i="1"/>
  <c r="E1938" i="1"/>
  <c r="H1937" i="1"/>
  <c r="F1937" i="1"/>
  <c r="E1937" i="1"/>
  <c r="H1936" i="1"/>
  <c r="F1936" i="1"/>
  <c r="E1936" i="1"/>
  <c r="H1935" i="1"/>
  <c r="F1935" i="1"/>
  <c r="E1935" i="1"/>
  <c r="H1934" i="1"/>
  <c r="F1934" i="1"/>
  <c r="E1934" i="1"/>
  <c r="H1933" i="1"/>
  <c r="F1933" i="1"/>
  <c r="E1933" i="1"/>
  <c r="H1932" i="1"/>
  <c r="F1932" i="1"/>
  <c r="E1932" i="1"/>
  <c r="H1931" i="1"/>
  <c r="F1931" i="1"/>
  <c r="E1931" i="1"/>
  <c r="H1930" i="1"/>
  <c r="F1930" i="1"/>
  <c r="E1930" i="1"/>
  <c r="H1929" i="1"/>
  <c r="F1929" i="1"/>
  <c r="E1929" i="1"/>
  <c r="H1928" i="1"/>
  <c r="F1928" i="1"/>
  <c r="E1928" i="1"/>
  <c r="H1927" i="1"/>
  <c r="F1927" i="1"/>
  <c r="E1927" i="1"/>
  <c r="H1926" i="1"/>
  <c r="F1926" i="1"/>
  <c r="E1926" i="1"/>
  <c r="H1925" i="1"/>
  <c r="F1925" i="1"/>
  <c r="E1925" i="1"/>
  <c r="H1924" i="1"/>
  <c r="F1924" i="1"/>
  <c r="E1924" i="1"/>
  <c r="H1923" i="1"/>
  <c r="F1923" i="1"/>
  <c r="E1923" i="1"/>
  <c r="H1922" i="1"/>
  <c r="F1922" i="1"/>
  <c r="E1922" i="1"/>
  <c r="H1921" i="1"/>
  <c r="F1921" i="1"/>
  <c r="E1921" i="1"/>
  <c r="H1920" i="1"/>
  <c r="F1920" i="1"/>
  <c r="E1920" i="1"/>
  <c r="H1919" i="1"/>
  <c r="F1919" i="1"/>
  <c r="E1919" i="1"/>
  <c r="H1918" i="1"/>
  <c r="F1918" i="1"/>
  <c r="E1918" i="1"/>
  <c r="H1917" i="1"/>
  <c r="F1917" i="1"/>
  <c r="E1917" i="1"/>
  <c r="H1916" i="1"/>
  <c r="F1916" i="1"/>
  <c r="E1916" i="1"/>
  <c r="H1915" i="1"/>
  <c r="F1915" i="1"/>
  <c r="E1915" i="1"/>
  <c r="H1914" i="1"/>
  <c r="F1914" i="1"/>
  <c r="E1914" i="1"/>
  <c r="H1913" i="1"/>
  <c r="F1913" i="1"/>
  <c r="E1913" i="1"/>
  <c r="H1912" i="1"/>
  <c r="F1912" i="1"/>
  <c r="E1912" i="1"/>
  <c r="H1911" i="1"/>
  <c r="F1911" i="1"/>
  <c r="E1911" i="1"/>
  <c r="H1910" i="1"/>
  <c r="F1910" i="1"/>
  <c r="E1910" i="1"/>
  <c r="H1909" i="1"/>
  <c r="F1909" i="1"/>
  <c r="E1909" i="1"/>
  <c r="H1908" i="1"/>
  <c r="F1908" i="1"/>
  <c r="E1908" i="1"/>
  <c r="H1907" i="1"/>
  <c r="F1907" i="1"/>
  <c r="E1907" i="1"/>
  <c r="H1906" i="1"/>
  <c r="F1906" i="1"/>
  <c r="E1906" i="1"/>
  <c r="H1905" i="1"/>
  <c r="F1905" i="1"/>
  <c r="E1905" i="1"/>
  <c r="H1904" i="1"/>
  <c r="F1904" i="1"/>
  <c r="E1904" i="1"/>
  <c r="H1903" i="1"/>
  <c r="F1903" i="1"/>
  <c r="E1903" i="1"/>
  <c r="H1902" i="1"/>
  <c r="F1902" i="1"/>
  <c r="E1902" i="1"/>
  <c r="H1901" i="1"/>
  <c r="F1901" i="1"/>
  <c r="E1901" i="1"/>
  <c r="H1900" i="1"/>
  <c r="F1900" i="1"/>
  <c r="E1900" i="1"/>
  <c r="H1899" i="1"/>
  <c r="F1899" i="1"/>
  <c r="E1899" i="1"/>
  <c r="H1898" i="1"/>
  <c r="F1898" i="1"/>
  <c r="E1898" i="1"/>
  <c r="H1897" i="1"/>
  <c r="F1897" i="1"/>
  <c r="E1897" i="1"/>
  <c r="H1896" i="1"/>
  <c r="F1896" i="1"/>
  <c r="E1896" i="1"/>
  <c r="H1895" i="1"/>
  <c r="F1895" i="1"/>
  <c r="E1895" i="1"/>
  <c r="H1894" i="1"/>
  <c r="F1894" i="1"/>
  <c r="E1894" i="1"/>
  <c r="H1893" i="1"/>
  <c r="F1893" i="1"/>
  <c r="E1893" i="1"/>
  <c r="H1892" i="1"/>
  <c r="F1892" i="1"/>
  <c r="E1892" i="1"/>
  <c r="H1891" i="1"/>
  <c r="F1891" i="1"/>
  <c r="E1891" i="1"/>
  <c r="H1890" i="1"/>
  <c r="F1890" i="1"/>
  <c r="E1890" i="1"/>
  <c r="H1889" i="1"/>
  <c r="F1889" i="1"/>
  <c r="E1889" i="1"/>
  <c r="H1888" i="1"/>
  <c r="F1888" i="1"/>
  <c r="E1888" i="1"/>
  <c r="H1887" i="1"/>
  <c r="F1887" i="1"/>
  <c r="E1887" i="1"/>
  <c r="H1886" i="1"/>
  <c r="F1886" i="1"/>
  <c r="E1886" i="1"/>
  <c r="H1885" i="1"/>
  <c r="F1885" i="1"/>
  <c r="E1885" i="1"/>
  <c r="H1884" i="1"/>
  <c r="F1884" i="1"/>
  <c r="E1884" i="1"/>
  <c r="H1883" i="1"/>
  <c r="F1883" i="1"/>
  <c r="E1883" i="1"/>
  <c r="H1882" i="1"/>
  <c r="F1882" i="1"/>
  <c r="E1882" i="1"/>
  <c r="H1881" i="1"/>
  <c r="F1881" i="1"/>
  <c r="E1881" i="1"/>
  <c r="H1880" i="1"/>
  <c r="F1880" i="1"/>
  <c r="E1880" i="1"/>
  <c r="H1879" i="1"/>
  <c r="F1879" i="1"/>
  <c r="E1879" i="1"/>
  <c r="H1878" i="1"/>
  <c r="F1878" i="1"/>
  <c r="E1878" i="1"/>
  <c r="H1877" i="1"/>
  <c r="F1877" i="1"/>
  <c r="E1877" i="1"/>
  <c r="H1876" i="1"/>
  <c r="F1876" i="1"/>
  <c r="E1876" i="1"/>
  <c r="H1875" i="1"/>
  <c r="F1875" i="1"/>
  <c r="E1875" i="1"/>
  <c r="H1874" i="1"/>
  <c r="F1874" i="1"/>
  <c r="E1874" i="1"/>
  <c r="H1873" i="1"/>
  <c r="F1873" i="1"/>
  <c r="E1873" i="1"/>
  <c r="H1872" i="1"/>
  <c r="F1872" i="1"/>
  <c r="E1872" i="1"/>
  <c r="H1871" i="1"/>
  <c r="F1871" i="1"/>
  <c r="E1871" i="1"/>
  <c r="H1870" i="1"/>
  <c r="F1870" i="1"/>
  <c r="E1870" i="1"/>
  <c r="H1869" i="1"/>
  <c r="F1869" i="1"/>
  <c r="E1869" i="1"/>
  <c r="H1868" i="1"/>
  <c r="F1868" i="1"/>
  <c r="E1868" i="1"/>
  <c r="H1867" i="1"/>
  <c r="F1867" i="1"/>
  <c r="E1867" i="1"/>
  <c r="H1866" i="1"/>
  <c r="F1866" i="1"/>
  <c r="E1866" i="1"/>
  <c r="H1865" i="1"/>
  <c r="F1865" i="1"/>
  <c r="E1865" i="1"/>
  <c r="H1864" i="1"/>
  <c r="F1864" i="1"/>
  <c r="E1864" i="1"/>
  <c r="H1863" i="1"/>
  <c r="F1863" i="1"/>
  <c r="E1863" i="1"/>
  <c r="H1862" i="1"/>
  <c r="F1862" i="1"/>
  <c r="E1862" i="1"/>
  <c r="H1861" i="1"/>
  <c r="F1861" i="1"/>
  <c r="E1861" i="1"/>
  <c r="H1860" i="1"/>
  <c r="F1860" i="1"/>
  <c r="E1860" i="1"/>
  <c r="H1859" i="1"/>
  <c r="F1859" i="1"/>
  <c r="E1859" i="1"/>
  <c r="H1858" i="1"/>
  <c r="F1858" i="1"/>
  <c r="E1858" i="1"/>
  <c r="H1857" i="1"/>
  <c r="F1857" i="1"/>
  <c r="E1857" i="1"/>
  <c r="H1856" i="1"/>
  <c r="F1856" i="1"/>
  <c r="E1856" i="1"/>
  <c r="H1855" i="1"/>
  <c r="F1855" i="1"/>
  <c r="E1855" i="1"/>
  <c r="H1854" i="1"/>
  <c r="F1854" i="1"/>
  <c r="E1854" i="1"/>
  <c r="H1853" i="1"/>
  <c r="F1853" i="1"/>
  <c r="E1853" i="1"/>
  <c r="H1852" i="1"/>
  <c r="F1852" i="1"/>
  <c r="E1852" i="1"/>
  <c r="H1851" i="1"/>
  <c r="F1851" i="1"/>
  <c r="E1851" i="1"/>
  <c r="H1850" i="1"/>
  <c r="F1850" i="1"/>
  <c r="E1850" i="1"/>
  <c r="H1849" i="1"/>
  <c r="F1849" i="1"/>
  <c r="E1849" i="1"/>
  <c r="H1848" i="1"/>
  <c r="F1848" i="1"/>
  <c r="E1848" i="1"/>
  <c r="H1847" i="1"/>
  <c r="F1847" i="1"/>
  <c r="E1847" i="1"/>
  <c r="H1846" i="1"/>
  <c r="F1846" i="1"/>
  <c r="E1846" i="1"/>
  <c r="H1845" i="1"/>
  <c r="F1845" i="1"/>
  <c r="E1845" i="1"/>
  <c r="H1844" i="1"/>
  <c r="F1844" i="1"/>
  <c r="E1844" i="1"/>
  <c r="H1843" i="1"/>
  <c r="F1843" i="1"/>
  <c r="E1843" i="1"/>
  <c r="H1842" i="1"/>
  <c r="F1842" i="1"/>
  <c r="E1842" i="1"/>
  <c r="H1841" i="1"/>
  <c r="F1841" i="1"/>
  <c r="E1841" i="1"/>
  <c r="H1840" i="1"/>
  <c r="F1840" i="1"/>
  <c r="E1840" i="1"/>
  <c r="H1839" i="1"/>
  <c r="F1839" i="1"/>
  <c r="E1839" i="1"/>
  <c r="H1838" i="1"/>
  <c r="F1838" i="1"/>
  <c r="E1838" i="1"/>
  <c r="H1837" i="1"/>
  <c r="F1837" i="1"/>
  <c r="E1837" i="1"/>
  <c r="H1836" i="1"/>
  <c r="F1836" i="1"/>
  <c r="E1836" i="1"/>
  <c r="H1835" i="1"/>
  <c r="F1835" i="1"/>
  <c r="E1835" i="1"/>
  <c r="H1834" i="1"/>
  <c r="F1834" i="1"/>
  <c r="E1834" i="1"/>
  <c r="H1833" i="1"/>
  <c r="F1833" i="1"/>
  <c r="E1833" i="1"/>
  <c r="H1832" i="1"/>
  <c r="F1832" i="1"/>
  <c r="E1832" i="1"/>
  <c r="H1831" i="1"/>
  <c r="F1831" i="1"/>
  <c r="E1831" i="1"/>
  <c r="H1830" i="1"/>
  <c r="F1830" i="1"/>
  <c r="E1830" i="1"/>
  <c r="H1829" i="1"/>
  <c r="F1829" i="1"/>
  <c r="E1829" i="1"/>
  <c r="H1828" i="1"/>
  <c r="F1828" i="1"/>
  <c r="E1828" i="1"/>
  <c r="H1827" i="1"/>
  <c r="F1827" i="1"/>
  <c r="E1827" i="1"/>
  <c r="H1826" i="1"/>
  <c r="F1826" i="1"/>
  <c r="E1826" i="1"/>
  <c r="H1825" i="1"/>
  <c r="F1825" i="1"/>
  <c r="E1825" i="1"/>
  <c r="H1824" i="1"/>
  <c r="F1824" i="1"/>
  <c r="E1824" i="1"/>
  <c r="H1823" i="1"/>
  <c r="F1823" i="1"/>
  <c r="E1823" i="1"/>
  <c r="H1822" i="1"/>
  <c r="F1822" i="1"/>
  <c r="E1822" i="1"/>
  <c r="H1821" i="1"/>
  <c r="F1821" i="1"/>
  <c r="E1821" i="1"/>
  <c r="H1820" i="1"/>
  <c r="F1820" i="1"/>
  <c r="E1820" i="1"/>
  <c r="H1819" i="1"/>
  <c r="F1819" i="1"/>
  <c r="E1819" i="1"/>
  <c r="H1818" i="1"/>
  <c r="F1818" i="1"/>
  <c r="E1818" i="1"/>
  <c r="H1817" i="1"/>
  <c r="F1817" i="1"/>
  <c r="E1817" i="1"/>
  <c r="H1816" i="1"/>
  <c r="F1816" i="1"/>
  <c r="E1816" i="1"/>
  <c r="H1815" i="1"/>
  <c r="F1815" i="1"/>
  <c r="E1815" i="1"/>
  <c r="H1814" i="1"/>
  <c r="F1814" i="1"/>
  <c r="E1814" i="1"/>
  <c r="H1813" i="1"/>
  <c r="F1813" i="1"/>
  <c r="E1813" i="1"/>
  <c r="H1812" i="1"/>
  <c r="F1812" i="1"/>
  <c r="E1812" i="1"/>
  <c r="H1811" i="1"/>
  <c r="F1811" i="1"/>
  <c r="E1811" i="1"/>
  <c r="H1810" i="1"/>
  <c r="F1810" i="1"/>
  <c r="E1810" i="1"/>
  <c r="H1809" i="1"/>
  <c r="F1809" i="1"/>
  <c r="E1809" i="1"/>
  <c r="H1808" i="1"/>
  <c r="F1808" i="1"/>
  <c r="E1808" i="1"/>
  <c r="H1807" i="1"/>
  <c r="F1807" i="1"/>
  <c r="E1807" i="1"/>
  <c r="H1806" i="1"/>
  <c r="F1806" i="1"/>
  <c r="E1806" i="1"/>
  <c r="H1805" i="1"/>
  <c r="F1805" i="1"/>
  <c r="E1805" i="1"/>
  <c r="H1804" i="1"/>
  <c r="F1804" i="1"/>
  <c r="E1804" i="1"/>
  <c r="H1803" i="1"/>
  <c r="F1803" i="1"/>
  <c r="E1803" i="1"/>
  <c r="H1802" i="1"/>
  <c r="F1802" i="1"/>
  <c r="E1802" i="1"/>
  <c r="H1801" i="1"/>
  <c r="F1801" i="1"/>
  <c r="E1801" i="1"/>
  <c r="H1800" i="1"/>
  <c r="F1800" i="1"/>
  <c r="E1800" i="1"/>
  <c r="H1799" i="1"/>
  <c r="F1799" i="1"/>
  <c r="E1799" i="1"/>
  <c r="H1798" i="1"/>
  <c r="F1798" i="1"/>
  <c r="E1798" i="1"/>
  <c r="H1797" i="1"/>
  <c r="F1797" i="1"/>
  <c r="E1797" i="1"/>
  <c r="H1796" i="1"/>
  <c r="F1796" i="1"/>
  <c r="E1796" i="1"/>
  <c r="H1795" i="1"/>
  <c r="F1795" i="1"/>
  <c r="E1795" i="1"/>
  <c r="H1794" i="1"/>
  <c r="F1794" i="1"/>
  <c r="E1794" i="1"/>
  <c r="H1793" i="1"/>
  <c r="F1793" i="1"/>
  <c r="E1793" i="1"/>
  <c r="H1792" i="1"/>
  <c r="F1792" i="1"/>
  <c r="E1792" i="1"/>
  <c r="H1791" i="1"/>
  <c r="F1791" i="1"/>
  <c r="E1791" i="1"/>
  <c r="H1790" i="1"/>
  <c r="F1790" i="1"/>
  <c r="E1790" i="1"/>
  <c r="H1789" i="1"/>
  <c r="F1789" i="1"/>
  <c r="E1789" i="1"/>
  <c r="H1788" i="1"/>
  <c r="F1788" i="1"/>
  <c r="E1788" i="1"/>
  <c r="H1787" i="1"/>
  <c r="F1787" i="1"/>
  <c r="E1787" i="1"/>
  <c r="H1786" i="1"/>
  <c r="F1786" i="1"/>
  <c r="E1786" i="1"/>
  <c r="H1785" i="1"/>
  <c r="F1785" i="1"/>
  <c r="E1785" i="1"/>
  <c r="H1784" i="1"/>
  <c r="F1784" i="1"/>
  <c r="E1784" i="1"/>
  <c r="H1783" i="1"/>
  <c r="F1783" i="1"/>
  <c r="E1783" i="1"/>
  <c r="H1782" i="1"/>
  <c r="F1782" i="1"/>
  <c r="E1782" i="1"/>
  <c r="H1781" i="1"/>
  <c r="F1781" i="1"/>
  <c r="E1781" i="1"/>
  <c r="H1780" i="1"/>
  <c r="F1780" i="1"/>
  <c r="E1780" i="1"/>
  <c r="H1779" i="1"/>
  <c r="F1779" i="1"/>
  <c r="E1779" i="1"/>
  <c r="H1778" i="1"/>
  <c r="F1778" i="1"/>
  <c r="E1778" i="1"/>
  <c r="H1777" i="1"/>
  <c r="F1777" i="1"/>
  <c r="E1777" i="1"/>
  <c r="H1776" i="1"/>
  <c r="F1776" i="1"/>
  <c r="E1776" i="1"/>
  <c r="H1775" i="1"/>
  <c r="F1775" i="1"/>
  <c r="E1775" i="1"/>
  <c r="H1774" i="1"/>
  <c r="F1774" i="1"/>
  <c r="E1774" i="1"/>
  <c r="H1773" i="1"/>
  <c r="F1773" i="1"/>
  <c r="E1773" i="1"/>
  <c r="H1772" i="1"/>
  <c r="F1772" i="1"/>
  <c r="E1772" i="1"/>
  <c r="H1771" i="1"/>
  <c r="F1771" i="1"/>
  <c r="E1771" i="1"/>
  <c r="H1770" i="1"/>
  <c r="F1770" i="1"/>
  <c r="E1770" i="1"/>
  <c r="H1769" i="1"/>
  <c r="F1769" i="1"/>
  <c r="E1769" i="1"/>
  <c r="H1768" i="1"/>
  <c r="F1768" i="1"/>
  <c r="E1768" i="1"/>
  <c r="H1767" i="1"/>
  <c r="F1767" i="1"/>
  <c r="E1767" i="1"/>
  <c r="H1766" i="1"/>
  <c r="F1766" i="1"/>
  <c r="E1766" i="1"/>
  <c r="H1765" i="1"/>
  <c r="F1765" i="1"/>
  <c r="E1765" i="1"/>
  <c r="H1764" i="1"/>
  <c r="F1764" i="1"/>
  <c r="E1764" i="1"/>
  <c r="H1763" i="1"/>
  <c r="F1763" i="1"/>
  <c r="E1763" i="1"/>
  <c r="H1762" i="1"/>
  <c r="F1762" i="1"/>
  <c r="E1762" i="1"/>
  <c r="H1761" i="1"/>
  <c r="F1761" i="1"/>
  <c r="E1761" i="1"/>
  <c r="H1760" i="1"/>
  <c r="F1760" i="1"/>
  <c r="E1760" i="1"/>
  <c r="H1759" i="1"/>
  <c r="F1759" i="1"/>
  <c r="E1759" i="1"/>
  <c r="H1758" i="1"/>
  <c r="F1758" i="1"/>
  <c r="E1758" i="1"/>
  <c r="H1757" i="1"/>
  <c r="F1757" i="1"/>
  <c r="E1757" i="1"/>
  <c r="H1756" i="1"/>
  <c r="F1756" i="1"/>
  <c r="E1756" i="1"/>
  <c r="H1755" i="1"/>
  <c r="F1755" i="1"/>
  <c r="E1755" i="1"/>
  <c r="H1754" i="1"/>
  <c r="F1754" i="1"/>
  <c r="E1754" i="1"/>
  <c r="H1753" i="1"/>
  <c r="F1753" i="1"/>
  <c r="E1753" i="1"/>
  <c r="H1752" i="1"/>
  <c r="F1752" i="1"/>
  <c r="E1752" i="1"/>
  <c r="H1751" i="1"/>
  <c r="F1751" i="1"/>
  <c r="E1751" i="1"/>
  <c r="H1750" i="1"/>
  <c r="F1750" i="1"/>
  <c r="E1750" i="1"/>
  <c r="H1749" i="1"/>
  <c r="F1749" i="1"/>
  <c r="E1749" i="1"/>
  <c r="H1748" i="1"/>
  <c r="F1748" i="1"/>
  <c r="E1748" i="1"/>
  <c r="H1747" i="1"/>
  <c r="F1747" i="1"/>
  <c r="E1747" i="1"/>
  <c r="H1746" i="1"/>
  <c r="F1746" i="1"/>
  <c r="E1746" i="1"/>
  <c r="H1745" i="1"/>
  <c r="F1745" i="1"/>
  <c r="E1745" i="1"/>
  <c r="H1744" i="1"/>
  <c r="F1744" i="1"/>
  <c r="E1744" i="1"/>
  <c r="H1743" i="1"/>
  <c r="F1743" i="1"/>
  <c r="E1743" i="1"/>
  <c r="H1742" i="1"/>
  <c r="F1742" i="1"/>
  <c r="E1742" i="1"/>
  <c r="H1741" i="1"/>
  <c r="F1741" i="1"/>
  <c r="E1741" i="1"/>
  <c r="H1740" i="1"/>
  <c r="F1740" i="1"/>
  <c r="E1740" i="1"/>
  <c r="H1739" i="1"/>
  <c r="F1739" i="1"/>
  <c r="E1739" i="1"/>
  <c r="H1738" i="1"/>
  <c r="F1738" i="1"/>
  <c r="E1738" i="1"/>
  <c r="H1737" i="1"/>
  <c r="F1737" i="1"/>
  <c r="E1737" i="1"/>
  <c r="H1736" i="1"/>
  <c r="F1736" i="1"/>
  <c r="E1736" i="1"/>
  <c r="H1735" i="1"/>
  <c r="F1735" i="1"/>
  <c r="E1735" i="1"/>
  <c r="H1734" i="1"/>
  <c r="F1734" i="1"/>
  <c r="E1734" i="1"/>
  <c r="H1733" i="1"/>
  <c r="F1733" i="1"/>
  <c r="E1733" i="1"/>
  <c r="H1732" i="1"/>
  <c r="F1732" i="1"/>
  <c r="E1732" i="1"/>
  <c r="H1731" i="1"/>
  <c r="F1731" i="1"/>
  <c r="E1731" i="1"/>
  <c r="H1730" i="1"/>
  <c r="F1730" i="1"/>
  <c r="E1730" i="1"/>
  <c r="H1729" i="1"/>
  <c r="F1729" i="1"/>
  <c r="E1729" i="1"/>
  <c r="H1728" i="1"/>
  <c r="F1728" i="1"/>
  <c r="E1728" i="1"/>
  <c r="H1727" i="1"/>
  <c r="F1727" i="1"/>
  <c r="E1727" i="1"/>
  <c r="H1726" i="1"/>
  <c r="F1726" i="1"/>
  <c r="E1726" i="1"/>
  <c r="H1725" i="1"/>
  <c r="F1725" i="1"/>
  <c r="E1725" i="1"/>
  <c r="H1724" i="1"/>
  <c r="F1724" i="1"/>
  <c r="E1724" i="1"/>
  <c r="H1723" i="1"/>
  <c r="F1723" i="1"/>
  <c r="E1723" i="1"/>
  <c r="H1722" i="1"/>
  <c r="F1722" i="1"/>
  <c r="E1722" i="1"/>
  <c r="H1721" i="1"/>
  <c r="F1721" i="1"/>
  <c r="E1721" i="1"/>
  <c r="H1720" i="1"/>
  <c r="F1720" i="1"/>
  <c r="E1720" i="1"/>
  <c r="H1719" i="1"/>
  <c r="F1719" i="1"/>
  <c r="E1719" i="1"/>
  <c r="H1718" i="1"/>
  <c r="F1718" i="1"/>
  <c r="E1718" i="1"/>
  <c r="H1717" i="1"/>
  <c r="F1717" i="1"/>
  <c r="E1717" i="1"/>
  <c r="H1716" i="1"/>
  <c r="F1716" i="1"/>
  <c r="E1716" i="1"/>
  <c r="H1715" i="1"/>
  <c r="F1715" i="1"/>
  <c r="E1715" i="1"/>
  <c r="H1714" i="1"/>
  <c r="F1714" i="1"/>
  <c r="E1714" i="1"/>
  <c r="H1713" i="1"/>
  <c r="F1713" i="1"/>
  <c r="E1713" i="1"/>
  <c r="H1712" i="1"/>
  <c r="F1712" i="1"/>
  <c r="E1712" i="1"/>
  <c r="H1711" i="1"/>
  <c r="F1711" i="1"/>
  <c r="E1711" i="1"/>
  <c r="H1710" i="1"/>
  <c r="F1710" i="1"/>
  <c r="E1710" i="1"/>
  <c r="H1709" i="1"/>
  <c r="F1709" i="1"/>
  <c r="E1709" i="1"/>
  <c r="H1708" i="1"/>
  <c r="F1708" i="1"/>
  <c r="E1708" i="1"/>
  <c r="H1707" i="1"/>
  <c r="F1707" i="1"/>
  <c r="E1707" i="1"/>
  <c r="H1706" i="1"/>
  <c r="F1706" i="1"/>
  <c r="E1706" i="1"/>
  <c r="H1705" i="1"/>
  <c r="F1705" i="1"/>
  <c r="E1705" i="1"/>
  <c r="H1704" i="1"/>
  <c r="F1704" i="1"/>
  <c r="E1704" i="1"/>
  <c r="H1703" i="1"/>
  <c r="F1703" i="1"/>
  <c r="E1703" i="1"/>
  <c r="H1702" i="1"/>
  <c r="F1702" i="1"/>
  <c r="E1702" i="1"/>
  <c r="H1701" i="1"/>
  <c r="F1701" i="1"/>
  <c r="E1701" i="1"/>
  <c r="H1700" i="1"/>
  <c r="F1700" i="1"/>
  <c r="E1700" i="1"/>
  <c r="H1699" i="1"/>
  <c r="F1699" i="1"/>
  <c r="E1699" i="1"/>
  <c r="H1698" i="1"/>
  <c r="F1698" i="1"/>
  <c r="E1698" i="1"/>
  <c r="H1697" i="1"/>
  <c r="F1697" i="1"/>
  <c r="E1697" i="1"/>
  <c r="H1696" i="1"/>
  <c r="F1696" i="1"/>
  <c r="E1696" i="1"/>
  <c r="H1695" i="1"/>
  <c r="F1695" i="1"/>
  <c r="E1695" i="1"/>
  <c r="H1694" i="1"/>
  <c r="F1694" i="1"/>
  <c r="E1694" i="1"/>
  <c r="H1693" i="1"/>
  <c r="F1693" i="1"/>
  <c r="E1693" i="1"/>
  <c r="H1692" i="1"/>
  <c r="F1692" i="1"/>
  <c r="E1692" i="1"/>
  <c r="H1691" i="1"/>
  <c r="F1691" i="1"/>
  <c r="E1691" i="1"/>
  <c r="H1690" i="1"/>
  <c r="F1690" i="1"/>
  <c r="E1690" i="1"/>
  <c r="H1689" i="1"/>
  <c r="F1689" i="1"/>
  <c r="E1689" i="1"/>
  <c r="H1688" i="1"/>
  <c r="F1688" i="1"/>
  <c r="E1688" i="1"/>
  <c r="H1687" i="1"/>
  <c r="F1687" i="1"/>
  <c r="E1687" i="1"/>
  <c r="H1686" i="1"/>
  <c r="F1686" i="1"/>
  <c r="E1686" i="1"/>
  <c r="H1685" i="1"/>
  <c r="F1685" i="1"/>
  <c r="E1685" i="1"/>
  <c r="H1684" i="1"/>
  <c r="F1684" i="1"/>
  <c r="E1684" i="1"/>
  <c r="H1683" i="1"/>
  <c r="F1683" i="1"/>
  <c r="E1683" i="1"/>
  <c r="H1682" i="1"/>
  <c r="F1682" i="1"/>
  <c r="E1682" i="1"/>
  <c r="H1681" i="1"/>
  <c r="F1681" i="1"/>
  <c r="E1681" i="1"/>
  <c r="H1680" i="1"/>
  <c r="F1680" i="1"/>
  <c r="E1680" i="1"/>
  <c r="H1679" i="1"/>
  <c r="F1679" i="1"/>
  <c r="E1679" i="1"/>
  <c r="H1678" i="1"/>
  <c r="F1678" i="1"/>
  <c r="E1678" i="1"/>
  <c r="H1677" i="1"/>
  <c r="F1677" i="1"/>
  <c r="E1677" i="1"/>
  <c r="H1676" i="1"/>
  <c r="F1676" i="1"/>
  <c r="E1676" i="1"/>
  <c r="H1675" i="1"/>
  <c r="F1675" i="1"/>
  <c r="E1675" i="1"/>
  <c r="H1674" i="1"/>
  <c r="F1674" i="1"/>
  <c r="E1674" i="1"/>
  <c r="H1673" i="1"/>
  <c r="F1673" i="1"/>
  <c r="E1673" i="1"/>
  <c r="H1672" i="1"/>
  <c r="F1672" i="1"/>
  <c r="E1672" i="1"/>
  <c r="H1671" i="1"/>
  <c r="F1671" i="1"/>
  <c r="E1671" i="1"/>
  <c r="H1670" i="1"/>
  <c r="F1670" i="1"/>
  <c r="E1670" i="1"/>
  <c r="H1669" i="1"/>
  <c r="F1669" i="1"/>
  <c r="E1669" i="1"/>
  <c r="H1668" i="1"/>
  <c r="F1668" i="1"/>
  <c r="E1668" i="1"/>
  <c r="H1667" i="1"/>
  <c r="F1667" i="1"/>
  <c r="E1667" i="1"/>
  <c r="H1666" i="1"/>
  <c r="F1666" i="1"/>
  <c r="E1666" i="1"/>
  <c r="H1665" i="1"/>
  <c r="F1665" i="1"/>
  <c r="E1665" i="1"/>
  <c r="H1664" i="1"/>
  <c r="F1664" i="1"/>
  <c r="E1664" i="1"/>
  <c r="H1663" i="1"/>
  <c r="F1663" i="1"/>
  <c r="E1663" i="1"/>
  <c r="H1662" i="1"/>
  <c r="F1662" i="1"/>
  <c r="E1662" i="1"/>
  <c r="H1661" i="1"/>
  <c r="F1661" i="1"/>
  <c r="E1661" i="1"/>
  <c r="H1660" i="1"/>
  <c r="F1660" i="1"/>
  <c r="E1660" i="1"/>
  <c r="H1659" i="1"/>
  <c r="F1659" i="1"/>
  <c r="E1659" i="1"/>
  <c r="H1658" i="1"/>
  <c r="F1658" i="1"/>
  <c r="E1658" i="1"/>
  <c r="H1657" i="1"/>
  <c r="F1657" i="1"/>
  <c r="E1657" i="1"/>
  <c r="H1656" i="1"/>
  <c r="F1656" i="1"/>
  <c r="E1656" i="1"/>
  <c r="H1655" i="1"/>
  <c r="F1655" i="1"/>
  <c r="E1655" i="1"/>
  <c r="H1654" i="1"/>
  <c r="F1654" i="1"/>
  <c r="E1654" i="1"/>
  <c r="H1653" i="1"/>
  <c r="F1653" i="1"/>
  <c r="E1653" i="1"/>
  <c r="H1652" i="1"/>
  <c r="F1652" i="1"/>
  <c r="E1652" i="1"/>
  <c r="H1651" i="1"/>
  <c r="F1651" i="1"/>
  <c r="E1651" i="1"/>
  <c r="H1650" i="1"/>
  <c r="F1650" i="1"/>
  <c r="E1650" i="1"/>
  <c r="H1649" i="1"/>
  <c r="F1649" i="1"/>
  <c r="E1649" i="1"/>
  <c r="H1648" i="1"/>
  <c r="F1648" i="1"/>
  <c r="E1648" i="1"/>
  <c r="H1647" i="1"/>
  <c r="F1647" i="1"/>
  <c r="E1647" i="1"/>
  <c r="H1646" i="1"/>
  <c r="F1646" i="1"/>
  <c r="E1646" i="1"/>
  <c r="H1645" i="1"/>
  <c r="F1645" i="1"/>
  <c r="E1645" i="1"/>
  <c r="H1644" i="1"/>
  <c r="F1644" i="1"/>
  <c r="E1644" i="1"/>
  <c r="H1643" i="1"/>
  <c r="F1643" i="1"/>
  <c r="E1643" i="1"/>
  <c r="H1642" i="1"/>
  <c r="F1642" i="1"/>
  <c r="E1642" i="1"/>
  <c r="H1641" i="1"/>
  <c r="F1641" i="1"/>
  <c r="E1641" i="1"/>
  <c r="H1640" i="1"/>
  <c r="F1640" i="1"/>
  <c r="E1640" i="1"/>
  <c r="H1639" i="1"/>
  <c r="F1639" i="1"/>
  <c r="E1639" i="1"/>
  <c r="H1638" i="1"/>
  <c r="F1638" i="1"/>
  <c r="E1638" i="1"/>
  <c r="H1637" i="1"/>
  <c r="F1637" i="1"/>
  <c r="E1637" i="1"/>
  <c r="H1636" i="1"/>
  <c r="F1636" i="1"/>
  <c r="E1636" i="1"/>
  <c r="H1635" i="1"/>
  <c r="F1635" i="1"/>
  <c r="E1635" i="1"/>
  <c r="H1634" i="1"/>
  <c r="F1634" i="1"/>
  <c r="E1634" i="1"/>
  <c r="H1633" i="1"/>
  <c r="F1633" i="1"/>
  <c r="E1633" i="1"/>
  <c r="H1632" i="1"/>
  <c r="F1632" i="1"/>
  <c r="E1632" i="1"/>
  <c r="H1631" i="1"/>
  <c r="F1631" i="1"/>
  <c r="E1631" i="1"/>
  <c r="H1630" i="1"/>
  <c r="F1630" i="1"/>
  <c r="E1630" i="1"/>
  <c r="H1629" i="1"/>
  <c r="F1629" i="1"/>
  <c r="E1629" i="1"/>
  <c r="H1628" i="1"/>
  <c r="F1628" i="1"/>
  <c r="E1628" i="1"/>
  <c r="H1627" i="1"/>
  <c r="F1627" i="1"/>
  <c r="E1627" i="1"/>
  <c r="H1626" i="1"/>
  <c r="F1626" i="1"/>
  <c r="E1626" i="1"/>
  <c r="H1625" i="1"/>
  <c r="F1625" i="1"/>
  <c r="E1625" i="1"/>
  <c r="H1624" i="1"/>
  <c r="F1624" i="1"/>
  <c r="E1624" i="1"/>
  <c r="H1623" i="1"/>
  <c r="F1623" i="1"/>
  <c r="E1623" i="1"/>
  <c r="H1622" i="1"/>
  <c r="F1622" i="1"/>
  <c r="E1622" i="1"/>
  <c r="H1621" i="1"/>
  <c r="F1621" i="1"/>
  <c r="E1621" i="1"/>
  <c r="H1620" i="1"/>
  <c r="F1620" i="1"/>
  <c r="E1620" i="1"/>
  <c r="H1619" i="1"/>
  <c r="F1619" i="1"/>
  <c r="E1619" i="1"/>
  <c r="H1618" i="1"/>
  <c r="F1618" i="1"/>
  <c r="E1618" i="1"/>
  <c r="H1617" i="1"/>
  <c r="F1617" i="1"/>
  <c r="E1617" i="1"/>
  <c r="H1616" i="1"/>
  <c r="F1616" i="1"/>
  <c r="E1616" i="1"/>
  <c r="H1615" i="1"/>
  <c r="F1615" i="1"/>
  <c r="E1615" i="1"/>
  <c r="H1614" i="1"/>
  <c r="F1614" i="1"/>
  <c r="E1614" i="1"/>
  <c r="H1613" i="1"/>
  <c r="F1613" i="1"/>
  <c r="E1613" i="1"/>
  <c r="H1612" i="1"/>
  <c r="F1612" i="1"/>
  <c r="E1612" i="1"/>
  <c r="H1611" i="1"/>
  <c r="F1611" i="1"/>
  <c r="E1611" i="1"/>
  <c r="H1610" i="1"/>
  <c r="F1610" i="1"/>
  <c r="E1610" i="1"/>
  <c r="H1609" i="1"/>
  <c r="F1609" i="1"/>
  <c r="E1609" i="1"/>
  <c r="H1608" i="1"/>
  <c r="F1608" i="1"/>
  <c r="E1608" i="1"/>
  <c r="H1607" i="1"/>
  <c r="F1607" i="1"/>
  <c r="E1607" i="1"/>
  <c r="H1606" i="1"/>
  <c r="F1606" i="1"/>
  <c r="E1606" i="1"/>
  <c r="H1605" i="1"/>
  <c r="F1605" i="1"/>
  <c r="E1605" i="1"/>
  <c r="H1604" i="1"/>
  <c r="F1604" i="1"/>
  <c r="E1604" i="1"/>
  <c r="H1603" i="1"/>
  <c r="F1603" i="1"/>
  <c r="E1603" i="1"/>
  <c r="H1602" i="1"/>
  <c r="F1602" i="1"/>
  <c r="E1602" i="1"/>
  <c r="H1601" i="1"/>
  <c r="F1601" i="1"/>
  <c r="E1601" i="1"/>
  <c r="H1600" i="1"/>
  <c r="F1600" i="1"/>
  <c r="E1600" i="1"/>
  <c r="H1599" i="1"/>
  <c r="F1599" i="1"/>
  <c r="E1599" i="1"/>
  <c r="H1598" i="1"/>
  <c r="F1598" i="1"/>
  <c r="E1598" i="1"/>
  <c r="H1597" i="1"/>
  <c r="F1597" i="1"/>
  <c r="E1597" i="1"/>
  <c r="H1596" i="1"/>
  <c r="F1596" i="1"/>
  <c r="E1596" i="1"/>
  <c r="H1595" i="1"/>
  <c r="F1595" i="1"/>
  <c r="E1595" i="1"/>
  <c r="H1594" i="1"/>
  <c r="F1594" i="1"/>
  <c r="E1594" i="1"/>
  <c r="H1593" i="1"/>
  <c r="F1593" i="1"/>
  <c r="E1593" i="1"/>
  <c r="H1592" i="1"/>
  <c r="F1592" i="1"/>
  <c r="E1592" i="1"/>
  <c r="H1591" i="1"/>
  <c r="F1591" i="1"/>
  <c r="E1591" i="1"/>
  <c r="H1590" i="1"/>
  <c r="F1590" i="1"/>
  <c r="E1590" i="1"/>
  <c r="H1589" i="1"/>
  <c r="F1589" i="1"/>
  <c r="E1589" i="1"/>
  <c r="H1588" i="1"/>
  <c r="F1588" i="1"/>
  <c r="E1588" i="1"/>
  <c r="H1587" i="1"/>
  <c r="F1587" i="1"/>
  <c r="E1587" i="1"/>
  <c r="H1586" i="1"/>
  <c r="F1586" i="1"/>
  <c r="E1586" i="1"/>
  <c r="H1585" i="1"/>
  <c r="F1585" i="1"/>
  <c r="E1585" i="1"/>
  <c r="H1584" i="1"/>
  <c r="F1584" i="1"/>
  <c r="E1584" i="1"/>
  <c r="H1583" i="1"/>
  <c r="F1583" i="1"/>
  <c r="E1583" i="1"/>
  <c r="H1582" i="1"/>
  <c r="F1582" i="1"/>
  <c r="E1582" i="1"/>
  <c r="H1581" i="1"/>
  <c r="F1581" i="1"/>
  <c r="E1581" i="1"/>
  <c r="H1580" i="1"/>
  <c r="F1580" i="1"/>
  <c r="E1580" i="1"/>
  <c r="H1579" i="1"/>
  <c r="F1579" i="1"/>
  <c r="E1579" i="1"/>
  <c r="H1578" i="1"/>
  <c r="F1578" i="1"/>
  <c r="E1578" i="1"/>
  <c r="H1577" i="1"/>
  <c r="F1577" i="1"/>
  <c r="E1577" i="1"/>
  <c r="H1576" i="1"/>
  <c r="F1576" i="1"/>
  <c r="E1576" i="1"/>
  <c r="H1575" i="1"/>
  <c r="F1575" i="1"/>
  <c r="E1575" i="1"/>
  <c r="H1574" i="1"/>
  <c r="F1574" i="1"/>
  <c r="E1574" i="1"/>
  <c r="H1573" i="1"/>
  <c r="F1573" i="1"/>
  <c r="E1573" i="1"/>
  <c r="H1572" i="1"/>
  <c r="F1572" i="1"/>
  <c r="E1572" i="1"/>
  <c r="H1571" i="1"/>
  <c r="F1571" i="1"/>
  <c r="E1571" i="1"/>
  <c r="H1570" i="1"/>
  <c r="F1570" i="1"/>
  <c r="E1570" i="1"/>
  <c r="H1569" i="1"/>
  <c r="F1569" i="1"/>
  <c r="E1569" i="1"/>
  <c r="H1568" i="1"/>
  <c r="F1568" i="1"/>
  <c r="E1568" i="1"/>
  <c r="H1567" i="1"/>
  <c r="F1567" i="1"/>
  <c r="E1567" i="1"/>
  <c r="H1566" i="1"/>
  <c r="F1566" i="1"/>
  <c r="E1566" i="1"/>
  <c r="H1565" i="1"/>
  <c r="F1565" i="1"/>
  <c r="E1565" i="1"/>
  <c r="H1564" i="1"/>
  <c r="F1564" i="1"/>
  <c r="E1564" i="1"/>
  <c r="H1563" i="1"/>
  <c r="F1563" i="1"/>
  <c r="E1563" i="1"/>
  <c r="H1562" i="1"/>
  <c r="F1562" i="1"/>
  <c r="E1562" i="1"/>
  <c r="H1561" i="1"/>
  <c r="F1561" i="1"/>
  <c r="E1561" i="1"/>
  <c r="H1560" i="1"/>
  <c r="F1560" i="1"/>
  <c r="E1560" i="1"/>
  <c r="H1559" i="1"/>
  <c r="F1559" i="1"/>
  <c r="E1559" i="1"/>
  <c r="H1558" i="1"/>
  <c r="F1558" i="1"/>
  <c r="E1558" i="1"/>
  <c r="H1557" i="1"/>
  <c r="F1557" i="1"/>
  <c r="E1557" i="1"/>
  <c r="H1556" i="1"/>
  <c r="F1556" i="1"/>
  <c r="E1556" i="1"/>
  <c r="H1555" i="1"/>
  <c r="F1555" i="1"/>
  <c r="E1555" i="1"/>
  <c r="H1554" i="1"/>
  <c r="F1554" i="1"/>
  <c r="E1554" i="1"/>
  <c r="H1553" i="1"/>
  <c r="F1553" i="1"/>
  <c r="E1553" i="1"/>
  <c r="H1552" i="1"/>
  <c r="F1552" i="1"/>
  <c r="E1552" i="1"/>
  <c r="H1551" i="1"/>
  <c r="F1551" i="1"/>
  <c r="E1551" i="1"/>
  <c r="H1550" i="1"/>
  <c r="F1550" i="1"/>
  <c r="E1550" i="1"/>
  <c r="H1549" i="1"/>
  <c r="F1549" i="1"/>
  <c r="E1549" i="1"/>
  <c r="H1548" i="1"/>
  <c r="F1548" i="1"/>
  <c r="E1548" i="1"/>
  <c r="H1547" i="1"/>
  <c r="F1547" i="1"/>
  <c r="E1547" i="1"/>
  <c r="H1546" i="1"/>
  <c r="F1546" i="1"/>
  <c r="E1546" i="1"/>
  <c r="H1545" i="1"/>
  <c r="F1545" i="1"/>
  <c r="E1545" i="1"/>
  <c r="H1544" i="1"/>
  <c r="F1544" i="1"/>
  <c r="E1544" i="1"/>
  <c r="H1543" i="1"/>
  <c r="F1543" i="1"/>
  <c r="E1543" i="1"/>
  <c r="H1542" i="1"/>
  <c r="F1542" i="1"/>
  <c r="E1542" i="1"/>
  <c r="H1541" i="1"/>
  <c r="F1541" i="1"/>
  <c r="E1541" i="1"/>
  <c r="H1540" i="1"/>
  <c r="F1540" i="1"/>
  <c r="E1540" i="1"/>
  <c r="H1539" i="1"/>
  <c r="F1539" i="1"/>
  <c r="E1539" i="1"/>
  <c r="H1538" i="1"/>
  <c r="F1538" i="1"/>
  <c r="E1538" i="1"/>
  <c r="H1537" i="1"/>
  <c r="F1537" i="1"/>
  <c r="E1537" i="1"/>
  <c r="H1536" i="1"/>
  <c r="F1536" i="1"/>
  <c r="E1536" i="1"/>
  <c r="H1535" i="1"/>
  <c r="F1535" i="1"/>
  <c r="E1535" i="1"/>
  <c r="H1534" i="1"/>
  <c r="F1534" i="1"/>
  <c r="E1534" i="1"/>
  <c r="H1533" i="1"/>
  <c r="F1533" i="1"/>
  <c r="E1533" i="1"/>
  <c r="H1532" i="1"/>
  <c r="F1532" i="1"/>
  <c r="E1532" i="1"/>
  <c r="H1531" i="1"/>
  <c r="F1531" i="1"/>
  <c r="E1531" i="1"/>
  <c r="H1530" i="1"/>
  <c r="F1530" i="1"/>
  <c r="E1530" i="1"/>
  <c r="H1529" i="1"/>
  <c r="F1529" i="1"/>
  <c r="E1529" i="1"/>
  <c r="H1528" i="1"/>
  <c r="F1528" i="1"/>
  <c r="E1528" i="1"/>
  <c r="H1527" i="1"/>
  <c r="F1527" i="1"/>
  <c r="E1527" i="1"/>
  <c r="H1526" i="1"/>
  <c r="F1526" i="1"/>
  <c r="E1526" i="1"/>
  <c r="H1525" i="1"/>
  <c r="F1525" i="1"/>
  <c r="E1525" i="1"/>
  <c r="H1524" i="1"/>
  <c r="F1524" i="1"/>
  <c r="E1524" i="1"/>
  <c r="H1523" i="1"/>
  <c r="F1523" i="1"/>
  <c r="E1523" i="1"/>
  <c r="H1522" i="1"/>
  <c r="F1522" i="1"/>
  <c r="E1522" i="1"/>
  <c r="H1521" i="1"/>
  <c r="F1521" i="1"/>
  <c r="E1521" i="1"/>
  <c r="H1520" i="1"/>
  <c r="F1520" i="1"/>
  <c r="E1520" i="1"/>
  <c r="H1519" i="1"/>
  <c r="F1519" i="1"/>
  <c r="E1519" i="1"/>
  <c r="H1518" i="1"/>
  <c r="F1518" i="1"/>
  <c r="E1518" i="1"/>
  <c r="H1517" i="1"/>
  <c r="F1517" i="1"/>
  <c r="E1517" i="1"/>
  <c r="H1516" i="1"/>
  <c r="F1516" i="1"/>
  <c r="E1516" i="1"/>
  <c r="H1515" i="1"/>
  <c r="F1515" i="1"/>
  <c r="E1515" i="1"/>
  <c r="H1514" i="1"/>
  <c r="F1514" i="1"/>
  <c r="E1514" i="1"/>
  <c r="H1513" i="1"/>
  <c r="F1513" i="1"/>
  <c r="E1513" i="1"/>
  <c r="H1512" i="1"/>
  <c r="F1512" i="1"/>
  <c r="E1512" i="1"/>
  <c r="H1511" i="1"/>
  <c r="F1511" i="1"/>
  <c r="E1511" i="1"/>
  <c r="H1510" i="1"/>
  <c r="F1510" i="1"/>
  <c r="E1510" i="1"/>
  <c r="H1509" i="1"/>
  <c r="F1509" i="1"/>
  <c r="E1509" i="1"/>
  <c r="H1508" i="1"/>
  <c r="F1508" i="1"/>
  <c r="E1508" i="1"/>
  <c r="H1507" i="1"/>
  <c r="F1507" i="1"/>
  <c r="E1507" i="1"/>
  <c r="H1506" i="1"/>
  <c r="F1506" i="1"/>
  <c r="E1506" i="1"/>
  <c r="H1505" i="1"/>
  <c r="F1505" i="1"/>
  <c r="E1505" i="1"/>
  <c r="H1504" i="1"/>
  <c r="F1504" i="1"/>
  <c r="E1504" i="1"/>
  <c r="H1503" i="1"/>
  <c r="F1503" i="1"/>
  <c r="E1503" i="1"/>
  <c r="H1502" i="1"/>
  <c r="F1502" i="1"/>
  <c r="E1502" i="1"/>
  <c r="H1501" i="1"/>
  <c r="F1501" i="1"/>
  <c r="E1501" i="1"/>
  <c r="H1500" i="1"/>
  <c r="F1500" i="1"/>
  <c r="E1500" i="1"/>
  <c r="H1499" i="1"/>
  <c r="F1499" i="1"/>
  <c r="E1499" i="1"/>
  <c r="H1498" i="1"/>
  <c r="F1498" i="1"/>
  <c r="E1498" i="1"/>
  <c r="H1497" i="1"/>
  <c r="F1497" i="1"/>
  <c r="E1497" i="1"/>
  <c r="H1496" i="1"/>
  <c r="F1496" i="1"/>
  <c r="E1496" i="1"/>
  <c r="H1495" i="1"/>
  <c r="F1495" i="1"/>
  <c r="E1495" i="1"/>
  <c r="H1494" i="1"/>
  <c r="F1494" i="1"/>
  <c r="E1494" i="1"/>
  <c r="H1493" i="1"/>
  <c r="F1493" i="1"/>
  <c r="E1493" i="1"/>
  <c r="H1492" i="1"/>
  <c r="F1492" i="1"/>
  <c r="E1492" i="1"/>
  <c r="H1491" i="1"/>
  <c r="F1491" i="1"/>
  <c r="E1491" i="1"/>
  <c r="H1490" i="1"/>
  <c r="F1490" i="1"/>
  <c r="E1490" i="1"/>
  <c r="H1489" i="1"/>
  <c r="F1489" i="1"/>
  <c r="E1489" i="1"/>
  <c r="H1488" i="1"/>
  <c r="F1488" i="1"/>
  <c r="E1488" i="1"/>
  <c r="H1487" i="1"/>
  <c r="F1487" i="1"/>
  <c r="E1487" i="1"/>
  <c r="H1486" i="1"/>
  <c r="F1486" i="1"/>
  <c r="E1486" i="1"/>
  <c r="H1485" i="1"/>
  <c r="F1485" i="1"/>
  <c r="E1485" i="1"/>
  <c r="H1484" i="1"/>
  <c r="F1484" i="1"/>
  <c r="E1484" i="1"/>
  <c r="H1483" i="1"/>
  <c r="F1483" i="1"/>
  <c r="E1483" i="1"/>
  <c r="H1482" i="1"/>
  <c r="F1482" i="1"/>
  <c r="E1482" i="1"/>
  <c r="H1481" i="1"/>
  <c r="F1481" i="1"/>
  <c r="E1481" i="1"/>
  <c r="H1480" i="1"/>
  <c r="F1480" i="1"/>
  <c r="E1480" i="1"/>
  <c r="H1479" i="1"/>
  <c r="F1479" i="1"/>
  <c r="E1479" i="1"/>
  <c r="H1478" i="1"/>
  <c r="F1478" i="1"/>
  <c r="E1478" i="1"/>
  <c r="H1477" i="1"/>
  <c r="F1477" i="1"/>
  <c r="E1477" i="1"/>
  <c r="H1476" i="1"/>
  <c r="F1476" i="1"/>
  <c r="E1476" i="1"/>
  <c r="H1475" i="1"/>
  <c r="F1475" i="1"/>
  <c r="E1475" i="1"/>
  <c r="H1474" i="1"/>
  <c r="F1474" i="1"/>
  <c r="E1474" i="1"/>
  <c r="H1473" i="1"/>
  <c r="F1473" i="1"/>
  <c r="E1473" i="1"/>
  <c r="H1472" i="1"/>
  <c r="F1472" i="1"/>
  <c r="E1472" i="1"/>
  <c r="H1471" i="1"/>
  <c r="F1471" i="1"/>
  <c r="E1471" i="1"/>
  <c r="H1470" i="1"/>
  <c r="F1470" i="1"/>
  <c r="E1470" i="1"/>
  <c r="H1469" i="1"/>
  <c r="F1469" i="1"/>
  <c r="E1469" i="1"/>
  <c r="H1468" i="1"/>
  <c r="F1468" i="1"/>
  <c r="E1468" i="1"/>
  <c r="H1467" i="1"/>
  <c r="F1467" i="1"/>
  <c r="E1467" i="1"/>
  <c r="H1466" i="1"/>
  <c r="F1466" i="1"/>
  <c r="E1466" i="1"/>
  <c r="H1465" i="1"/>
  <c r="F1465" i="1"/>
  <c r="E1465" i="1"/>
  <c r="H1464" i="1"/>
  <c r="F1464" i="1"/>
  <c r="E1464" i="1"/>
  <c r="H1463" i="1"/>
  <c r="F1463" i="1"/>
  <c r="E1463" i="1"/>
  <c r="H1462" i="1"/>
  <c r="F1462" i="1"/>
  <c r="E1462" i="1"/>
  <c r="H1461" i="1"/>
  <c r="F1461" i="1"/>
  <c r="E1461" i="1"/>
  <c r="H1460" i="1"/>
  <c r="F1460" i="1"/>
  <c r="E1460" i="1"/>
  <c r="H1459" i="1"/>
  <c r="F1459" i="1"/>
  <c r="E1459" i="1"/>
  <c r="H1458" i="1"/>
  <c r="F1458" i="1"/>
  <c r="E1458" i="1"/>
  <c r="H1457" i="1"/>
  <c r="F1457" i="1"/>
  <c r="E1457" i="1"/>
  <c r="H1456" i="1"/>
  <c r="F1456" i="1"/>
  <c r="E1456" i="1"/>
  <c r="H1455" i="1"/>
  <c r="F1455" i="1"/>
  <c r="E1455" i="1"/>
  <c r="H1454" i="1"/>
  <c r="F1454" i="1"/>
  <c r="E1454" i="1"/>
  <c r="H1453" i="1"/>
  <c r="F1453" i="1"/>
  <c r="E1453" i="1"/>
  <c r="H1452" i="1"/>
  <c r="F1452" i="1"/>
  <c r="E1452" i="1"/>
  <c r="H1451" i="1"/>
  <c r="F1451" i="1"/>
  <c r="E1451" i="1"/>
  <c r="H1450" i="1"/>
  <c r="F1450" i="1"/>
  <c r="E1450" i="1"/>
  <c r="H1449" i="1"/>
  <c r="F1449" i="1"/>
  <c r="E1449" i="1"/>
  <c r="H1448" i="1"/>
  <c r="F1448" i="1"/>
  <c r="E1448" i="1"/>
  <c r="H1447" i="1"/>
  <c r="F1447" i="1"/>
  <c r="E1447" i="1"/>
  <c r="H1446" i="1"/>
  <c r="F1446" i="1"/>
  <c r="E1446" i="1"/>
  <c r="H1445" i="1"/>
  <c r="F1445" i="1"/>
  <c r="E1445" i="1"/>
  <c r="H1444" i="1"/>
  <c r="F1444" i="1"/>
  <c r="E1444" i="1"/>
  <c r="H1443" i="1"/>
  <c r="F1443" i="1"/>
  <c r="E1443" i="1"/>
  <c r="H1442" i="1"/>
  <c r="F1442" i="1"/>
  <c r="E1442" i="1"/>
  <c r="H1441" i="1"/>
  <c r="F1441" i="1"/>
  <c r="E1441" i="1"/>
  <c r="H1440" i="1"/>
  <c r="F1440" i="1"/>
  <c r="E1440" i="1"/>
  <c r="H1439" i="1"/>
  <c r="F1439" i="1"/>
  <c r="E1439" i="1"/>
  <c r="H1438" i="1"/>
  <c r="F1438" i="1"/>
  <c r="E1438" i="1"/>
  <c r="H1437" i="1"/>
  <c r="F1437" i="1"/>
  <c r="E1437" i="1"/>
  <c r="H1436" i="1"/>
  <c r="F1436" i="1"/>
  <c r="E1436" i="1"/>
  <c r="H1435" i="1"/>
  <c r="F1435" i="1"/>
  <c r="E1435" i="1"/>
  <c r="H1434" i="1"/>
  <c r="F1434" i="1"/>
  <c r="E1434" i="1"/>
  <c r="H1433" i="1"/>
  <c r="F1433" i="1"/>
  <c r="E1433" i="1"/>
  <c r="H1432" i="1"/>
  <c r="F1432" i="1"/>
  <c r="E1432" i="1"/>
  <c r="H1431" i="1"/>
  <c r="F1431" i="1"/>
  <c r="E1431" i="1"/>
  <c r="H1430" i="1"/>
  <c r="F1430" i="1"/>
  <c r="E1430" i="1"/>
  <c r="H1429" i="1"/>
  <c r="F1429" i="1"/>
  <c r="E1429" i="1"/>
  <c r="H1428" i="1"/>
  <c r="F1428" i="1"/>
  <c r="E1428" i="1"/>
  <c r="H1427" i="1"/>
  <c r="F1427" i="1"/>
  <c r="E1427" i="1"/>
  <c r="H1426" i="1"/>
  <c r="F1426" i="1"/>
  <c r="E1426" i="1"/>
  <c r="H1425" i="1"/>
  <c r="F1425" i="1"/>
  <c r="E1425" i="1"/>
  <c r="H1424" i="1"/>
  <c r="F1424" i="1"/>
  <c r="E1424" i="1"/>
  <c r="H1423" i="1"/>
  <c r="F1423" i="1"/>
  <c r="E1423" i="1"/>
  <c r="H1422" i="1"/>
  <c r="F1422" i="1"/>
  <c r="E1422" i="1"/>
  <c r="H1421" i="1"/>
  <c r="F1421" i="1"/>
  <c r="E1421" i="1"/>
  <c r="H1420" i="1"/>
  <c r="F1420" i="1"/>
  <c r="E1420" i="1"/>
  <c r="H1419" i="1"/>
  <c r="F1419" i="1"/>
  <c r="E1419" i="1"/>
  <c r="H1418" i="1"/>
  <c r="F1418" i="1"/>
  <c r="E1418" i="1"/>
  <c r="H1417" i="1"/>
  <c r="F1417" i="1"/>
  <c r="E1417" i="1"/>
  <c r="H1416" i="1"/>
  <c r="F1416" i="1"/>
  <c r="E1416" i="1"/>
  <c r="H1415" i="1"/>
  <c r="F1415" i="1"/>
  <c r="E1415" i="1"/>
  <c r="H1414" i="1"/>
  <c r="F1414" i="1"/>
  <c r="E1414" i="1"/>
  <c r="H1413" i="1"/>
  <c r="F1413" i="1"/>
  <c r="E1413" i="1"/>
  <c r="H1412" i="1"/>
  <c r="F1412" i="1"/>
  <c r="E1412" i="1"/>
  <c r="H1411" i="1"/>
  <c r="F1411" i="1"/>
  <c r="E1411" i="1"/>
  <c r="H1410" i="1"/>
  <c r="F1410" i="1"/>
  <c r="E1410" i="1"/>
  <c r="H1409" i="1"/>
  <c r="F1409" i="1"/>
  <c r="E1409" i="1"/>
  <c r="H1408" i="1"/>
  <c r="F1408" i="1"/>
  <c r="E1408" i="1"/>
  <c r="H1407" i="1"/>
  <c r="F1407" i="1"/>
  <c r="E1407" i="1"/>
  <c r="H1406" i="1"/>
  <c r="F1406" i="1"/>
  <c r="E1406" i="1"/>
  <c r="H1405" i="1"/>
  <c r="F1405" i="1"/>
  <c r="E1405" i="1"/>
  <c r="H1404" i="1"/>
  <c r="F1404" i="1"/>
  <c r="E1404" i="1"/>
  <c r="H1403" i="1"/>
  <c r="F1403" i="1"/>
  <c r="E1403" i="1"/>
  <c r="H1402" i="1"/>
  <c r="F1402" i="1"/>
  <c r="E1402" i="1"/>
  <c r="H1401" i="1"/>
  <c r="F1401" i="1"/>
  <c r="E1401" i="1"/>
  <c r="H1400" i="1"/>
  <c r="F1400" i="1"/>
  <c r="E1400" i="1"/>
  <c r="H1399" i="1"/>
  <c r="F1399" i="1"/>
  <c r="E1399" i="1"/>
  <c r="H1398" i="1"/>
  <c r="F1398" i="1"/>
  <c r="E1398" i="1"/>
  <c r="H1397" i="1"/>
  <c r="F1397" i="1"/>
  <c r="E1397" i="1"/>
  <c r="H1396" i="1"/>
  <c r="F1396" i="1"/>
  <c r="E1396" i="1"/>
  <c r="H1395" i="1"/>
  <c r="F1395" i="1"/>
  <c r="E1395" i="1"/>
  <c r="H1394" i="1"/>
  <c r="F1394" i="1"/>
  <c r="E1394" i="1"/>
  <c r="H1393" i="1"/>
  <c r="F1393" i="1"/>
  <c r="E1393" i="1"/>
  <c r="H1392" i="1"/>
  <c r="F1392" i="1"/>
  <c r="E1392" i="1"/>
  <c r="H1391" i="1"/>
  <c r="F1391" i="1"/>
  <c r="E1391" i="1"/>
  <c r="H1390" i="1"/>
  <c r="F1390" i="1"/>
  <c r="E1390" i="1"/>
  <c r="H1389" i="1"/>
  <c r="F1389" i="1"/>
  <c r="E1389" i="1"/>
  <c r="H1388" i="1"/>
  <c r="F1388" i="1"/>
  <c r="E1388" i="1"/>
  <c r="H1387" i="1"/>
  <c r="F1387" i="1"/>
  <c r="E1387" i="1"/>
  <c r="H1386" i="1"/>
  <c r="F1386" i="1"/>
  <c r="E1386" i="1"/>
  <c r="H1385" i="1"/>
  <c r="F1385" i="1"/>
  <c r="E1385" i="1"/>
  <c r="H1384" i="1"/>
  <c r="F1384" i="1"/>
  <c r="E1384" i="1"/>
  <c r="H1383" i="1"/>
  <c r="F1383" i="1"/>
  <c r="E1383" i="1"/>
  <c r="H1382" i="1"/>
  <c r="F1382" i="1"/>
  <c r="E1382" i="1"/>
  <c r="H1381" i="1"/>
  <c r="F1381" i="1"/>
  <c r="E1381" i="1"/>
  <c r="H1380" i="1"/>
  <c r="F1380" i="1"/>
  <c r="E1380" i="1"/>
  <c r="H1379" i="1"/>
  <c r="F1379" i="1"/>
  <c r="E1379" i="1"/>
  <c r="H1378" i="1"/>
  <c r="F1378" i="1"/>
  <c r="E1378" i="1"/>
  <c r="H1377" i="1"/>
  <c r="F1377" i="1"/>
  <c r="E1377" i="1"/>
  <c r="H1376" i="1"/>
  <c r="F1376" i="1"/>
  <c r="E1376" i="1"/>
  <c r="H1375" i="1"/>
  <c r="F1375" i="1"/>
  <c r="E1375" i="1"/>
  <c r="H1374" i="1"/>
  <c r="F1374" i="1"/>
  <c r="E1374" i="1"/>
  <c r="H1373" i="1"/>
  <c r="F1373" i="1"/>
  <c r="E1373" i="1"/>
  <c r="H1372" i="1"/>
  <c r="F1372" i="1"/>
  <c r="E1372" i="1"/>
  <c r="H1371" i="1"/>
  <c r="F1371" i="1"/>
  <c r="E1371" i="1"/>
  <c r="H1370" i="1"/>
  <c r="F1370" i="1"/>
  <c r="E1370" i="1"/>
  <c r="H1369" i="1"/>
  <c r="F1369" i="1"/>
  <c r="E1369" i="1"/>
  <c r="H1368" i="1"/>
  <c r="F1368" i="1"/>
  <c r="E1368" i="1"/>
  <c r="H1367" i="1"/>
  <c r="F1367" i="1"/>
  <c r="E1367" i="1"/>
  <c r="H1366" i="1"/>
  <c r="F1366" i="1"/>
  <c r="E1366" i="1"/>
  <c r="H1365" i="1"/>
  <c r="F1365" i="1"/>
  <c r="E1365" i="1"/>
  <c r="H1364" i="1"/>
  <c r="F1364" i="1"/>
  <c r="E1364" i="1"/>
  <c r="H1363" i="1"/>
  <c r="F1363" i="1"/>
  <c r="E1363" i="1"/>
  <c r="H1362" i="1"/>
  <c r="F1362" i="1"/>
  <c r="E1362" i="1"/>
  <c r="H1361" i="1"/>
  <c r="F1361" i="1"/>
  <c r="E1361" i="1"/>
  <c r="H1360" i="1"/>
  <c r="F1360" i="1"/>
  <c r="E1360" i="1"/>
  <c r="H1359" i="1"/>
  <c r="F1359" i="1"/>
  <c r="E1359" i="1"/>
  <c r="H1358" i="1"/>
  <c r="F1358" i="1"/>
  <c r="E1358" i="1"/>
  <c r="H1357" i="1"/>
  <c r="F1357" i="1"/>
  <c r="E1357" i="1"/>
  <c r="H1356" i="1"/>
  <c r="F1356" i="1"/>
  <c r="E1356" i="1"/>
  <c r="H1355" i="1"/>
  <c r="F1355" i="1"/>
  <c r="E1355" i="1"/>
  <c r="H1354" i="1"/>
  <c r="F1354" i="1"/>
  <c r="E1354" i="1"/>
  <c r="H1353" i="1"/>
  <c r="F1353" i="1"/>
  <c r="E1353" i="1"/>
  <c r="H1352" i="1"/>
  <c r="F1352" i="1"/>
  <c r="E1352" i="1"/>
  <c r="H1351" i="1"/>
  <c r="F1351" i="1"/>
  <c r="E1351" i="1"/>
  <c r="H1350" i="1"/>
  <c r="F1350" i="1"/>
  <c r="E1350" i="1"/>
  <c r="H1349" i="1"/>
  <c r="F1349" i="1"/>
  <c r="E1349" i="1"/>
  <c r="H1348" i="1"/>
  <c r="F1348" i="1"/>
  <c r="E1348" i="1"/>
  <c r="H1347" i="1"/>
  <c r="F1347" i="1"/>
  <c r="E1347" i="1"/>
  <c r="H1346" i="1"/>
  <c r="F1346" i="1"/>
  <c r="E1346" i="1"/>
  <c r="H1345" i="1"/>
  <c r="F1345" i="1"/>
  <c r="E1345" i="1"/>
  <c r="H1344" i="1"/>
  <c r="F1344" i="1"/>
  <c r="E1344" i="1"/>
  <c r="H1343" i="1"/>
  <c r="F1343" i="1"/>
  <c r="E1343" i="1"/>
  <c r="H1342" i="1"/>
  <c r="F1342" i="1"/>
  <c r="E1342" i="1"/>
  <c r="H1341" i="1"/>
  <c r="F1341" i="1"/>
  <c r="E1341" i="1"/>
  <c r="H1340" i="1"/>
  <c r="F1340" i="1"/>
  <c r="E1340" i="1"/>
  <c r="H1339" i="1"/>
  <c r="F1339" i="1"/>
  <c r="E1339" i="1"/>
  <c r="H1338" i="1"/>
  <c r="F1338" i="1"/>
  <c r="E1338" i="1"/>
  <c r="H1337" i="1"/>
  <c r="F1337" i="1"/>
  <c r="E1337" i="1"/>
  <c r="H1336" i="1"/>
  <c r="F1336" i="1"/>
  <c r="E1336" i="1"/>
  <c r="H1335" i="1"/>
  <c r="F1335" i="1"/>
  <c r="E1335" i="1"/>
  <c r="H1334" i="1"/>
  <c r="F1334" i="1"/>
  <c r="E1334" i="1"/>
  <c r="H1333" i="1"/>
  <c r="F1333" i="1"/>
  <c r="E1333" i="1"/>
  <c r="H1332" i="1"/>
  <c r="F1332" i="1"/>
  <c r="E1332" i="1"/>
  <c r="H1331" i="1"/>
  <c r="F1331" i="1"/>
  <c r="E1331" i="1"/>
  <c r="H1330" i="1"/>
  <c r="F1330" i="1"/>
  <c r="E1330" i="1"/>
  <c r="H1329" i="1"/>
  <c r="F1329" i="1"/>
  <c r="E1329" i="1"/>
  <c r="H1328" i="1"/>
  <c r="F1328" i="1"/>
  <c r="E1328" i="1"/>
  <c r="H1327" i="1"/>
  <c r="F1327" i="1"/>
  <c r="E1327" i="1"/>
  <c r="H1326" i="1"/>
  <c r="F1326" i="1"/>
  <c r="E1326" i="1"/>
  <c r="H1325" i="1"/>
  <c r="F1325" i="1"/>
  <c r="E1325" i="1"/>
  <c r="H1324" i="1"/>
  <c r="F1324" i="1"/>
  <c r="E1324" i="1"/>
  <c r="H1323" i="1"/>
  <c r="F1323" i="1"/>
  <c r="E1323" i="1"/>
  <c r="H1322" i="1"/>
  <c r="F1322" i="1"/>
  <c r="E1322" i="1"/>
  <c r="H1321" i="1"/>
  <c r="F1321" i="1"/>
  <c r="E1321" i="1"/>
  <c r="H1320" i="1"/>
  <c r="F1320" i="1"/>
  <c r="E1320" i="1"/>
  <c r="H1319" i="1"/>
  <c r="F1319" i="1"/>
  <c r="E1319" i="1"/>
  <c r="H1318" i="1"/>
  <c r="F1318" i="1"/>
  <c r="E1318" i="1"/>
  <c r="H1317" i="1"/>
  <c r="F1317" i="1"/>
  <c r="E1317" i="1"/>
  <c r="H1316" i="1"/>
  <c r="F1316" i="1"/>
  <c r="E1316" i="1"/>
  <c r="H1315" i="1"/>
  <c r="F1315" i="1"/>
  <c r="E1315" i="1"/>
  <c r="H1314" i="1"/>
  <c r="F1314" i="1"/>
  <c r="E1314" i="1"/>
  <c r="H1313" i="1"/>
  <c r="F1313" i="1"/>
  <c r="E1313" i="1"/>
  <c r="H1312" i="1"/>
  <c r="F1312" i="1"/>
  <c r="E1312" i="1"/>
  <c r="H1311" i="1"/>
  <c r="F1311" i="1"/>
  <c r="E1311" i="1"/>
  <c r="H1310" i="1"/>
  <c r="F1310" i="1"/>
  <c r="E1310" i="1"/>
  <c r="H1309" i="1"/>
  <c r="F1309" i="1"/>
  <c r="E1309" i="1"/>
  <c r="H1308" i="1"/>
  <c r="F1308" i="1"/>
  <c r="E1308" i="1"/>
  <c r="H1307" i="1"/>
  <c r="F1307" i="1"/>
  <c r="E1307" i="1"/>
  <c r="H1306" i="1"/>
  <c r="F1306" i="1"/>
  <c r="E1306" i="1"/>
  <c r="H1305" i="1"/>
  <c r="F1305" i="1"/>
  <c r="E1305" i="1"/>
  <c r="H1304" i="1"/>
  <c r="F1304" i="1"/>
  <c r="E1304" i="1"/>
  <c r="H1303" i="1"/>
  <c r="F1303" i="1"/>
  <c r="E1303" i="1"/>
  <c r="H1302" i="1"/>
  <c r="F1302" i="1"/>
  <c r="E1302" i="1"/>
  <c r="H1301" i="1"/>
  <c r="F1301" i="1"/>
  <c r="E1301" i="1"/>
  <c r="H1300" i="1"/>
  <c r="F1300" i="1"/>
  <c r="E1300" i="1"/>
  <c r="H1299" i="1"/>
  <c r="F1299" i="1"/>
  <c r="E1299" i="1"/>
  <c r="H1298" i="1"/>
  <c r="F1298" i="1"/>
  <c r="E1298" i="1"/>
  <c r="H1297" i="1"/>
  <c r="F1297" i="1"/>
  <c r="E1297" i="1"/>
  <c r="H1296" i="1"/>
  <c r="F1296" i="1"/>
  <c r="E1296" i="1"/>
  <c r="H1295" i="1"/>
  <c r="F1295" i="1"/>
  <c r="E1295" i="1"/>
  <c r="H1294" i="1"/>
  <c r="F1294" i="1"/>
  <c r="E1294" i="1"/>
  <c r="H1293" i="1"/>
  <c r="F1293" i="1"/>
  <c r="E1293" i="1"/>
  <c r="H1292" i="1"/>
  <c r="F1292" i="1"/>
  <c r="E1292" i="1"/>
  <c r="H1291" i="1"/>
  <c r="F1291" i="1"/>
  <c r="E1291" i="1"/>
  <c r="H1290" i="1"/>
  <c r="F1290" i="1"/>
  <c r="E1290" i="1"/>
  <c r="H1289" i="1"/>
  <c r="F1289" i="1"/>
  <c r="E1289" i="1"/>
  <c r="H1288" i="1"/>
  <c r="F1288" i="1"/>
  <c r="E1288" i="1"/>
  <c r="H1287" i="1"/>
  <c r="F1287" i="1"/>
  <c r="E1287" i="1"/>
  <c r="H1286" i="1"/>
  <c r="F1286" i="1"/>
  <c r="E1286" i="1"/>
  <c r="H1285" i="1"/>
  <c r="F1285" i="1"/>
  <c r="E1285" i="1"/>
  <c r="H1284" i="1"/>
  <c r="F1284" i="1"/>
  <c r="E1284" i="1"/>
  <c r="H1283" i="1"/>
  <c r="F1283" i="1"/>
  <c r="E1283" i="1"/>
  <c r="H1282" i="1"/>
  <c r="F1282" i="1"/>
  <c r="E1282" i="1"/>
  <c r="H1281" i="1"/>
  <c r="F1281" i="1"/>
  <c r="E1281" i="1"/>
  <c r="H1280" i="1"/>
  <c r="F1280" i="1"/>
  <c r="E1280" i="1"/>
  <c r="H1279" i="1"/>
  <c r="F1279" i="1"/>
  <c r="E1279" i="1"/>
  <c r="H1278" i="1"/>
  <c r="F1278" i="1"/>
  <c r="E1278" i="1"/>
  <c r="H1277" i="1"/>
  <c r="F1277" i="1"/>
  <c r="E1277" i="1"/>
  <c r="H1276" i="1"/>
  <c r="F1276" i="1"/>
  <c r="E1276" i="1"/>
  <c r="H1275" i="1"/>
  <c r="F1275" i="1"/>
  <c r="E1275" i="1"/>
  <c r="H1274" i="1"/>
  <c r="F1274" i="1"/>
  <c r="E1274" i="1"/>
  <c r="H1273" i="1"/>
  <c r="F1273" i="1"/>
  <c r="E1273" i="1"/>
  <c r="H1272" i="1"/>
  <c r="F1272" i="1"/>
  <c r="E1272" i="1"/>
  <c r="H1271" i="1"/>
  <c r="F1271" i="1"/>
  <c r="E1271" i="1"/>
  <c r="H1270" i="1"/>
  <c r="F1270" i="1"/>
  <c r="E1270" i="1"/>
  <c r="H1269" i="1"/>
  <c r="F1269" i="1"/>
  <c r="E1269" i="1"/>
  <c r="H1268" i="1"/>
  <c r="F1268" i="1"/>
  <c r="E1268" i="1"/>
  <c r="H1267" i="1"/>
  <c r="F1267" i="1"/>
  <c r="E1267" i="1"/>
  <c r="H1266" i="1"/>
  <c r="F1266" i="1"/>
  <c r="E1266" i="1"/>
  <c r="H1265" i="1"/>
  <c r="F1265" i="1"/>
  <c r="E1265" i="1"/>
  <c r="H1264" i="1"/>
  <c r="F1264" i="1"/>
  <c r="E1264" i="1"/>
  <c r="H1263" i="1"/>
  <c r="F1263" i="1"/>
  <c r="E1263" i="1"/>
  <c r="H1262" i="1"/>
  <c r="F1262" i="1"/>
  <c r="E1262" i="1"/>
  <c r="H1261" i="1"/>
  <c r="F1261" i="1"/>
  <c r="E1261" i="1"/>
  <c r="H1260" i="1"/>
  <c r="F1260" i="1"/>
  <c r="E1260" i="1"/>
  <c r="H1259" i="1"/>
  <c r="F1259" i="1"/>
  <c r="E1259" i="1"/>
  <c r="H1258" i="1"/>
  <c r="F1258" i="1"/>
  <c r="E1258" i="1"/>
  <c r="H1257" i="1"/>
  <c r="F1257" i="1"/>
  <c r="E1257" i="1"/>
  <c r="H1256" i="1"/>
  <c r="F1256" i="1"/>
  <c r="E1256" i="1"/>
  <c r="H1255" i="1"/>
  <c r="F1255" i="1"/>
  <c r="E1255" i="1"/>
  <c r="H1254" i="1"/>
  <c r="F1254" i="1"/>
  <c r="E1254" i="1"/>
  <c r="H1253" i="1"/>
  <c r="F1253" i="1"/>
  <c r="E1253" i="1"/>
  <c r="H1252" i="1"/>
  <c r="F1252" i="1"/>
  <c r="E1252" i="1"/>
  <c r="H1251" i="1"/>
  <c r="F1251" i="1"/>
  <c r="E1251" i="1"/>
  <c r="H1250" i="1"/>
  <c r="F1250" i="1"/>
  <c r="E1250" i="1"/>
  <c r="H1249" i="1"/>
  <c r="F1249" i="1"/>
  <c r="E1249" i="1"/>
  <c r="H1248" i="1"/>
  <c r="F1248" i="1"/>
  <c r="E1248" i="1"/>
  <c r="H1247" i="1"/>
  <c r="F1247" i="1"/>
  <c r="E1247" i="1"/>
  <c r="H1246" i="1"/>
  <c r="F1246" i="1"/>
  <c r="E1246" i="1"/>
  <c r="H1245" i="1"/>
  <c r="F1245" i="1"/>
  <c r="E1245" i="1"/>
  <c r="H1244" i="1"/>
  <c r="F1244" i="1"/>
  <c r="E1244" i="1"/>
  <c r="H1243" i="1"/>
  <c r="F1243" i="1"/>
  <c r="E1243" i="1"/>
  <c r="H1242" i="1"/>
  <c r="F1242" i="1"/>
  <c r="E1242" i="1"/>
  <c r="H1241" i="1"/>
  <c r="F1241" i="1"/>
  <c r="E1241" i="1"/>
  <c r="H1240" i="1"/>
  <c r="F1240" i="1"/>
  <c r="E1240" i="1"/>
  <c r="H1239" i="1"/>
  <c r="F1239" i="1"/>
  <c r="E1239" i="1"/>
  <c r="H1238" i="1"/>
  <c r="F1238" i="1"/>
  <c r="E1238" i="1"/>
  <c r="H1237" i="1"/>
  <c r="F1237" i="1"/>
  <c r="E1237" i="1"/>
  <c r="H1236" i="1"/>
  <c r="F1236" i="1"/>
  <c r="E1236" i="1"/>
  <c r="H1235" i="1"/>
  <c r="F1235" i="1"/>
  <c r="E1235" i="1"/>
  <c r="H1234" i="1"/>
  <c r="F1234" i="1"/>
  <c r="E1234" i="1"/>
  <c r="H1233" i="1"/>
  <c r="F1233" i="1"/>
  <c r="E1233" i="1"/>
  <c r="H1232" i="1"/>
  <c r="F1232" i="1"/>
  <c r="E1232" i="1"/>
  <c r="H1231" i="1"/>
  <c r="F1231" i="1"/>
  <c r="E1231" i="1"/>
  <c r="H1230" i="1"/>
  <c r="F1230" i="1"/>
  <c r="E1230" i="1"/>
  <c r="H1229" i="1"/>
  <c r="F1229" i="1"/>
  <c r="E1229" i="1"/>
  <c r="H1228" i="1"/>
  <c r="F1228" i="1"/>
  <c r="E1228" i="1"/>
  <c r="H1227" i="1"/>
  <c r="F1227" i="1"/>
  <c r="E1227" i="1"/>
  <c r="H1226" i="1"/>
  <c r="F1226" i="1"/>
  <c r="E1226" i="1"/>
  <c r="H1225" i="1"/>
  <c r="F1225" i="1"/>
  <c r="E1225" i="1"/>
  <c r="H1224" i="1"/>
  <c r="F1224" i="1"/>
  <c r="E1224" i="1"/>
  <c r="H1223" i="1"/>
  <c r="F1223" i="1"/>
  <c r="E1223" i="1"/>
  <c r="H1222" i="1"/>
  <c r="F1222" i="1"/>
  <c r="E1222" i="1"/>
  <c r="H1221" i="1"/>
  <c r="F1221" i="1"/>
  <c r="E1221" i="1"/>
  <c r="H1220" i="1"/>
  <c r="F1220" i="1"/>
  <c r="E1220" i="1"/>
  <c r="H1219" i="1"/>
  <c r="F1219" i="1"/>
  <c r="E1219" i="1"/>
  <c r="H1218" i="1"/>
  <c r="F1218" i="1"/>
  <c r="E1218" i="1"/>
  <c r="H1217" i="1"/>
  <c r="F1217" i="1"/>
  <c r="E1217" i="1"/>
  <c r="H1216" i="1"/>
  <c r="F1216" i="1"/>
  <c r="E1216" i="1"/>
  <c r="H1215" i="1"/>
  <c r="F1215" i="1"/>
  <c r="E1215" i="1"/>
  <c r="H1214" i="1"/>
  <c r="F1214" i="1"/>
  <c r="E1214" i="1"/>
  <c r="H1213" i="1"/>
  <c r="F1213" i="1"/>
  <c r="E1213" i="1"/>
  <c r="H1212" i="1"/>
  <c r="F1212" i="1"/>
  <c r="E1212" i="1"/>
  <c r="H1211" i="1"/>
  <c r="F1211" i="1"/>
  <c r="E1211" i="1"/>
  <c r="H1210" i="1"/>
  <c r="F1210" i="1"/>
  <c r="E1210" i="1"/>
  <c r="H1209" i="1"/>
  <c r="F1209" i="1"/>
  <c r="E1209" i="1"/>
  <c r="H1208" i="1"/>
  <c r="F1208" i="1"/>
  <c r="E1208" i="1"/>
  <c r="H1207" i="1"/>
  <c r="F1207" i="1"/>
  <c r="E1207" i="1"/>
  <c r="H1206" i="1"/>
  <c r="F1206" i="1"/>
  <c r="E1206" i="1"/>
  <c r="H1205" i="1"/>
  <c r="F1205" i="1"/>
  <c r="E1205" i="1"/>
  <c r="H1204" i="1"/>
  <c r="F1204" i="1"/>
  <c r="E1204" i="1"/>
  <c r="H1203" i="1"/>
  <c r="F1203" i="1"/>
  <c r="E1203" i="1"/>
  <c r="H1202" i="1"/>
  <c r="F1202" i="1"/>
  <c r="E1202" i="1"/>
  <c r="H1201" i="1"/>
  <c r="F1201" i="1"/>
  <c r="E1201" i="1"/>
  <c r="H1200" i="1"/>
  <c r="F1200" i="1"/>
  <c r="E1200" i="1"/>
  <c r="H1199" i="1"/>
  <c r="F1199" i="1"/>
  <c r="E1199" i="1"/>
  <c r="H1198" i="1"/>
  <c r="F1198" i="1"/>
  <c r="E1198" i="1"/>
  <c r="H1197" i="1"/>
  <c r="F1197" i="1"/>
  <c r="E1197" i="1"/>
  <c r="H1196" i="1"/>
  <c r="F1196" i="1"/>
  <c r="E1196" i="1"/>
  <c r="H1195" i="1"/>
  <c r="F1195" i="1"/>
  <c r="E1195" i="1"/>
  <c r="H1194" i="1"/>
  <c r="F1194" i="1"/>
  <c r="E1194" i="1"/>
  <c r="H1193" i="1"/>
  <c r="F1193" i="1"/>
  <c r="E1193" i="1"/>
  <c r="H1192" i="1"/>
  <c r="F1192" i="1"/>
  <c r="E1192" i="1"/>
  <c r="H1191" i="1"/>
  <c r="F1191" i="1"/>
  <c r="E1191" i="1"/>
  <c r="H1190" i="1"/>
  <c r="F1190" i="1"/>
  <c r="E1190" i="1"/>
  <c r="H1189" i="1"/>
  <c r="F1189" i="1"/>
  <c r="E1189" i="1"/>
  <c r="H1188" i="1"/>
  <c r="F1188" i="1"/>
  <c r="E1188" i="1"/>
  <c r="H1187" i="1"/>
  <c r="F1187" i="1"/>
  <c r="E1187" i="1"/>
  <c r="H1186" i="1"/>
  <c r="F1186" i="1"/>
  <c r="E1186" i="1"/>
  <c r="H1185" i="1"/>
  <c r="F1185" i="1"/>
  <c r="E1185" i="1"/>
  <c r="H1184" i="1"/>
  <c r="F1184" i="1"/>
  <c r="E1184" i="1"/>
  <c r="H1183" i="1"/>
  <c r="F1183" i="1"/>
  <c r="E1183" i="1"/>
  <c r="H1182" i="1"/>
  <c r="F1182" i="1"/>
  <c r="E1182" i="1"/>
  <c r="H1181" i="1"/>
  <c r="F1181" i="1"/>
  <c r="E1181" i="1"/>
  <c r="H1180" i="1"/>
  <c r="F1180" i="1"/>
  <c r="E1180" i="1"/>
  <c r="H1179" i="1"/>
  <c r="F1179" i="1"/>
  <c r="E1179" i="1"/>
  <c r="H1178" i="1"/>
  <c r="F1178" i="1"/>
  <c r="E1178" i="1"/>
  <c r="H1177" i="1"/>
  <c r="F1177" i="1"/>
  <c r="E1177" i="1"/>
  <c r="H1176" i="1"/>
  <c r="F1176" i="1"/>
  <c r="E1176" i="1"/>
  <c r="H1175" i="1"/>
  <c r="F1175" i="1"/>
  <c r="E1175" i="1"/>
  <c r="H1174" i="1"/>
  <c r="F1174" i="1"/>
  <c r="E1174" i="1"/>
  <c r="H1173" i="1"/>
  <c r="F1173" i="1"/>
  <c r="E1173" i="1"/>
  <c r="H1172" i="1"/>
  <c r="F1172" i="1"/>
  <c r="E1172" i="1"/>
  <c r="H1171" i="1"/>
  <c r="F1171" i="1"/>
  <c r="E1171" i="1"/>
  <c r="H1170" i="1"/>
  <c r="F1170" i="1"/>
  <c r="E1170" i="1"/>
  <c r="H1169" i="1"/>
  <c r="F1169" i="1"/>
  <c r="E1169" i="1"/>
  <c r="H1168" i="1"/>
  <c r="F1168" i="1"/>
  <c r="E1168" i="1"/>
  <c r="H1167" i="1"/>
  <c r="F1167" i="1"/>
  <c r="E1167" i="1"/>
  <c r="H1166" i="1"/>
  <c r="F1166" i="1"/>
  <c r="E1166" i="1"/>
  <c r="H1165" i="1"/>
  <c r="F1165" i="1"/>
  <c r="E1165" i="1"/>
  <c r="H1164" i="1"/>
  <c r="F1164" i="1"/>
  <c r="E1164" i="1"/>
  <c r="H1163" i="1"/>
  <c r="F1163" i="1"/>
  <c r="E1163" i="1"/>
  <c r="H1162" i="1"/>
  <c r="F1162" i="1"/>
  <c r="E1162" i="1"/>
  <c r="H1161" i="1"/>
  <c r="F1161" i="1"/>
  <c r="E1161" i="1"/>
  <c r="H1160" i="1"/>
  <c r="F1160" i="1"/>
  <c r="E1160" i="1"/>
  <c r="H1159" i="1"/>
  <c r="F1159" i="1"/>
  <c r="E1159" i="1"/>
  <c r="H1158" i="1"/>
  <c r="F1158" i="1"/>
  <c r="E1158" i="1"/>
  <c r="H1157" i="1"/>
  <c r="F1157" i="1"/>
  <c r="E1157" i="1"/>
  <c r="H1156" i="1"/>
  <c r="F1156" i="1"/>
  <c r="E1156" i="1"/>
  <c r="H1155" i="1"/>
  <c r="F1155" i="1"/>
  <c r="E1155" i="1"/>
  <c r="H1154" i="1"/>
  <c r="F1154" i="1"/>
  <c r="E1154" i="1"/>
  <c r="H1153" i="1"/>
  <c r="F1153" i="1"/>
  <c r="E1153" i="1"/>
  <c r="H1152" i="1"/>
  <c r="F1152" i="1"/>
  <c r="E1152" i="1"/>
  <c r="H1151" i="1"/>
  <c r="F1151" i="1"/>
  <c r="E1151" i="1"/>
  <c r="H1150" i="1"/>
  <c r="F1150" i="1"/>
  <c r="E1150" i="1"/>
  <c r="H1149" i="1"/>
  <c r="F1149" i="1"/>
  <c r="E1149" i="1"/>
  <c r="H1148" i="1"/>
  <c r="F1148" i="1"/>
  <c r="E1148" i="1"/>
  <c r="H1147" i="1"/>
  <c r="F1147" i="1"/>
  <c r="E1147" i="1"/>
  <c r="H1146" i="1"/>
  <c r="F1146" i="1"/>
  <c r="E1146" i="1"/>
  <c r="H1145" i="1"/>
  <c r="F1145" i="1"/>
  <c r="E1145" i="1"/>
  <c r="H1144" i="1"/>
  <c r="F1144" i="1"/>
  <c r="E1144" i="1"/>
  <c r="H1143" i="1"/>
  <c r="F1143" i="1"/>
  <c r="E1143" i="1"/>
  <c r="H1142" i="1"/>
  <c r="F1142" i="1"/>
  <c r="E1142" i="1"/>
  <c r="H1141" i="1"/>
  <c r="F1141" i="1"/>
  <c r="E1141" i="1"/>
  <c r="H1140" i="1"/>
  <c r="F1140" i="1"/>
  <c r="E1140" i="1"/>
  <c r="H1139" i="1"/>
  <c r="F1139" i="1"/>
  <c r="E1139" i="1"/>
  <c r="H1138" i="1"/>
  <c r="F1138" i="1"/>
  <c r="E1138" i="1"/>
  <c r="H1137" i="1"/>
  <c r="F1137" i="1"/>
  <c r="E1137" i="1"/>
  <c r="H1136" i="1"/>
  <c r="F1136" i="1"/>
  <c r="E1136" i="1"/>
  <c r="H1135" i="1"/>
  <c r="F1135" i="1"/>
  <c r="E1135" i="1"/>
  <c r="H1134" i="1"/>
  <c r="F1134" i="1"/>
  <c r="E1134" i="1"/>
  <c r="H1133" i="1"/>
  <c r="F1133" i="1"/>
  <c r="E1133" i="1"/>
  <c r="H1132" i="1"/>
  <c r="F1132" i="1"/>
  <c r="E1132" i="1"/>
  <c r="H1131" i="1"/>
  <c r="F1131" i="1"/>
  <c r="E1131" i="1"/>
  <c r="H1130" i="1"/>
  <c r="F1130" i="1"/>
  <c r="E1130" i="1"/>
  <c r="H1129" i="1"/>
  <c r="F1129" i="1"/>
  <c r="E1129" i="1"/>
  <c r="H1128" i="1"/>
  <c r="F1128" i="1"/>
  <c r="E1128" i="1"/>
  <c r="H1127" i="1"/>
  <c r="F1127" i="1"/>
  <c r="E1127" i="1"/>
  <c r="H1126" i="1"/>
  <c r="F1126" i="1"/>
  <c r="E1126" i="1"/>
  <c r="H1125" i="1"/>
  <c r="F1125" i="1"/>
  <c r="E1125" i="1"/>
  <c r="H1124" i="1"/>
  <c r="F1124" i="1"/>
  <c r="E1124" i="1"/>
  <c r="H1123" i="1"/>
  <c r="F1123" i="1"/>
  <c r="E1123" i="1"/>
  <c r="H1122" i="1"/>
  <c r="F1122" i="1"/>
  <c r="E1122" i="1"/>
  <c r="H1121" i="1"/>
  <c r="F1121" i="1"/>
  <c r="E1121" i="1"/>
  <c r="H1120" i="1"/>
  <c r="F1120" i="1"/>
  <c r="E1120" i="1"/>
  <c r="H1119" i="1"/>
  <c r="F1119" i="1"/>
  <c r="E1119" i="1"/>
  <c r="H1118" i="1"/>
  <c r="F1118" i="1"/>
  <c r="E1118" i="1"/>
  <c r="H1117" i="1"/>
  <c r="F1117" i="1"/>
  <c r="E1117" i="1"/>
  <c r="H1116" i="1"/>
  <c r="F1116" i="1"/>
  <c r="E1116" i="1"/>
  <c r="H1115" i="1"/>
  <c r="F1115" i="1"/>
  <c r="E1115" i="1"/>
  <c r="H1114" i="1"/>
  <c r="F1114" i="1"/>
  <c r="E1114" i="1"/>
  <c r="H1113" i="1"/>
  <c r="F1113" i="1"/>
  <c r="E1113" i="1"/>
  <c r="H1112" i="1"/>
  <c r="F1112" i="1"/>
  <c r="E1112" i="1"/>
  <c r="H1111" i="1"/>
  <c r="F1111" i="1"/>
  <c r="E1111" i="1"/>
  <c r="H1110" i="1"/>
  <c r="F1110" i="1"/>
  <c r="E1110" i="1"/>
  <c r="H1109" i="1"/>
  <c r="F1109" i="1"/>
  <c r="E1109" i="1"/>
  <c r="H1108" i="1"/>
  <c r="F1108" i="1"/>
  <c r="E1108" i="1"/>
  <c r="H1107" i="1"/>
  <c r="F1107" i="1"/>
  <c r="E1107" i="1"/>
  <c r="H1106" i="1"/>
  <c r="F1106" i="1"/>
  <c r="E1106" i="1"/>
  <c r="H1105" i="1"/>
  <c r="F1105" i="1"/>
  <c r="E1105" i="1"/>
  <c r="H1104" i="1"/>
  <c r="F1104" i="1"/>
  <c r="E1104" i="1"/>
  <c r="H1103" i="1"/>
  <c r="F1103" i="1"/>
  <c r="E1103" i="1"/>
  <c r="H1102" i="1"/>
  <c r="F1102" i="1"/>
  <c r="E1102" i="1"/>
  <c r="H1101" i="1"/>
  <c r="F1101" i="1"/>
  <c r="E1101" i="1"/>
  <c r="H1100" i="1"/>
  <c r="F1100" i="1"/>
  <c r="E1100" i="1"/>
  <c r="H1099" i="1"/>
  <c r="F1099" i="1"/>
  <c r="E1099" i="1"/>
  <c r="H1098" i="1"/>
  <c r="F1098" i="1"/>
  <c r="E1098" i="1"/>
  <c r="H1097" i="1"/>
  <c r="F1097" i="1"/>
  <c r="E1097" i="1"/>
  <c r="H1096" i="1"/>
  <c r="F1096" i="1"/>
  <c r="E1096" i="1"/>
  <c r="H1095" i="1"/>
  <c r="F1095" i="1"/>
  <c r="E1095" i="1"/>
  <c r="H1094" i="1"/>
  <c r="F1094" i="1"/>
  <c r="E1094" i="1"/>
  <c r="H1093" i="1"/>
  <c r="F1093" i="1"/>
  <c r="E1093" i="1"/>
  <c r="H1092" i="1"/>
  <c r="F1092" i="1"/>
  <c r="E1092" i="1"/>
  <c r="H1091" i="1"/>
  <c r="F1091" i="1"/>
  <c r="E1091" i="1"/>
  <c r="H1090" i="1"/>
  <c r="F1090" i="1"/>
  <c r="E1090" i="1"/>
  <c r="H1089" i="1"/>
  <c r="F1089" i="1"/>
  <c r="E1089" i="1"/>
  <c r="H1088" i="1"/>
  <c r="F1088" i="1"/>
  <c r="E1088" i="1"/>
  <c r="H1087" i="1"/>
  <c r="F1087" i="1"/>
  <c r="E1087" i="1"/>
  <c r="H1086" i="1"/>
  <c r="F1086" i="1"/>
  <c r="E1086" i="1"/>
  <c r="H1085" i="1"/>
  <c r="F1085" i="1"/>
  <c r="E1085" i="1"/>
  <c r="H1084" i="1"/>
  <c r="F1084" i="1"/>
  <c r="E1084" i="1"/>
  <c r="H1083" i="1"/>
  <c r="F1083" i="1"/>
  <c r="E1083" i="1"/>
  <c r="H1082" i="1"/>
  <c r="F1082" i="1"/>
  <c r="E1082" i="1"/>
  <c r="H1081" i="1"/>
  <c r="F1081" i="1"/>
  <c r="E1081" i="1"/>
  <c r="H1080" i="1"/>
  <c r="F1080" i="1"/>
  <c r="E1080" i="1"/>
  <c r="H1079" i="1"/>
  <c r="F1079" i="1"/>
  <c r="E1079" i="1"/>
  <c r="H1078" i="1"/>
  <c r="F1078" i="1"/>
  <c r="E1078" i="1"/>
  <c r="H1077" i="1"/>
  <c r="F1077" i="1"/>
  <c r="E1077" i="1"/>
  <c r="H1076" i="1"/>
  <c r="F1076" i="1"/>
  <c r="E1076" i="1"/>
  <c r="H1075" i="1"/>
  <c r="F1075" i="1"/>
  <c r="E1075" i="1"/>
  <c r="H1074" i="1"/>
  <c r="F1074" i="1"/>
  <c r="E1074" i="1"/>
  <c r="H1073" i="1"/>
  <c r="F1073" i="1"/>
  <c r="E1073" i="1"/>
  <c r="H1072" i="1"/>
  <c r="F1072" i="1"/>
  <c r="E1072" i="1"/>
  <c r="H1071" i="1"/>
  <c r="F1071" i="1"/>
  <c r="E1071" i="1"/>
  <c r="H1070" i="1"/>
  <c r="F1070" i="1"/>
  <c r="E1070" i="1"/>
  <c r="H1069" i="1"/>
  <c r="F1069" i="1"/>
  <c r="E1069" i="1"/>
  <c r="H1068" i="1"/>
  <c r="F1068" i="1"/>
  <c r="E1068" i="1"/>
  <c r="H1067" i="1"/>
  <c r="F1067" i="1"/>
  <c r="E1067" i="1"/>
  <c r="H1066" i="1"/>
  <c r="F1066" i="1"/>
  <c r="E1066" i="1"/>
  <c r="H1065" i="1"/>
  <c r="F1065" i="1"/>
  <c r="E1065" i="1"/>
  <c r="H1064" i="1"/>
  <c r="F1064" i="1"/>
  <c r="E1064" i="1"/>
  <c r="H1063" i="1"/>
  <c r="F1063" i="1"/>
  <c r="E1063" i="1"/>
  <c r="H1062" i="1"/>
  <c r="F1062" i="1"/>
  <c r="E1062" i="1"/>
  <c r="H1061" i="1"/>
  <c r="F1061" i="1"/>
  <c r="E1061" i="1"/>
  <c r="H1060" i="1"/>
  <c r="F1060" i="1"/>
  <c r="E1060" i="1"/>
  <c r="H1059" i="1"/>
  <c r="F1059" i="1"/>
  <c r="E1059" i="1"/>
  <c r="H1058" i="1"/>
  <c r="F1058" i="1"/>
  <c r="E1058" i="1"/>
  <c r="H1057" i="1"/>
  <c r="F1057" i="1"/>
  <c r="E1057" i="1"/>
  <c r="H1056" i="1"/>
  <c r="F1056" i="1"/>
  <c r="E1056" i="1"/>
  <c r="H1055" i="1"/>
  <c r="F1055" i="1"/>
  <c r="E1055" i="1"/>
  <c r="H1054" i="1"/>
  <c r="F1054" i="1"/>
  <c r="E1054" i="1"/>
  <c r="H1053" i="1"/>
  <c r="F1053" i="1"/>
  <c r="E1053" i="1"/>
  <c r="H1052" i="1"/>
  <c r="F1052" i="1"/>
  <c r="E1052" i="1"/>
  <c r="H1051" i="1"/>
  <c r="F1051" i="1"/>
  <c r="E1051" i="1"/>
  <c r="H1050" i="1"/>
  <c r="F1050" i="1"/>
  <c r="E1050" i="1"/>
  <c r="H1049" i="1"/>
  <c r="F1049" i="1"/>
  <c r="E1049" i="1"/>
  <c r="H1048" i="1"/>
  <c r="F1048" i="1"/>
  <c r="E1048" i="1"/>
  <c r="H1047" i="1"/>
  <c r="F1047" i="1"/>
  <c r="E1047" i="1"/>
  <c r="H1046" i="1"/>
  <c r="F1046" i="1"/>
  <c r="E1046" i="1"/>
  <c r="H1045" i="1"/>
  <c r="F1045" i="1"/>
  <c r="E1045" i="1"/>
  <c r="H1044" i="1"/>
  <c r="F1044" i="1"/>
  <c r="E1044" i="1"/>
  <c r="H1043" i="1"/>
  <c r="F1043" i="1"/>
  <c r="E1043" i="1"/>
  <c r="H1042" i="1"/>
  <c r="F1042" i="1"/>
  <c r="E1042" i="1"/>
  <c r="H1041" i="1"/>
  <c r="F1041" i="1"/>
  <c r="E1041" i="1"/>
  <c r="H1040" i="1"/>
  <c r="F1040" i="1"/>
  <c r="E1040" i="1"/>
  <c r="H1039" i="1"/>
  <c r="F1039" i="1"/>
  <c r="E1039" i="1"/>
  <c r="H1038" i="1"/>
  <c r="F1038" i="1"/>
  <c r="E1038" i="1"/>
  <c r="H1037" i="1"/>
  <c r="F1037" i="1"/>
  <c r="E1037" i="1"/>
  <c r="H1036" i="1"/>
  <c r="F1036" i="1"/>
  <c r="E1036" i="1"/>
  <c r="H1035" i="1"/>
  <c r="F1035" i="1"/>
  <c r="E1035" i="1"/>
  <c r="H1034" i="1"/>
  <c r="F1034" i="1"/>
  <c r="E1034" i="1"/>
  <c r="H1033" i="1"/>
  <c r="F1033" i="1"/>
  <c r="E1033" i="1"/>
  <c r="H1032" i="1"/>
  <c r="F1032" i="1"/>
  <c r="E1032" i="1"/>
  <c r="H1031" i="1"/>
  <c r="F1031" i="1"/>
  <c r="E1031" i="1"/>
  <c r="H1030" i="1"/>
  <c r="F1030" i="1"/>
  <c r="E1030" i="1"/>
  <c r="H1029" i="1"/>
  <c r="F1029" i="1"/>
  <c r="E1029" i="1"/>
  <c r="H1028" i="1"/>
  <c r="F1028" i="1"/>
  <c r="E1028" i="1"/>
  <c r="H1027" i="1"/>
  <c r="F1027" i="1"/>
  <c r="E1027" i="1"/>
  <c r="H1026" i="1"/>
  <c r="F1026" i="1"/>
  <c r="E1026" i="1"/>
  <c r="H1025" i="1"/>
  <c r="F1025" i="1"/>
  <c r="E1025" i="1"/>
  <c r="H1024" i="1"/>
  <c r="F1024" i="1"/>
  <c r="E1024" i="1"/>
  <c r="H1023" i="1"/>
  <c r="F1023" i="1"/>
  <c r="E1023" i="1"/>
  <c r="H1022" i="1"/>
  <c r="F1022" i="1"/>
  <c r="E1022" i="1"/>
  <c r="H1021" i="1"/>
  <c r="F1021" i="1"/>
  <c r="E1021" i="1"/>
  <c r="H1020" i="1"/>
  <c r="F1020" i="1"/>
  <c r="E1020" i="1"/>
  <c r="H1019" i="1"/>
  <c r="F1019" i="1"/>
  <c r="E1019" i="1"/>
  <c r="H1018" i="1"/>
  <c r="F1018" i="1"/>
  <c r="E1018" i="1"/>
  <c r="H1017" i="1"/>
  <c r="F1017" i="1"/>
  <c r="E1017" i="1"/>
  <c r="H1016" i="1"/>
  <c r="F1016" i="1"/>
  <c r="E1016" i="1"/>
  <c r="H1015" i="1"/>
  <c r="F1015" i="1"/>
  <c r="E1015" i="1"/>
  <c r="H1014" i="1"/>
  <c r="F1014" i="1"/>
  <c r="E1014" i="1"/>
  <c r="H1013" i="1"/>
  <c r="F1013" i="1"/>
  <c r="E1013" i="1"/>
  <c r="H1012" i="1"/>
  <c r="F1012" i="1"/>
  <c r="E1012" i="1"/>
  <c r="H1011" i="1"/>
  <c r="F1011" i="1"/>
  <c r="E1011" i="1"/>
  <c r="H1010" i="1"/>
  <c r="F1010" i="1"/>
  <c r="E1010" i="1"/>
  <c r="H1009" i="1"/>
  <c r="F1009" i="1"/>
  <c r="E1009" i="1"/>
  <c r="H1008" i="1"/>
  <c r="F1008" i="1"/>
  <c r="E1008" i="1"/>
  <c r="H1007" i="1"/>
  <c r="F1007" i="1"/>
  <c r="E1007" i="1"/>
  <c r="H1006" i="1"/>
  <c r="F1006" i="1"/>
  <c r="E1006" i="1"/>
  <c r="H1005" i="1"/>
  <c r="F1005" i="1"/>
  <c r="E1005" i="1"/>
  <c r="H1004" i="1"/>
  <c r="F1004" i="1"/>
  <c r="E1004" i="1"/>
  <c r="H1003" i="1"/>
  <c r="F1003" i="1"/>
  <c r="E1003" i="1"/>
  <c r="H1002" i="1"/>
  <c r="F1002" i="1"/>
  <c r="E1002" i="1"/>
  <c r="H1001" i="1"/>
  <c r="F1001" i="1"/>
  <c r="E1001" i="1"/>
  <c r="H1000" i="1"/>
  <c r="F1000" i="1"/>
  <c r="E1000" i="1"/>
  <c r="H999" i="1"/>
  <c r="F999" i="1"/>
  <c r="E999" i="1"/>
  <c r="H998" i="1"/>
  <c r="F998" i="1"/>
  <c r="E998" i="1"/>
  <c r="H997" i="1"/>
  <c r="F997" i="1"/>
  <c r="E997" i="1"/>
  <c r="H996" i="1"/>
  <c r="F996" i="1"/>
  <c r="E996" i="1"/>
  <c r="H995" i="1"/>
  <c r="F995" i="1"/>
  <c r="E995" i="1"/>
  <c r="H994" i="1"/>
  <c r="F994" i="1"/>
  <c r="E994" i="1"/>
  <c r="H993" i="1"/>
  <c r="F993" i="1"/>
  <c r="E993" i="1"/>
  <c r="H992" i="1"/>
  <c r="F992" i="1"/>
  <c r="E992" i="1"/>
  <c r="H991" i="1"/>
  <c r="F991" i="1"/>
  <c r="E991" i="1"/>
  <c r="H990" i="1"/>
  <c r="F990" i="1"/>
  <c r="E990" i="1"/>
  <c r="H989" i="1"/>
  <c r="F989" i="1"/>
  <c r="E989" i="1"/>
  <c r="H988" i="1"/>
  <c r="F988" i="1"/>
  <c r="E988" i="1"/>
  <c r="H987" i="1"/>
  <c r="F987" i="1"/>
  <c r="E987" i="1"/>
  <c r="H986" i="1"/>
  <c r="F986" i="1"/>
  <c r="E986" i="1"/>
  <c r="H985" i="1"/>
  <c r="F985" i="1"/>
  <c r="E985" i="1"/>
  <c r="H984" i="1"/>
  <c r="F984" i="1"/>
  <c r="E984" i="1"/>
  <c r="H983" i="1"/>
  <c r="F983" i="1"/>
  <c r="E983" i="1"/>
  <c r="H982" i="1"/>
  <c r="F982" i="1"/>
  <c r="E982" i="1"/>
  <c r="H981" i="1"/>
  <c r="F981" i="1"/>
  <c r="E981" i="1"/>
  <c r="H980" i="1"/>
  <c r="F980" i="1"/>
  <c r="E980" i="1"/>
  <c r="H979" i="1"/>
  <c r="F979" i="1"/>
  <c r="E979" i="1"/>
  <c r="H978" i="1"/>
  <c r="F978" i="1"/>
  <c r="E978" i="1"/>
  <c r="H977" i="1"/>
  <c r="F977" i="1"/>
  <c r="E977" i="1"/>
  <c r="H976" i="1"/>
  <c r="F976" i="1"/>
  <c r="E976" i="1"/>
  <c r="H975" i="1"/>
  <c r="F975" i="1"/>
  <c r="E975" i="1"/>
  <c r="H974" i="1"/>
  <c r="F974" i="1"/>
  <c r="E974" i="1"/>
  <c r="H973" i="1"/>
  <c r="F973" i="1"/>
  <c r="E973" i="1"/>
  <c r="H972" i="1"/>
  <c r="F972" i="1"/>
  <c r="E972" i="1"/>
  <c r="H971" i="1"/>
  <c r="F971" i="1"/>
  <c r="E971" i="1"/>
  <c r="H970" i="1"/>
  <c r="F970" i="1"/>
  <c r="E970" i="1"/>
  <c r="H969" i="1"/>
  <c r="F969" i="1"/>
  <c r="E969" i="1"/>
  <c r="H968" i="1"/>
  <c r="F968" i="1"/>
  <c r="E968" i="1"/>
  <c r="H967" i="1"/>
  <c r="F967" i="1"/>
  <c r="E967" i="1"/>
  <c r="H966" i="1"/>
  <c r="F966" i="1"/>
  <c r="E966" i="1"/>
  <c r="H965" i="1"/>
  <c r="F965" i="1"/>
  <c r="E965" i="1"/>
  <c r="H964" i="1"/>
  <c r="F964" i="1"/>
  <c r="E964" i="1"/>
  <c r="H963" i="1"/>
  <c r="F963" i="1"/>
  <c r="E963" i="1"/>
  <c r="H962" i="1"/>
  <c r="F962" i="1"/>
  <c r="E962" i="1"/>
  <c r="H961" i="1"/>
  <c r="F961" i="1"/>
  <c r="E961" i="1"/>
  <c r="H960" i="1"/>
  <c r="F960" i="1"/>
  <c r="E960" i="1"/>
  <c r="H959" i="1"/>
  <c r="F959" i="1"/>
  <c r="E959" i="1"/>
  <c r="H958" i="1"/>
  <c r="F958" i="1"/>
  <c r="E958" i="1"/>
  <c r="H957" i="1"/>
  <c r="F957" i="1"/>
  <c r="E957" i="1"/>
  <c r="H956" i="1"/>
  <c r="F956" i="1"/>
  <c r="E956" i="1"/>
  <c r="H955" i="1"/>
  <c r="F955" i="1"/>
  <c r="E955" i="1"/>
  <c r="H954" i="1"/>
  <c r="F954" i="1"/>
  <c r="E954" i="1"/>
  <c r="H953" i="1"/>
  <c r="F953" i="1"/>
  <c r="E953" i="1"/>
  <c r="H952" i="1"/>
  <c r="F952" i="1"/>
  <c r="E952" i="1"/>
  <c r="H951" i="1"/>
  <c r="F951" i="1"/>
  <c r="E951" i="1"/>
  <c r="H950" i="1"/>
  <c r="F950" i="1"/>
  <c r="E950" i="1"/>
  <c r="H949" i="1"/>
  <c r="F949" i="1"/>
  <c r="E949" i="1"/>
  <c r="H948" i="1"/>
  <c r="F948" i="1"/>
  <c r="E948" i="1"/>
  <c r="H947" i="1"/>
  <c r="F947" i="1"/>
  <c r="E947" i="1"/>
  <c r="H946" i="1"/>
  <c r="F946" i="1"/>
  <c r="E946" i="1"/>
  <c r="H945" i="1"/>
  <c r="F945" i="1"/>
  <c r="E945" i="1"/>
  <c r="H944" i="1"/>
  <c r="F944" i="1"/>
  <c r="E944" i="1"/>
  <c r="H943" i="1"/>
  <c r="F943" i="1"/>
  <c r="E943" i="1"/>
  <c r="H942" i="1"/>
  <c r="F942" i="1"/>
  <c r="E942" i="1"/>
  <c r="H941" i="1"/>
  <c r="F941" i="1"/>
  <c r="E941" i="1"/>
  <c r="H940" i="1"/>
  <c r="F940" i="1"/>
  <c r="E940" i="1"/>
  <c r="H939" i="1"/>
  <c r="F939" i="1"/>
  <c r="E939" i="1"/>
  <c r="H938" i="1"/>
  <c r="F938" i="1"/>
  <c r="E938" i="1"/>
  <c r="H937" i="1"/>
  <c r="F937" i="1"/>
  <c r="E937" i="1"/>
  <c r="H936" i="1"/>
  <c r="F936" i="1"/>
  <c r="E936" i="1"/>
  <c r="H935" i="1"/>
  <c r="F935" i="1"/>
  <c r="E935" i="1"/>
  <c r="H934" i="1"/>
  <c r="F934" i="1"/>
  <c r="E934" i="1"/>
  <c r="H933" i="1"/>
  <c r="F933" i="1"/>
  <c r="E933" i="1"/>
  <c r="H932" i="1"/>
  <c r="F932" i="1"/>
  <c r="E932" i="1"/>
  <c r="H931" i="1"/>
  <c r="F931" i="1"/>
  <c r="E931" i="1"/>
  <c r="H930" i="1"/>
  <c r="F930" i="1"/>
  <c r="E930" i="1"/>
  <c r="H929" i="1"/>
  <c r="F929" i="1"/>
  <c r="E929" i="1"/>
  <c r="H928" i="1"/>
  <c r="F928" i="1"/>
  <c r="E928" i="1"/>
  <c r="H927" i="1"/>
  <c r="F927" i="1"/>
  <c r="E927" i="1"/>
  <c r="H926" i="1"/>
  <c r="F926" i="1"/>
  <c r="E926" i="1"/>
  <c r="H925" i="1"/>
  <c r="F925" i="1"/>
  <c r="E925" i="1"/>
  <c r="H924" i="1"/>
  <c r="F924" i="1"/>
  <c r="E924" i="1"/>
  <c r="H923" i="1"/>
  <c r="F923" i="1"/>
  <c r="E923" i="1"/>
  <c r="H922" i="1"/>
  <c r="F922" i="1"/>
  <c r="E922" i="1"/>
  <c r="H921" i="1"/>
  <c r="F921" i="1"/>
  <c r="E921" i="1"/>
  <c r="H920" i="1"/>
  <c r="F920" i="1"/>
  <c r="E920" i="1"/>
  <c r="H919" i="1"/>
  <c r="F919" i="1"/>
  <c r="E919" i="1"/>
  <c r="H918" i="1"/>
  <c r="F918" i="1"/>
  <c r="E918" i="1"/>
  <c r="H917" i="1"/>
  <c r="F917" i="1"/>
  <c r="E917" i="1"/>
  <c r="H916" i="1"/>
  <c r="F916" i="1"/>
  <c r="E916" i="1"/>
  <c r="H915" i="1"/>
  <c r="F915" i="1"/>
  <c r="E915" i="1"/>
  <c r="H914" i="1"/>
  <c r="F914" i="1"/>
  <c r="E914" i="1"/>
  <c r="H913" i="1"/>
  <c r="F913" i="1"/>
  <c r="E913" i="1"/>
  <c r="H912" i="1"/>
  <c r="F912" i="1"/>
  <c r="E912" i="1"/>
  <c r="H911" i="1"/>
  <c r="F911" i="1"/>
  <c r="E911" i="1"/>
  <c r="H910" i="1"/>
  <c r="F910" i="1"/>
  <c r="E910" i="1"/>
  <c r="H909" i="1"/>
  <c r="F909" i="1"/>
  <c r="E909" i="1"/>
  <c r="H908" i="1"/>
  <c r="F908" i="1"/>
  <c r="E908" i="1"/>
  <c r="H907" i="1"/>
  <c r="F907" i="1"/>
  <c r="E907" i="1"/>
  <c r="H906" i="1"/>
  <c r="F906" i="1"/>
  <c r="E906" i="1"/>
  <c r="H905" i="1"/>
  <c r="F905" i="1"/>
  <c r="E905" i="1"/>
  <c r="H904" i="1"/>
  <c r="F904" i="1"/>
  <c r="E904" i="1"/>
  <c r="H903" i="1"/>
  <c r="F903" i="1"/>
  <c r="E903" i="1"/>
  <c r="H902" i="1"/>
  <c r="F902" i="1"/>
  <c r="E902" i="1"/>
  <c r="H901" i="1"/>
  <c r="F901" i="1"/>
  <c r="E901" i="1"/>
  <c r="H900" i="1"/>
  <c r="F900" i="1"/>
  <c r="E900" i="1"/>
  <c r="H899" i="1"/>
  <c r="F899" i="1"/>
  <c r="E899" i="1"/>
  <c r="H898" i="1"/>
  <c r="F898" i="1"/>
  <c r="E898" i="1"/>
  <c r="H897" i="1"/>
  <c r="F897" i="1"/>
  <c r="E897" i="1"/>
  <c r="H896" i="1"/>
  <c r="F896" i="1"/>
  <c r="E896" i="1"/>
  <c r="H895" i="1"/>
  <c r="F895" i="1"/>
  <c r="E895" i="1"/>
  <c r="H894" i="1"/>
  <c r="F894" i="1"/>
  <c r="E894" i="1"/>
  <c r="H893" i="1"/>
  <c r="F893" i="1"/>
  <c r="E893" i="1"/>
  <c r="H892" i="1"/>
  <c r="F892" i="1"/>
  <c r="E892" i="1"/>
  <c r="H891" i="1"/>
  <c r="F891" i="1"/>
  <c r="E891" i="1"/>
  <c r="H890" i="1"/>
  <c r="F890" i="1"/>
  <c r="E890" i="1"/>
  <c r="H889" i="1"/>
  <c r="F889" i="1"/>
  <c r="E889" i="1"/>
  <c r="H888" i="1"/>
  <c r="F888" i="1"/>
  <c r="E888" i="1"/>
  <c r="H887" i="1"/>
  <c r="F887" i="1"/>
  <c r="E887" i="1"/>
  <c r="H886" i="1"/>
  <c r="F886" i="1"/>
  <c r="E886" i="1"/>
  <c r="H885" i="1"/>
  <c r="F885" i="1"/>
  <c r="E885" i="1"/>
  <c r="H884" i="1"/>
  <c r="F884" i="1"/>
  <c r="E884" i="1"/>
  <c r="H883" i="1"/>
  <c r="F883" i="1"/>
  <c r="E883" i="1"/>
  <c r="H882" i="1"/>
  <c r="F882" i="1"/>
  <c r="E882" i="1"/>
  <c r="H881" i="1"/>
  <c r="F881" i="1"/>
  <c r="E881" i="1"/>
  <c r="H880" i="1"/>
  <c r="F880" i="1"/>
  <c r="E880" i="1"/>
  <c r="H879" i="1"/>
  <c r="F879" i="1"/>
  <c r="E879" i="1"/>
  <c r="H878" i="1"/>
  <c r="F878" i="1"/>
  <c r="E878" i="1"/>
  <c r="H877" i="1"/>
  <c r="F877" i="1"/>
  <c r="E877" i="1"/>
  <c r="H876" i="1"/>
  <c r="F876" i="1"/>
  <c r="E876" i="1"/>
  <c r="H875" i="1"/>
  <c r="F875" i="1"/>
  <c r="E875" i="1"/>
  <c r="H874" i="1"/>
  <c r="F874" i="1"/>
  <c r="E874" i="1"/>
  <c r="H873" i="1"/>
  <c r="F873" i="1"/>
  <c r="E873" i="1"/>
  <c r="H872" i="1"/>
  <c r="F872" i="1"/>
  <c r="E872" i="1"/>
  <c r="H871" i="1"/>
  <c r="F871" i="1"/>
  <c r="E871" i="1"/>
  <c r="H870" i="1"/>
  <c r="F870" i="1"/>
  <c r="E870" i="1"/>
  <c r="H869" i="1"/>
  <c r="F869" i="1"/>
  <c r="E869" i="1"/>
  <c r="H868" i="1"/>
  <c r="F868" i="1"/>
  <c r="E868" i="1"/>
  <c r="H867" i="1"/>
  <c r="F867" i="1"/>
  <c r="E867" i="1"/>
  <c r="H866" i="1"/>
  <c r="F866" i="1"/>
  <c r="E866" i="1"/>
  <c r="H865" i="1"/>
  <c r="F865" i="1"/>
  <c r="E865" i="1"/>
  <c r="H864" i="1"/>
  <c r="F864" i="1"/>
  <c r="E864" i="1"/>
  <c r="H863" i="1"/>
  <c r="F863" i="1"/>
  <c r="E863" i="1"/>
  <c r="H862" i="1"/>
  <c r="F862" i="1"/>
  <c r="E862" i="1"/>
  <c r="H861" i="1"/>
  <c r="F861" i="1"/>
  <c r="E861" i="1"/>
  <c r="H860" i="1"/>
  <c r="F860" i="1"/>
  <c r="E860" i="1"/>
  <c r="H859" i="1"/>
  <c r="F859" i="1"/>
  <c r="E859" i="1"/>
  <c r="H858" i="1"/>
  <c r="F858" i="1"/>
  <c r="E858" i="1"/>
  <c r="H857" i="1"/>
  <c r="F857" i="1"/>
  <c r="E857" i="1"/>
  <c r="H856" i="1"/>
  <c r="F856" i="1"/>
  <c r="E856" i="1"/>
  <c r="H855" i="1"/>
  <c r="F855" i="1"/>
  <c r="E855" i="1"/>
  <c r="H854" i="1"/>
  <c r="F854" i="1"/>
  <c r="E854" i="1"/>
  <c r="H853" i="1"/>
  <c r="F853" i="1"/>
  <c r="E853" i="1"/>
  <c r="H852" i="1"/>
  <c r="F852" i="1"/>
  <c r="E852" i="1"/>
  <c r="H851" i="1"/>
  <c r="F851" i="1"/>
  <c r="E851" i="1"/>
  <c r="H850" i="1"/>
  <c r="F850" i="1"/>
  <c r="E850" i="1"/>
  <c r="H849" i="1"/>
  <c r="F849" i="1"/>
  <c r="E849" i="1"/>
  <c r="H848" i="1"/>
  <c r="F848" i="1"/>
  <c r="E848" i="1"/>
  <c r="H847" i="1"/>
  <c r="F847" i="1"/>
  <c r="E847" i="1"/>
  <c r="H846" i="1"/>
  <c r="F846" i="1"/>
  <c r="E846" i="1"/>
  <c r="H845" i="1"/>
  <c r="F845" i="1"/>
  <c r="E845" i="1"/>
  <c r="H844" i="1"/>
  <c r="F844" i="1"/>
  <c r="E844" i="1"/>
  <c r="H843" i="1"/>
  <c r="F843" i="1"/>
  <c r="E843" i="1"/>
  <c r="H842" i="1"/>
  <c r="F842" i="1"/>
  <c r="E842" i="1"/>
  <c r="H841" i="1"/>
  <c r="F841" i="1"/>
  <c r="E841" i="1"/>
  <c r="H840" i="1"/>
  <c r="F840" i="1"/>
  <c r="E840" i="1"/>
  <c r="H839" i="1"/>
  <c r="F839" i="1"/>
  <c r="E839" i="1"/>
  <c r="H838" i="1"/>
  <c r="F838" i="1"/>
  <c r="E838" i="1"/>
  <c r="H837" i="1"/>
  <c r="F837" i="1"/>
  <c r="E837" i="1"/>
  <c r="H836" i="1"/>
  <c r="F836" i="1"/>
  <c r="E836" i="1"/>
  <c r="H835" i="1"/>
  <c r="F835" i="1"/>
  <c r="E835" i="1"/>
  <c r="H834" i="1"/>
  <c r="F834" i="1"/>
  <c r="E834" i="1"/>
  <c r="H833" i="1"/>
  <c r="F833" i="1"/>
  <c r="E833" i="1"/>
  <c r="H832" i="1"/>
  <c r="F832" i="1"/>
  <c r="E832" i="1"/>
  <c r="H831" i="1"/>
  <c r="F831" i="1"/>
  <c r="E831" i="1"/>
  <c r="H830" i="1"/>
  <c r="F830" i="1"/>
  <c r="E830" i="1"/>
  <c r="H829" i="1"/>
  <c r="F829" i="1"/>
  <c r="E829" i="1"/>
  <c r="H828" i="1"/>
  <c r="F828" i="1"/>
  <c r="E828" i="1"/>
  <c r="H827" i="1"/>
  <c r="F827" i="1"/>
  <c r="E827" i="1"/>
  <c r="H826" i="1"/>
  <c r="F826" i="1"/>
  <c r="E826" i="1"/>
  <c r="H825" i="1"/>
  <c r="F825" i="1"/>
  <c r="E825" i="1"/>
  <c r="H824" i="1"/>
  <c r="F824" i="1"/>
  <c r="E824" i="1"/>
  <c r="H823" i="1"/>
  <c r="F823" i="1"/>
  <c r="E823" i="1"/>
  <c r="H822" i="1"/>
  <c r="F822" i="1"/>
  <c r="E822" i="1"/>
  <c r="H821" i="1"/>
  <c r="F821" i="1"/>
  <c r="E821" i="1"/>
  <c r="H820" i="1"/>
  <c r="F820" i="1"/>
  <c r="E820" i="1"/>
  <c r="H819" i="1"/>
  <c r="F819" i="1"/>
  <c r="E819" i="1"/>
  <c r="H818" i="1"/>
  <c r="F818" i="1"/>
  <c r="E818" i="1"/>
  <c r="H817" i="1"/>
  <c r="F817" i="1"/>
  <c r="E817" i="1"/>
  <c r="H816" i="1"/>
  <c r="F816" i="1"/>
  <c r="E816" i="1"/>
  <c r="H815" i="1"/>
  <c r="F815" i="1"/>
  <c r="E815" i="1"/>
  <c r="H814" i="1"/>
  <c r="F814" i="1"/>
  <c r="E814" i="1"/>
  <c r="H813" i="1"/>
  <c r="F813" i="1"/>
  <c r="E813" i="1"/>
  <c r="H812" i="1"/>
  <c r="F812" i="1"/>
  <c r="E812" i="1"/>
  <c r="H811" i="1"/>
  <c r="F811" i="1"/>
  <c r="E811" i="1"/>
  <c r="H810" i="1"/>
  <c r="F810" i="1"/>
  <c r="E810" i="1"/>
  <c r="H809" i="1"/>
  <c r="F809" i="1"/>
  <c r="E809" i="1"/>
  <c r="H808" i="1"/>
  <c r="F808" i="1"/>
  <c r="E808" i="1"/>
  <c r="H807" i="1"/>
  <c r="F807" i="1"/>
  <c r="E807" i="1"/>
  <c r="H806" i="1"/>
  <c r="F806" i="1"/>
  <c r="E806" i="1"/>
  <c r="H805" i="1"/>
  <c r="F805" i="1"/>
  <c r="E805" i="1"/>
  <c r="H804" i="1"/>
  <c r="F804" i="1"/>
  <c r="E804" i="1"/>
  <c r="F803" i="1"/>
  <c r="E803" i="1"/>
  <c r="F802" i="1"/>
  <c r="E802" i="1"/>
  <c r="F801" i="1"/>
  <c r="E801" i="1"/>
  <c r="H800" i="1"/>
  <c r="F800" i="1"/>
  <c r="E800" i="1"/>
  <c r="H799" i="1"/>
  <c r="F799" i="1"/>
  <c r="E799" i="1"/>
  <c r="H798" i="1"/>
  <c r="F798" i="1"/>
  <c r="E798" i="1"/>
  <c r="H797" i="1"/>
  <c r="F797" i="1"/>
  <c r="E797" i="1"/>
  <c r="H796" i="1"/>
  <c r="F796" i="1"/>
  <c r="E796" i="1"/>
  <c r="H795" i="1"/>
  <c r="F795" i="1"/>
  <c r="E795" i="1"/>
  <c r="H794" i="1"/>
  <c r="F794" i="1"/>
  <c r="E794" i="1"/>
  <c r="H793" i="1"/>
  <c r="F793" i="1"/>
  <c r="E793" i="1"/>
  <c r="H792" i="1"/>
  <c r="F792" i="1"/>
  <c r="E792" i="1"/>
  <c r="H791" i="1"/>
  <c r="F791" i="1"/>
  <c r="E791" i="1"/>
  <c r="H790" i="1"/>
  <c r="F790" i="1"/>
  <c r="E790" i="1"/>
  <c r="H789" i="1"/>
  <c r="F789" i="1"/>
  <c r="E789" i="1"/>
  <c r="H788" i="1"/>
  <c r="F788" i="1"/>
  <c r="E788" i="1"/>
  <c r="H787" i="1"/>
  <c r="F787" i="1"/>
  <c r="E787" i="1"/>
  <c r="H786" i="1"/>
  <c r="F786" i="1"/>
  <c r="E786" i="1"/>
  <c r="H785" i="1"/>
  <c r="F785" i="1"/>
  <c r="E785" i="1"/>
  <c r="H784" i="1"/>
  <c r="F784" i="1"/>
  <c r="E784" i="1"/>
  <c r="H783" i="1"/>
  <c r="F783" i="1"/>
  <c r="E783" i="1"/>
  <c r="H782" i="1"/>
  <c r="F782" i="1"/>
  <c r="E782" i="1"/>
  <c r="H781" i="1"/>
  <c r="F781" i="1"/>
  <c r="E781" i="1"/>
  <c r="H780" i="1"/>
  <c r="F780" i="1"/>
  <c r="E780" i="1"/>
  <c r="H779" i="1"/>
  <c r="F779" i="1"/>
  <c r="E779" i="1"/>
  <c r="H778" i="1"/>
  <c r="F778" i="1"/>
  <c r="E778" i="1"/>
  <c r="H777" i="1"/>
  <c r="F777" i="1"/>
  <c r="E777" i="1"/>
  <c r="H776" i="1"/>
  <c r="F776" i="1"/>
  <c r="E776" i="1"/>
  <c r="H775" i="1"/>
  <c r="F775" i="1"/>
  <c r="E775" i="1"/>
  <c r="H774" i="1"/>
  <c r="F774" i="1"/>
  <c r="E774" i="1"/>
  <c r="H773" i="1"/>
  <c r="F773" i="1"/>
  <c r="E773" i="1"/>
  <c r="H772" i="1"/>
  <c r="F772" i="1"/>
  <c r="E772" i="1"/>
  <c r="H771" i="1"/>
  <c r="F771" i="1"/>
  <c r="E771" i="1"/>
  <c r="H770" i="1"/>
  <c r="F770" i="1"/>
  <c r="E770" i="1"/>
  <c r="H769" i="1"/>
  <c r="F769" i="1"/>
  <c r="E769" i="1"/>
  <c r="H768" i="1"/>
  <c r="F768" i="1"/>
  <c r="E768" i="1"/>
  <c r="H767" i="1"/>
  <c r="F767" i="1"/>
  <c r="E767" i="1"/>
  <c r="H766" i="1"/>
  <c r="F766" i="1"/>
  <c r="E766" i="1"/>
  <c r="H765" i="1"/>
  <c r="F765" i="1"/>
  <c r="E765" i="1"/>
  <c r="H764" i="1"/>
  <c r="F764" i="1"/>
  <c r="E764" i="1"/>
  <c r="H763" i="1"/>
  <c r="F763" i="1"/>
  <c r="E763" i="1"/>
  <c r="H762" i="1"/>
  <c r="F762" i="1"/>
  <c r="E762" i="1"/>
  <c r="H761" i="1"/>
  <c r="F761" i="1"/>
  <c r="E761" i="1"/>
  <c r="H760" i="1"/>
  <c r="F760" i="1"/>
  <c r="E760" i="1"/>
  <c r="H759" i="1"/>
  <c r="F759" i="1"/>
  <c r="E759" i="1"/>
  <c r="H758" i="1"/>
  <c r="F758" i="1"/>
  <c r="E758" i="1"/>
  <c r="H757" i="1"/>
  <c r="F757" i="1"/>
  <c r="E757" i="1"/>
  <c r="H756" i="1"/>
  <c r="F756" i="1"/>
  <c r="E756" i="1"/>
  <c r="H755" i="1"/>
  <c r="F755" i="1"/>
  <c r="E755" i="1"/>
  <c r="H754" i="1"/>
  <c r="F754" i="1"/>
  <c r="E754" i="1"/>
  <c r="H753" i="1"/>
  <c r="F753" i="1"/>
  <c r="E753" i="1"/>
  <c r="H752" i="1"/>
  <c r="F752" i="1"/>
  <c r="E752" i="1"/>
  <c r="H751" i="1"/>
  <c r="F751" i="1"/>
  <c r="E751" i="1"/>
  <c r="H750" i="1"/>
  <c r="F750" i="1"/>
  <c r="E750" i="1"/>
  <c r="H749" i="1"/>
  <c r="F749" i="1"/>
  <c r="E749" i="1"/>
  <c r="H748" i="1"/>
  <c r="F748" i="1"/>
  <c r="E748" i="1"/>
  <c r="H747" i="1"/>
  <c r="F747" i="1"/>
  <c r="E747" i="1"/>
  <c r="H746" i="1"/>
  <c r="F746" i="1"/>
  <c r="E746" i="1"/>
  <c r="H745" i="1"/>
  <c r="F745" i="1"/>
  <c r="E745" i="1"/>
  <c r="H744" i="1"/>
  <c r="F744" i="1"/>
  <c r="E744" i="1"/>
  <c r="H743" i="1"/>
  <c r="F743" i="1"/>
  <c r="E743" i="1"/>
  <c r="H742" i="1"/>
  <c r="F742" i="1"/>
  <c r="E742" i="1"/>
  <c r="H741" i="1"/>
  <c r="F741" i="1"/>
  <c r="E741" i="1"/>
  <c r="H740" i="1"/>
  <c r="F740" i="1"/>
  <c r="E740" i="1"/>
  <c r="H739" i="1"/>
  <c r="F739" i="1"/>
  <c r="E739" i="1"/>
  <c r="H738" i="1"/>
  <c r="F738" i="1"/>
  <c r="E738" i="1"/>
  <c r="H737" i="1"/>
  <c r="F737" i="1"/>
  <c r="E737" i="1"/>
  <c r="H736" i="1"/>
  <c r="F736" i="1"/>
  <c r="E736" i="1"/>
  <c r="H735" i="1"/>
  <c r="F735" i="1"/>
  <c r="E735" i="1"/>
  <c r="H734" i="1"/>
  <c r="F734" i="1"/>
  <c r="E734" i="1"/>
  <c r="H733" i="1"/>
  <c r="F733" i="1"/>
  <c r="E733" i="1"/>
  <c r="H732" i="1"/>
  <c r="F732" i="1"/>
  <c r="E732" i="1"/>
  <c r="H731" i="1"/>
  <c r="F731" i="1"/>
  <c r="E731" i="1"/>
  <c r="H730" i="1"/>
  <c r="F730" i="1"/>
  <c r="E730" i="1"/>
  <c r="H729" i="1"/>
  <c r="F729" i="1"/>
  <c r="E729" i="1"/>
  <c r="H728" i="1"/>
  <c r="F728" i="1"/>
  <c r="E728" i="1"/>
  <c r="H727" i="1"/>
  <c r="F727" i="1"/>
  <c r="E727" i="1"/>
  <c r="H726" i="1"/>
  <c r="F726" i="1"/>
  <c r="E726" i="1"/>
  <c r="H725" i="1"/>
  <c r="F725" i="1"/>
  <c r="E725" i="1"/>
  <c r="H724" i="1"/>
  <c r="F724" i="1"/>
  <c r="E724" i="1"/>
  <c r="H723" i="1"/>
  <c r="F723" i="1"/>
  <c r="E723" i="1"/>
  <c r="H722" i="1"/>
  <c r="F722" i="1"/>
  <c r="E722" i="1"/>
  <c r="H721" i="1"/>
  <c r="F721" i="1"/>
  <c r="E721" i="1"/>
  <c r="H720" i="1"/>
  <c r="F720" i="1"/>
  <c r="E720" i="1"/>
  <c r="H719" i="1"/>
  <c r="F719" i="1"/>
  <c r="E719" i="1"/>
  <c r="H718" i="1"/>
  <c r="F718" i="1"/>
  <c r="E718" i="1"/>
  <c r="H717" i="1"/>
  <c r="F717" i="1"/>
  <c r="E717" i="1"/>
  <c r="H716" i="1"/>
  <c r="F716" i="1"/>
  <c r="E716" i="1"/>
  <c r="H715" i="1"/>
  <c r="F715" i="1"/>
  <c r="E715" i="1"/>
  <c r="H714" i="1"/>
  <c r="F714" i="1"/>
  <c r="E714" i="1"/>
  <c r="H713" i="1"/>
  <c r="F713" i="1"/>
  <c r="E713" i="1"/>
  <c r="H712" i="1"/>
  <c r="F712" i="1"/>
  <c r="E712" i="1"/>
  <c r="H711" i="1"/>
  <c r="F711" i="1"/>
  <c r="E711" i="1"/>
  <c r="H710" i="1"/>
  <c r="F710" i="1"/>
  <c r="E710" i="1"/>
  <c r="H709" i="1"/>
  <c r="F709" i="1"/>
  <c r="E709" i="1"/>
  <c r="H708" i="1"/>
  <c r="F708" i="1"/>
  <c r="E708" i="1"/>
  <c r="H707" i="1"/>
  <c r="F707" i="1"/>
  <c r="E707" i="1"/>
  <c r="H706" i="1"/>
  <c r="F706" i="1"/>
  <c r="E706" i="1"/>
  <c r="H705" i="1"/>
  <c r="F705" i="1"/>
  <c r="E705" i="1"/>
  <c r="H704" i="1"/>
  <c r="F704" i="1"/>
  <c r="E704" i="1"/>
  <c r="H703" i="1"/>
  <c r="F703" i="1"/>
  <c r="E703" i="1"/>
  <c r="H702" i="1"/>
  <c r="F702" i="1"/>
  <c r="E702" i="1"/>
  <c r="H701" i="1"/>
  <c r="F701" i="1"/>
  <c r="E701" i="1"/>
  <c r="H700" i="1"/>
  <c r="F700" i="1"/>
  <c r="E700" i="1"/>
  <c r="H699" i="1"/>
  <c r="F699" i="1"/>
  <c r="E699" i="1"/>
  <c r="H698" i="1"/>
  <c r="F698" i="1"/>
  <c r="E698" i="1"/>
  <c r="H697" i="1"/>
  <c r="F697" i="1"/>
  <c r="E697" i="1"/>
  <c r="H696" i="1"/>
  <c r="F696" i="1"/>
  <c r="E696" i="1"/>
  <c r="H695" i="1"/>
  <c r="F695" i="1"/>
  <c r="E695" i="1"/>
  <c r="H694" i="1"/>
  <c r="F694" i="1"/>
  <c r="E694" i="1"/>
  <c r="H693" i="1"/>
  <c r="F693" i="1"/>
  <c r="E693" i="1"/>
  <c r="H692" i="1"/>
  <c r="F692" i="1"/>
  <c r="E692" i="1"/>
  <c r="H691" i="1"/>
  <c r="F691" i="1"/>
  <c r="E691" i="1"/>
  <c r="H690" i="1"/>
  <c r="F690" i="1"/>
  <c r="E690" i="1"/>
  <c r="H689" i="1"/>
  <c r="F689" i="1"/>
  <c r="E689" i="1"/>
  <c r="H688" i="1"/>
  <c r="F688" i="1"/>
  <c r="E688" i="1"/>
  <c r="H687" i="1"/>
  <c r="F687" i="1"/>
  <c r="E687" i="1"/>
  <c r="H686" i="1"/>
  <c r="F686" i="1"/>
  <c r="E686" i="1"/>
  <c r="H685" i="1"/>
  <c r="F685" i="1"/>
  <c r="E685" i="1"/>
  <c r="H684" i="1"/>
  <c r="F684" i="1"/>
  <c r="E684" i="1"/>
  <c r="H683" i="1"/>
  <c r="F683" i="1"/>
  <c r="E683" i="1"/>
  <c r="H682" i="1"/>
  <c r="F682" i="1"/>
  <c r="E682" i="1"/>
  <c r="H681" i="1"/>
  <c r="F681" i="1"/>
  <c r="E681" i="1"/>
  <c r="H680" i="1"/>
  <c r="F680" i="1"/>
  <c r="E680" i="1"/>
  <c r="H679" i="1"/>
  <c r="F679" i="1"/>
  <c r="E679" i="1"/>
  <c r="H678" i="1"/>
  <c r="F678" i="1"/>
  <c r="E678" i="1"/>
  <c r="H677" i="1"/>
  <c r="F677" i="1"/>
  <c r="E677" i="1"/>
  <c r="H676" i="1"/>
  <c r="F676" i="1"/>
  <c r="E676" i="1"/>
  <c r="H675" i="1"/>
  <c r="F675" i="1"/>
  <c r="E675" i="1"/>
  <c r="H674" i="1"/>
  <c r="F674" i="1"/>
  <c r="E674" i="1"/>
  <c r="H673" i="1"/>
  <c r="F673" i="1"/>
  <c r="E673" i="1"/>
  <c r="H672" i="1"/>
  <c r="F672" i="1"/>
  <c r="E672" i="1"/>
  <c r="H671" i="1"/>
  <c r="F671" i="1"/>
  <c r="E671" i="1"/>
  <c r="H670" i="1"/>
  <c r="F670" i="1"/>
  <c r="E670" i="1"/>
  <c r="H669" i="1"/>
  <c r="F669" i="1"/>
  <c r="E669" i="1"/>
  <c r="H668" i="1"/>
  <c r="F668" i="1"/>
  <c r="E668" i="1"/>
  <c r="H667" i="1"/>
  <c r="F667" i="1"/>
  <c r="E667" i="1"/>
  <c r="H666" i="1"/>
  <c r="F666" i="1"/>
  <c r="E666" i="1"/>
  <c r="H665" i="1"/>
  <c r="F665" i="1"/>
  <c r="E665" i="1"/>
  <c r="H664" i="1"/>
  <c r="F664" i="1"/>
  <c r="E664" i="1"/>
  <c r="H663" i="1"/>
  <c r="F663" i="1"/>
  <c r="E663" i="1"/>
  <c r="H662" i="1"/>
  <c r="F662" i="1"/>
  <c r="E662" i="1"/>
  <c r="H661" i="1"/>
  <c r="F661" i="1"/>
  <c r="E661" i="1"/>
  <c r="H660" i="1"/>
  <c r="F660" i="1"/>
  <c r="E660" i="1"/>
  <c r="H659" i="1"/>
  <c r="F659" i="1"/>
  <c r="E659" i="1"/>
  <c r="H658" i="1"/>
  <c r="F658" i="1"/>
  <c r="E658" i="1"/>
  <c r="H657" i="1"/>
  <c r="F657" i="1"/>
  <c r="E657" i="1"/>
  <c r="H656" i="1"/>
  <c r="F656" i="1"/>
  <c r="E656" i="1"/>
  <c r="H655" i="1"/>
  <c r="F655" i="1"/>
  <c r="E655" i="1"/>
  <c r="H654" i="1"/>
  <c r="F654" i="1"/>
  <c r="E654" i="1"/>
  <c r="H653" i="1"/>
  <c r="F653" i="1"/>
  <c r="E653" i="1"/>
  <c r="H652" i="1"/>
  <c r="F652" i="1"/>
  <c r="E652" i="1"/>
  <c r="H651" i="1"/>
  <c r="F651" i="1"/>
  <c r="E651" i="1"/>
  <c r="H650" i="1"/>
  <c r="F650" i="1"/>
  <c r="E650" i="1"/>
  <c r="H649" i="1"/>
  <c r="F649" i="1"/>
  <c r="E649" i="1"/>
  <c r="H648" i="1"/>
  <c r="F648" i="1"/>
  <c r="E648" i="1"/>
  <c r="H647" i="1"/>
  <c r="F647" i="1"/>
  <c r="E647" i="1"/>
  <c r="H646" i="1"/>
  <c r="F646" i="1"/>
  <c r="E646" i="1"/>
  <c r="H645" i="1"/>
  <c r="F645" i="1"/>
  <c r="E645" i="1"/>
  <c r="H644" i="1"/>
  <c r="F644" i="1"/>
  <c r="E644" i="1"/>
  <c r="H643" i="1"/>
  <c r="F643" i="1"/>
  <c r="E643" i="1"/>
  <c r="H642" i="1"/>
  <c r="F642" i="1"/>
  <c r="E642" i="1"/>
  <c r="H641" i="1"/>
  <c r="F641" i="1"/>
  <c r="E641" i="1"/>
  <c r="H640" i="1"/>
  <c r="F640" i="1"/>
  <c r="E640" i="1"/>
  <c r="H639" i="1"/>
  <c r="F639" i="1"/>
  <c r="E639" i="1"/>
  <c r="H638" i="1"/>
  <c r="F638" i="1"/>
  <c r="E638" i="1"/>
  <c r="H637" i="1"/>
  <c r="F637" i="1"/>
  <c r="E637" i="1"/>
  <c r="H636" i="1"/>
  <c r="F636" i="1"/>
  <c r="E636" i="1"/>
  <c r="H635" i="1"/>
  <c r="F635" i="1"/>
  <c r="E635" i="1"/>
  <c r="H634" i="1"/>
  <c r="F634" i="1"/>
  <c r="E634" i="1"/>
  <c r="H633" i="1"/>
  <c r="F633" i="1"/>
  <c r="E633" i="1"/>
  <c r="H632" i="1"/>
  <c r="F632" i="1"/>
  <c r="E632" i="1"/>
  <c r="H631" i="1"/>
  <c r="F631" i="1"/>
  <c r="E631" i="1"/>
  <c r="H630" i="1"/>
  <c r="F630" i="1"/>
  <c r="E630" i="1"/>
  <c r="H629" i="1"/>
  <c r="F629" i="1"/>
  <c r="E629" i="1"/>
  <c r="H628" i="1"/>
  <c r="F628" i="1"/>
  <c r="E628" i="1"/>
  <c r="H627" i="1"/>
  <c r="F627" i="1"/>
  <c r="E627" i="1"/>
  <c r="H626" i="1"/>
  <c r="F626" i="1"/>
  <c r="E626" i="1"/>
  <c r="H625" i="1"/>
  <c r="F625" i="1"/>
  <c r="E625" i="1"/>
  <c r="H624" i="1"/>
  <c r="F624" i="1"/>
  <c r="E624" i="1"/>
  <c r="H623" i="1"/>
  <c r="F623" i="1"/>
  <c r="E623" i="1"/>
  <c r="H622" i="1"/>
  <c r="F622" i="1"/>
  <c r="E622" i="1"/>
  <c r="H621" i="1"/>
  <c r="F621" i="1"/>
  <c r="E621" i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10" i="1"/>
  <c r="F610" i="1"/>
  <c r="E610" i="1"/>
  <c r="H609" i="1"/>
  <c r="F609" i="1"/>
  <c r="E609" i="1"/>
  <c r="H608" i="1"/>
  <c r="F608" i="1"/>
  <c r="E608" i="1"/>
  <c r="H607" i="1"/>
  <c r="F607" i="1"/>
  <c r="E607" i="1"/>
  <c r="H606" i="1"/>
  <c r="F606" i="1"/>
  <c r="E606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H601" i="1"/>
  <c r="F601" i="1"/>
  <c r="E601" i="1"/>
  <c r="H600" i="1"/>
  <c r="F600" i="1"/>
  <c r="E600" i="1"/>
  <c r="H599" i="1"/>
  <c r="F599" i="1"/>
  <c r="E599" i="1"/>
  <c r="H598" i="1"/>
  <c r="F598" i="1"/>
  <c r="E598" i="1"/>
  <c r="H597" i="1"/>
  <c r="F597" i="1"/>
  <c r="E597" i="1"/>
  <c r="H596" i="1"/>
  <c r="F596" i="1"/>
  <c r="E596" i="1"/>
  <c r="H595" i="1"/>
  <c r="F595" i="1"/>
  <c r="E595" i="1"/>
  <c r="H594" i="1"/>
  <c r="F594" i="1"/>
  <c r="E594" i="1"/>
  <c r="H593" i="1"/>
  <c r="F593" i="1"/>
  <c r="E593" i="1"/>
  <c r="H592" i="1"/>
  <c r="F592" i="1"/>
  <c r="E592" i="1"/>
  <c r="H591" i="1"/>
  <c r="F591" i="1"/>
  <c r="E591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F572" i="1"/>
  <c r="E572" i="1"/>
  <c r="H571" i="1"/>
  <c r="F571" i="1"/>
  <c r="E571" i="1"/>
  <c r="H570" i="1"/>
  <c r="F570" i="1"/>
  <c r="E570" i="1"/>
  <c r="H569" i="1"/>
  <c r="F569" i="1"/>
  <c r="E569" i="1"/>
  <c r="H568" i="1"/>
  <c r="F568" i="1"/>
  <c r="E568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F556" i="1"/>
  <c r="E556" i="1"/>
  <c r="H555" i="1"/>
  <c r="F555" i="1"/>
  <c r="E555" i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47" i="1"/>
  <c r="F547" i="1"/>
  <c r="E547" i="1"/>
  <c r="H546" i="1"/>
  <c r="F546" i="1"/>
  <c r="E546" i="1"/>
  <c r="H545" i="1"/>
  <c r="F545" i="1"/>
  <c r="E545" i="1"/>
  <c r="H544" i="1"/>
  <c r="F544" i="1"/>
  <c r="E544" i="1"/>
  <c r="H543" i="1"/>
  <c r="F543" i="1"/>
  <c r="E543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7" i="1"/>
  <c r="F537" i="1"/>
  <c r="E537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31" i="1"/>
  <c r="F531" i="1"/>
  <c r="E531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2" i="1"/>
  <c r="F522" i="1"/>
  <c r="E522" i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7" i="1"/>
  <c r="F517" i="1"/>
  <c r="E517" i="1"/>
  <c r="H516" i="1"/>
  <c r="F516" i="1"/>
  <c r="E516" i="1"/>
  <c r="H515" i="1"/>
  <c r="F515" i="1"/>
  <c r="E515" i="1"/>
  <c r="H514" i="1"/>
  <c r="F514" i="1"/>
  <c r="E514" i="1"/>
  <c r="H513" i="1"/>
  <c r="F513" i="1"/>
  <c r="E513" i="1"/>
  <c r="H512" i="1"/>
  <c r="F512" i="1"/>
  <c r="E512" i="1"/>
  <c r="H511" i="1"/>
  <c r="F511" i="1"/>
  <c r="E511" i="1"/>
  <c r="H510" i="1"/>
  <c r="F510" i="1"/>
  <c r="E510" i="1"/>
  <c r="H509" i="1"/>
  <c r="F509" i="1"/>
  <c r="E509" i="1"/>
  <c r="H508" i="1"/>
  <c r="F508" i="1"/>
  <c r="E508" i="1"/>
  <c r="H507" i="1"/>
  <c r="F507" i="1"/>
  <c r="E507" i="1"/>
  <c r="H506" i="1"/>
  <c r="F506" i="1"/>
  <c r="E506" i="1"/>
  <c r="H505" i="1"/>
  <c r="F505" i="1"/>
  <c r="E505" i="1"/>
  <c r="H504" i="1"/>
  <c r="F504" i="1"/>
  <c r="E504" i="1"/>
  <c r="H503" i="1"/>
  <c r="F503" i="1"/>
  <c r="E503" i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8" i="1"/>
  <c r="F498" i="1"/>
  <c r="E498" i="1"/>
  <c r="H497" i="1"/>
  <c r="F497" i="1"/>
  <c r="E497" i="1"/>
  <c r="H496" i="1"/>
  <c r="F496" i="1"/>
  <c r="E496" i="1"/>
  <c r="H495" i="1"/>
  <c r="F495" i="1"/>
  <c r="E495" i="1"/>
  <c r="H494" i="1"/>
  <c r="F494" i="1"/>
  <c r="E494" i="1"/>
  <c r="H493" i="1"/>
  <c r="F493" i="1"/>
  <c r="E493" i="1"/>
  <c r="H492" i="1"/>
  <c r="F492" i="1"/>
  <c r="E492" i="1"/>
  <c r="H491" i="1"/>
  <c r="F491" i="1"/>
  <c r="E491" i="1"/>
  <c r="H490" i="1"/>
  <c r="F490" i="1"/>
  <c r="E490" i="1"/>
  <c r="H489" i="1"/>
  <c r="F489" i="1"/>
  <c r="E489" i="1"/>
  <c r="H488" i="1"/>
  <c r="F488" i="1"/>
  <c r="E488" i="1"/>
  <c r="H487" i="1"/>
  <c r="F487" i="1"/>
  <c r="E487" i="1"/>
  <c r="H486" i="1"/>
  <c r="F486" i="1"/>
  <c r="E486" i="1"/>
  <c r="H485" i="1"/>
  <c r="F485" i="1"/>
  <c r="E485" i="1"/>
  <c r="H484" i="1"/>
  <c r="F484" i="1"/>
  <c r="E484" i="1"/>
  <c r="H483" i="1"/>
  <c r="F483" i="1"/>
  <c r="E483" i="1"/>
  <c r="H482" i="1"/>
  <c r="F482" i="1"/>
  <c r="E482" i="1"/>
  <c r="H481" i="1"/>
  <c r="F481" i="1"/>
  <c r="E481" i="1"/>
  <c r="H480" i="1"/>
  <c r="F480" i="1"/>
  <c r="E480" i="1"/>
  <c r="H479" i="1"/>
  <c r="F479" i="1"/>
  <c r="E479" i="1"/>
  <c r="H478" i="1"/>
  <c r="F478" i="1"/>
  <c r="E478" i="1"/>
  <c r="H477" i="1"/>
  <c r="F477" i="1"/>
  <c r="E477" i="1"/>
  <c r="H476" i="1"/>
  <c r="F476" i="1"/>
  <c r="E476" i="1"/>
  <c r="H475" i="1"/>
  <c r="F475" i="1"/>
  <c r="E475" i="1"/>
  <c r="H474" i="1"/>
  <c r="F474" i="1"/>
  <c r="E474" i="1"/>
  <c r="H473" i="1"/>
  <c r="F473" i="1"/>
  <c r="E473" i="1"/>
  <c r="H472" i="1"/>
  <c r="F472" i="1"/>
  <c r="E472" i="1"/>
  <c r="H471" i="1"/>
  <c r="F471" i="1"/>
  <c r="E471" i="1"/>
  <c r="H470" i="1"/>
  <c r="F470" i="1"/>
  <c r="E470" i="1"/>
  <c r="H469" i="1"/>
  <c r="F469" i="1"/>
  <c r="E469" i="1"/>
  <c r="H468" i="1"/>
  <c r="F468" i="1"/>
  <c r="E468" i="1"/>
  <c r="H467" i="1"/>
  <c r="F467" i="1"/>
  <c r="E467" i="1"/>
  <c r="H466" i="1"/>
  <c r="F466" i="1"/>
  <c r="E466" i="1"/>
  <c r="H465" i="1"/>
  <c r="F465" i="1"/>
  <c r="E465" i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60" i="1"/>
  <c r="F460" i="1"/>
  <c r="E460" i="1"/>
  <c r="H459" i="1"/>
  <c r="F459" i="1"/>
  <c r="E459" i="1"/>
  <c r="H458" i="1"/>
  <c r="F458" i="1"/>
  <c r="E458" i="1"/>
  <c r="H457" i="1"/>
  <c r="F457" i="1"/>
  <c r="E457" i="1"/>
  <c r="H456" i="1"/>
  <c r="F456" i="1"/>
  <c r="E456" i="1"/>
  <c r="H455" i="1"/>
  <c r="F455" i="1"/>
  <c r="E455" i="1"/>
  <c r="H454" i="1"/>
  <c r="F454" i="1"/>
  <c r="E454" i="1"/>
  <c r="H453" i="1"/>
  <c r="F453" i="1"/>
  <c r="E453" i="1"/>
  <c r="H452" i="1"/>
  <c r="F452" i="1"/>
  <c r="E452" i="1"/>
  <c r="H451" i="1"/>
  <c r="F451" i="1"/>
  <c r="E451" i="1"/>
  <c r="H450" i="1"/>
  <c r="F450" i="1"/>
  <c r="E450" i="1"/>
  <c r="H449" i="1"/>
  <c r="F449" i="1"/>
  <c r="E449" i="1"/>
  <c r="H448" i="1"/>
  <c r="F448" i="1"/>
  <c r="E448" i="1"/>
  <c r="H447" i="1"/>
  <c r="F447" i="1"/>
  <c r="E447" i="1"/>
  <c r="H446" i="1"/>
  <c r="F446" i="1"/>
  <c r="E446" i="1"/>
  <c r="H445" i="1"/>
  <c r="F445" i="1"/>
  <c r="E445" i="1"/>
  <c r="H444" i="1"/>
  <c r="F444" i="1"/>
  <c r="E444" i="1"/>
  <c r="H443" i="1"/>
  <c r="F443" i="1"/>
  <c r="E443" i="1"/>
  <c r="H442" i="1"/>
  <c r="F442" i="1"/>
  <c r="E442" i="1"/>
  <c r="H441" i="1"/>
  <c r="F441" i="1"/>
  <c r="E441" i="1"/>
  <c r="H440" i="1"/>
  <c r="F440" i="1"/>
  <c r="E440" i="1"/>
  <c r="H439" i="1"/>
  <c r="F439" i="1"/>
  <c r="E439" i="1"/>
  <c r="H438" i="1"/>
  <c r="F438" i="1"/>
  <c r="E438" i="1"/>
  <c r="H437" i="1"/>
  <c r="F437" i="1"/>
  <c r="E437" i="1"/>
  <c r="H436" i="1"/>
  <c r="F436" i="1"/>
  <c r="E436" i="1"/>
  <c r="H435" i="1"/>
  <c r="F435" i="1"/>
  <c r="E435" i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8" i="1"/>
  <c r="F428" i="1"/>
  <c r="E428" i="1"/>
  <c r="H427" i="1"/>
  <c r="F427" i="1"/>
  <c r="E427" i="1"/>
  <c r="H426" i="1"/>
  <c r="F426" i="1"/>
  <c r="E426" i="1"/>
  <c r="H425" i="1"/>
  <c r="F425" i="1"/>
  <c r="E425" i="1"/>
  <c r="H424" i="1"/>
  <c r="F424" i="1"/>
  <c r="E424" i="1"/>
  <c r="H423" i="1"/>
  <c r="F423" i="1"/>
  <c r="E423" i="1"/>
  <c r="H422" i="1"/>
  <c r="F422" i="1"/>
  <c r="E422" i="1"/>
  <c r="H421" i="1"/>
  <c r="F421" i="1"/>
  <c r="E421" i="1"/>
  <c r="H420" i="1"/>
  <c r="F420" i="1"/>
  <c r="E420" i="1"/>
  <c r="H419" i="1"/>
  <c r="F419" i="1"/>
  <c r="E419" i="1"/>
  <c r="H418" i="1"/>
  <c r="F418" i="1"/>
  <c r="E418" i="1"/>
  <c r="H417" i="1"/>
  <c r="F417" i="1"/>
  <c r="E417" i="1"/>
  <c r="H416" i="1"/>
  <c r="F416" i="1"/>
  <c r="E416" i="1"/>
  <c r="H415" i="1"/>
  <c r="F415" i="1"/>
  <c r="E415" i="1"/>
  <c r="H414" i="1"/>
  <c r="F414" i="1"/>
  <c r="E414" i="1"/>
  <c r="H413" i="1"/>
  <c r="F413" i="1"/>
  <c r="E413" i="1"/>
  <c r="H412" i="1"/>
  <c r="F412" i="1"/>
  <c r="E412" i="1"/>
  <c r="H411" i="1"/>
  <c r="F411" i="1"/>
  <c r="E411" i="1"/>
  <c r="H410" i="1"/>
  <c r="F410" i="1"/>
  <c r="E410" i="1"/>
  <c r="H409" i="1"/>
  <c r="F409" i="1"/>
  <c r="E409" i="1"/>
  <c r="H408" i="1"/>
  <c r="F408" i="1"/>
  <c r="E408" i="1"/>
  <c r="H407" i="1"/>
  <c r="F407" i="1"/>
  <c r="E407" i="1"/>
  <c r="H406" i="1"/>
  <c r="F406" i="1"/>
  <c r="E406" i="1"/>
  <c r="H405" i="1"/>
  <c r="F405" i="1"/>
  <c r="E405" i="1"/>
  <c r="H404" i="1"/>
  <c r="F404" i="1"/>
  <c r="E404" i="1"/>
  <c r="H403" i="1"/>
  <c r="F403" i="1"/>
  <c r="E403" i="1"/>
  <c r="H402" i="1"/>
  <c r="F402" i="1"/>
  <c r="E402" i="1"/>
  <c r="H401" i="1"/>
  <c r="F401" i="1"/>
  <c r="E401" i="1"/>
  <c r="H400" i="1"/>
  <c r="F400" i="1"/>
  <c r="E400" i="1"/>
  <c r="H399" i="1"/>
  <c r="F399" i="1"/>
  <c r="E399" i="1"/>
  <c r="H398" i="1"/>
  <c r="F398" i="1"/>
  <c r="E398" i="1"/>
  <c r="H397" i="1"/>
  <c r="F397" i="1"/>
  <c r="E397" i="1"/>
  <c r="H396" i="1"/>
  <c r="F396" i="1"/>
  <c r="E396" i="1"/>
  <c r="H395" i="1"/>
  <c r="F395" i="1"/>
  <c r="E395" i="1"/>
  <c r="H394" i="1"/>
  <c r="F394" i="1"/>
  <c r="E394" i="1"/>
  <c r="H393" i="1"/>
  <c r="F393" i="1"/>
  <c r="E393" i="1"/>
  <c r="H392" i="1"/>
  <c r="F392" i="1"/>
  <c r="E392" i="1"/>
  <c r="H391" i="1"/>
  <c r="F391" i="1"/>
  <c r="E391" i="1"/>
  <c r="H390" i="1"/>
  <c r="F390" i="1"/>
  <c r="E390" i="1"/>
  <c r="H389" i="1"/>
  <c r="F389" i="1"/>
  <c r="E389" i="1"/>
  <c r="H388" i="1"/>
  <c r="F388" i="1"/>
  <c r="E388" i="1"/>
  <c r="H387" i="1"/>
  <c r="F387" i="1"/>
  <c r="E387" i="1"/>
  <c r="H386" i="1"/>
  <c r="F386" i="1"/>
  <c r="E386" i="1"/>
  <c r="H385" i="1"/>
  <c r="F385" i="1"/>
  <c r="E385" i="1"/>
  <c r="H384" i="1"/>
  <c r="F384" i="1"/>
  <c r="E384" i="1"/>
  <c r="H383" i="1"/>
  <c r="F383" i="1"/>
  <c r="E383" i="1"/>
  <c r="H382" i="1"/>
  <c r="F382" i="1"/>
  <c r="E382" i="1"/>
  <c r="H381" i="1"/>
  <c r="F381" i="1"/>
  <c r="E381" i="1"/>
  <c r="H380" i="1"/>
  <c r="F380" i="1"/>
  <c r="E380" i="1"/>
  <c r="H379" i="1"/>
  <c r="F379" i="1"/>
  <c r="E379" i="1"/>
  <c r="H378" i="1"/>
  <c r="F378" i="1"/>
  <c r="E378" i="1"/>
  <c r="H377" i="1"/>
  <c r="F377" i="1"/>
  <c r="E377" i="1"/>
  <c r="H376" i="1"/>
  <c r="F376" i="1"/>
  <c r="E376" i="1"/>
  <c r="H375" i="1"/>
  <c r="F375" i="1"/>
  <c r="E375" i="1"/>
  <c r="H374" i="1"/>
  <c r="F374" i="1"/>
  <c r="E374" i="1"/>
  <c r="H373" i="1"/>
  <c r="F373" i="1"/>
  <c r="E373" i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5" i="1"/>
  <c r="F365" i="1"/>
  <c r="E365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9" i="1"/>
  <c r="F359" i="1"/>
  <c r="E359" i="1"/>
  <c r="H358" i="1"/>
  <c r="F358" i="1"/>
  <c r="E358" i="1"/>
  <c r="H357" i="1"/>
  <c r="F357" i="1"/>
  <c r="E357" i="1"/>
  <c r="H356" i="1"/>
  <c r="F356" i="1"/>
  <c r="E356" i="1"/>
  <c r="H355" i="1"/>
  <c r="F355" i="1"/>
  <c r="E355" i="1"/>
  <c r="H354" i="1"/>
  <c r="F354" i="1"/>
  <c r="E354" i="1"/>
  <c r="H353" i="1"/>
  <c r="F353" i="1"/>
  <c r="E353" i="1"/>
  <c r="H352" i="1"/>
  <c r="F352" i="1"/>
  <c r="E352" i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6" i="1"/>
  <c r="F346" i="1"/>
  <c r="E346" i="1"/>
  <c r="H345" i="1"/>
  <c r="F345" i="1"/>
  <c r="E345" i="1"/>
  <c r="H344" i="1"/>
  <c r="F344" i="1"/>
  <c r="E344" i="1"/>
  <c r="H343" i="1"/>
  <c r="F343" i="1"/>
  <c r="E343" i="1"/>
  <c r="H342" i="1"/>
  <c r="F342" i="1"/>
  <c r="E342" i="1"/>
  <c r="H341" i="1"/>
  <c r="F341" i="1"/>
  <c r="E341" i="1"/>
  <c r="H340" i="1"/>
  <c r="F340" i="1"/>
  <c r="E340" i="1"/>
  <c r="H339" i="1"/>
  <c r="F339" i="1"/>
  <c r="E339" i="1"/>
  <c r="H338" i="1"/>
  <c r="F338" i="1"/>
  <c r="E338" i="1"/>
  <c r="H337" i="1"/>
  <c r="F337" i="1"/>
  <c r="E337" i="1"/>
  <c r="H336" i="1"/>
  <c r="F336" i="1"/>
  <c r="E336" i="1"/>
  <c r="H335" i="1"/>
  <c r="F335" i="1"/>
  <c r="E335" i="1"/>
  <c r="H334" i="1"/>
  <c r="F334" i="1"/>
  <c r="E334" i="1"/>
  <c r="H333" i="1"/>
  <c r="F333" i="1"/>
  <c r="E333" i="1"/>
  <c r="H332" i="1"/>
  <c r="F332" i="1"/>
  <c r="E332" i="1"/>
  <c r="H331" i="1"/>
  <c r="F331" i="1"/>
  <c r="E331" i="1"/>
  <c r="H330" i="1"/>
  <c r="F330" i="1"/>
  <c r="E330" i="1"/>
  <c r="H329" i="1"/>
  <c r="F329" i="1"/>
  <c r="E329" i="1"/>
  <c r="H328" i="1"/>
  <c r="F328" i="1"/>
  <c r="E328" i="1"/>
  <c r="H327" i="1"/>
  <c r="F327" i="1"/>
  <c r="E327" i="1"/>
  <c r="H326" i="1"/>
  <c r="F326" i="1"/>
  <c r="E326" i="1"/>
  <c r="H325" i="1"/>
  <c r="F325" i="1"/>
  <c r="E325" i="1"/>
  <c r="H324" i="1"/>
  <c r="F324" i="1"/>
  <c r="E324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7" i="1"/>
  <c r="F317" i="1"/>
  <c r="E317" i="1"/>
  <c r="H316" i="1"/>
  <c r="F316" i="1"/>
  <c r="E316" i="1"/>
  <c r="H315" i="1"/>
  <c r="F315" i="1"/>
  <c r="E315" i="1"/>
  <c r="H314" i="1"/>
  <c r="F314" i="1"/>
  <c r="E314" i="1"/>
  <c r="H313" i="1"/>
  <c r="F313" i="1"/>
  <c r="E313" i="1"/>
  <c r="H312" i="1"/>
  <c r="F312" i="1"/>
  <c r="E312" i="1"/>
  <c r="H311" i="1"/>
  <c r="F311" i="1"/>
  <c r="E311" i="1"/>
  <c r="H310" i="1"/>
  <c r="F310" i="1"/>
  <c r="E310" i="1"/>
  <c r="H309" i="1"/>
  <c r="F309" i="1"/>
  <c r="E309" i="1"/>
  <c r="H308" i="1"/>
  <c r="F308" i="1"/>
  <c r="E308" i="1"/>
  <c r="H307" i="1"/>
  <c r="F307" i="1"/>
  <c r="E307" i="1"/>
  <c r="H306" i="1"/>
  <c r="F306" i="1"/>
  <c r="E306" i="1"/>
  <c r="H305" i="1"/>
  <c r="F305" i="1"/>
  <c r="E305" i="1"/>
  <c r="H304" i="1"/>
  <c r="F304" i="1"/>
  <c r="E304" i="1"/>
  <c r="H303" i="1"/>
  <c r="F303" i="1"/>
  <c r="E303" i="1"/>
  <c r="H302" i="1"/>
  <c r="F302" i="1"/>
  <c r="E302" i="1"/>
  <c r="H301" i="1"/>
  <c r="F301" i="1"/>
  <c r="E301" i="1"/>
  <c r="H300" i="1"/>
  <c r="F300" i="1"/>
  <c r="E300" i="1"/>
  <c r="H299" i="1"/>
  <c r="F299" i="1"/>
  <c r="E299" i="1"/>
  <c r="H298" i="1"/>
  <c r="F298" i="1"/>
  <c r="E298" i="1"/>
  <c r="H297" i="1"/>
  <c r="F297" i="1"/>
  <c r="E297" i="1"/>
  <c r="H296" i="1"/>
  <c r="F296" i="1"/>
  <c r="E296" i="1"/>
  <c r="H295" i="1"/>
  <c r="F295" i="1"/>
  <c r="E295" i="1"/>
  <c r="H294" i="1"/>
  <c r="F294" i="1"/>
  <c r="E294" i="1"/>
  <c r="H293" i="1"/>
  <c r="F293" i="1"/>
  <c r="E293" i="1"/>
  <c r="H292" i="1"/>
  <c r="F292" i="1"/>
  <c r="E292" i="1"/>
  <c r="H291" i="1"/>
  <c r="F291" i="1"/>
  <c r="E291" i="1"/>
  <c r="H290" i="1"/>
  <c r="F290" i="1"/>
  <c r="E290" i="1"/>
  <c r="H289" i="1"/>
  <c r="F289" i="1"/>
  <c r="E289" i="1"/>
  <c r="H288" i="1"/>
  <c r="F288" i="1"/>
  <c r="E288" i="1"/>
  <c r="H287" i="1"/>
  <c r="F287" i="1"/>
  <c r="E287" i="1"/>
  <c r="H286" i="1"/>
  <c r="F286" i="1"/>
  <c r="E286" i="1"/>
  <c r="H285" i="1"/>
  <c r="F285" i="1"/>
  <c r="E285" i="1"/>
  <c r="H284" i="1"/>
  <c r="F284" i="1"/>
  <c r="E284" i="1"/>
  <c r="H283" i="1"/>
  <c r="F283" i="1"/>
  <c r="E283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9" i="1"/>
  <c r="F269" i="1"/>
  <c r="E269" i="1"/>
  <c r="H268" i="1"/>
  <c r="F268" i="1"/>
  <c r="E268" i="1"/>
  <c r="H267" i="1"/>
  <c r="F267" i="1"/>
  <c r="E267" i="1"/>
  <c r="H266" i="1"/>
  <c r="F266" i="1"/>
  <c r="E266" i="1"/>
  <c r="H265" i="1"/>
  <c r="F265" i="1"/>
  <c r="E265" i="1"/>
  <c r="H264" i="1"/>
  <c r="F264" i="1"/>
  <c r="E264" i="1"/>
  <c r="H263" i="1"/>
  <c r="F263" i="1"/>
  <c r="E263" i="1"/>
  <c r="H262" i="1"/>
  <c r="F262" i="1"/>
  <c r="E262" i="1"/>
  <c r="H261" i="1"/>
  <c r="F261" i="1"/>
  <c r="E261" i="1"/>
  <c r="H260" i="1"/>
  <c r="F260" i="1"/>
  <c r="E260" i="1"/>
  <c r="H259" i="1"/>
  <c r="F259" i="1"/>
  <c r="E259" i="1"/>
  <c r="H258" i="1"/>
  <c r="F258" i="1"/>
  <c r="E258" i="1"/>
  <c r="H257" i="1"/>
  <c r="F257" i="1"/>
  <c r="E257" i="1"/>
  <c r="H256" i="1"/>
  <c r="F256" i="1"/>
  <c r="E256" i="1"/>
  <c r="H255" i="1"/>
  <c r="F255" i="1"/>
  <c r="E255" i="1"/>
  <c r="H254" i="1"/>
  <c r="F254" i="1"/>
  <c r="E254" i="1"/>
  <c r="H253" i="1"/>
  <c r="F253" i="1"/>
  <c r="E253" i="1"/>
  <c r="H252" i="1"/>
  <c r="F252" i="1"/>
  <c r="E252" i="1"/>
  <c r="H251" i="1"/>
  <c r="F251" i="1"/>
  <c r="E251" i="1"/>
  <c r="H250" i="1"/>
  <c r="F250" i="1"/>
  <c r="E250" i="1"/>
  <c r="H249" i="1"/>
  <c r="F249" i="1"/>
  <c r="E249" i="1"/>
  <c r="H248" i="1"/>
  <c r="F248" i="1"/>
  <c r="E248" i="1"/>
  <c r="H247" i="1"/>
  <c r="F247" i="1"/>
  <c r="E247" i="1"/>
  <c r="H246" i="1"/>
  <c r="F246" i="1"/>
  <c r="E246" i="1"/>
  <c r="H245" i="1"/>
  <c r="F245" i="1"/>
  <c r="E245" i="1"/>
  <c r="H244" i="1"/>
  <c r="F244" i="1"/>
  <c r="E244" i="1"/>
  <c r="H243" i="1"/>
  <c r="F243" i="1"/>
  <c r="E243" i="1"/>
  <c r="H242" i="1"/>
  <c r="F242" i="1"/>
  <c r="E242" i="1"/>
  <c r="H241" i="1"/>
  <c r="F241" i="1"/>
  <c r="E241" i="1"/>
  <c r="H240" i="1"/>
  <c r="F240" i="1"/>
  <c r="E240" i="1"/>
  <c r="H239" i="1"/>
  <c r="F239" i="1"/>
  <c r="E239" i="1"/>
  <c r="H238" i="1"/>
  <c r="F238" i="1"/>
  <c r="E238" i="1"/>
  <c r="H237" i="1"/>
  <c r="F237" i="1"/>
  <c r="E237" i="1"/>
  <c r="H236" i="1"/>
  <c r="F236" i="1"/>
  <c r="E236" i="1"/>
  <c r="H235" i="1"/>
  <c r="F235" i="1"/>
  <c r="E235" i="1"/>
  <c r="H234" i="1"/>
  <c r="F234" i="1"/>
  <c r="E234" i="1"/>
  <c r="H233" i="1"/>
  <c r="F233" i="1"/>
  <c r="E233" i="1"/>
  <c r="H232" i="1"/>
  <c r="F232" i="1"/>
  <c r="E232" i="1"/>
  <c r="H231" i="1"/>
  <c r="F231" i="1"/>
  <c r="E231" i="1"/>
  <c r="H230" i="1"/>
  <c r="F230" i="1"/>
  <c r="E230" i="1"/>
  <c r="H229" i="1"/>
  <c r="F229" i="1"/>
  <c r="E229" i="1"/>
  <c r="H228" i="1"/>
  <c r="F228" i="1"/>
  <c r="E228" i="1"/>
  <c r="H227" i="1"/>
  <c r="F227" i="1"/>
  <c r="E227" i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7" i="1"/>
  <c r="F217" i="1"/>
  <c r="E217" i="1"/>
  <c r="H216" i="1"/>
  <c r="F216" i="1"/>
  <c r="E216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11" i="1"/>
  <c r="F211" i="1"/>
  <c r="E211" i="1"/>
  <c r="H210" i="1"/>
  <c r="F210" i="1"/>
  <c r="E210" i="1"/>
  <c r="H209" i="1"/>
  <c r="F209" i="1"/>
  <c r="E209" i="1"/>
  <c r="H208" i="1"/>
  <c r="F208" i="1"/>
  <c r="E208" i="1"/>
  <c r="H207" i="1"/>
  <c r="F207" i="1"/>
  <c r="E207" i="1"/>
  <c r="H206" i="1"/>
  <c r="F206" i="1"/>
  <c r="E206" i="1"/>
  <c r="H205" i="1"/>
  <c r="F205" i="1"/>
  <c r="E205" i="1"/>
  <c r="H204" i="1"/>
  <c r="F204" i="1"/>
  <c r="E204" i="1"/>
  <c r="H203" i="1"/>
  <c r="F203" i="1"/>
  <c r="E203" i="1"/>
  <c r="H202" i="1"/>
  <c r="F202" i="1"/>
  <c r="E202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7" i="1"/>
  <c r="F197" i="1"/>
  <c r="E197" i="1"/>
  <c r="H196" i="1"/>
  <c r="F196" i="1"/>
  <c r="E196" i="1"/>
  <c r="H195" i="1"/>
  <c r="F195" i="1"/>
  <c r="E195" i="1"/>
  <c r="H194" i="1"/>
  <c r="F194" i="1"/>
  <c r="E194" i="1"/>
  <c r="H193" i="1"/>
  <c r="F193" i="1"/>
  <c r="E193" i="1"/>
  <c r="H192" i="1"/>
  <c r="F192" i="1"/>
  <c r="E192" i="1"/>
  <c r="H191" i="1"/>
  <c r="F191" i="1"/>
  <c r="E191" i="1"/>
  <c r="H190" i="1"/>
  <c r="F190" i="1"/>
  <c r="E190" i="1"/>
  <c r="H189" i="1"/>
  <c r="F189" i="1"/>
  <c r="E189" i="1"/>
  <c r="H188" i="1"/>
  <c r="F188" i="1"/>
  <c r="E188" i="1"/>
  <c r="H187" i="1"/>
  <c r="F187" i="1"/>
  <c r="E187" i="1"/>
  <c r="H186" i="1"/>
  <c r="F186" i="1"/>
  <c r="E186" i="1"/>
  <c r="H185" i="1"/>
  <c r="F185" i="1"/>
  <c r="E185" i="1"/>
  <c r="H184" i="1"/>
  <c r="F184" i="1"/>
  <c r="E184" i="1"/>
  <c r="H183" i="1"/>
  <c r="F183" i="1"/>
  <c r="E183" i="1"/>
  <c r="H182" i="1"/>
  <c r="F182" i="1"/>
  <c r="E182" i="1"/>
  <c r="H181" i="1"/>
  <c r="F181" i="1"/>
  <c r="E181" i="1"/>
  <c r="H180" i="1"/>
  <c r="F180" i="1"/>
  <c r="E180" i="1"/>
  <c r="H179" i="1"/>
  <c r="F179" i="1"/>
  <c r="E179" i="1"/>
  <c r="H178" i="1"/>
  <c r="F178" i="1"/>
  <c r="E178" i="1"/>
  <c r="H177" i="1"/>
  <c r="F177" i="1"/>
  <c r="E177" i="1"/>
  <c r="H176" i="1"/>
  <c r="F176" i="1"/>
  <c r="E176" i="1"/>
  <c r="H175" i="1"/>
  <c r="F175" i="1"/>
  <c r="E175" i="1"/>
  <c r="H174" i="1"/>
  <c r="F174" i="1"/>
  <c r="E174" i="1"/>
  <c r="H173" i="1"/>
  <c r="F173" i="1"/>
  <c r="E173" i="1"/>
  <c r="H172" i="1"/>
  <c r="F172" i="1"/>
  <c r="E172" i="1"/>
  <c r="H171" i="1"/>
  <c r="F171" i="1"/>
  <c r="E171" i="1"/>
  <c r="H170" i="1"/>
  <c r="F170" i="1"/>
  <c r="E170" i="1"/>
  <c r="H169" i="1"/>
  <c r="F169" i="1"/>
  <c r="E169" i="1"/>
  <c r="H168" i="1"/>
  <c r="F168" i="1"/>
  <c r="E168" i="1"/>
  <c r="H167" i="1"/>
  <c r="F167" i="1"/>
  <c r="E167" i="1"/>
  <c r="H166" i="1"/>
  <c r="F166" i="1"/>
  <c r="E166" i="1"/>
  <c r="H165" i="1"/>
  <c r="F165" i="1"/>
  <c r="E165" i="1"/>
  <c r="H164" i="1"/>
  <c r="F164" i="1"/>
  <c r="E164" i="1"/>
  <c r="H163" i="1"/>
  <c r="F163" i="1"/>
  <c r="E163" i="1"/>
  <c r="H162" i="1"/>
  <c r="F162" i="1"/>
  <c r="E162" i="1"/>
  <c r="H161" i="1"/>
  <c r="F161" i="1"/>
  <c r="E161" i="1"/>
  <c r="H160" i="1"/>
  <c r="F160" i="1"/>
  <c r="E160" i="1"/>
  <c r="H159" i="1"/>
  <c r="F159" i="1"/>
  <c r="E159" i="1"/>
  <c r="H158" i="1"/>
  <c r="F158" i="1"/>
  <c r="E158" i="1"/>
  <c r="H157" i="1"/>
  <c r="F157" i="1"/>
  <c r="E157" i="1"/>
  <c r="H156" i="1"/>
  <c r="F156" i="1"/>
  <c r="E156" i="1"/>
  <c r="H155" i="1"/>
  <c r="F155" i="1"/>
  <c r="E155" i="1"/>
  <c r="H154" i="1"/>
  <c r="F154" i="1"/>
  <c r="E154" i="1"/>
  <c r="H153" i="1"/>
  <c r="F153" i="1"/>
  <c r="E153" i="1"/>
  <c r="H152" i="1"/>
  <c r="F152" i="1"/>
  <c r="E152" i="1"/>
  <c r="H151" i="1"/>
  <c r="F151" i="1"/>
  <c r="E151" i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9" i="1"/>
  <c r="F139" i="1"/>
  <c r="E139" i="1"/>
  <c r="H138" i="1"/>
  <c r="F138" i="1"/>
  <c r="E138" i="1"/>
  <c r="H137" i="1"/>
  <c r="F137" i="1"/>
  <c r="E137" i="1"/>
  <c r="H136" i="1"/>
  <c r="F136" i="1"/>
  <c r="E136" i="1"/>
  <c r="H135" i="1"/>
  <c r="F135" i="1"/>
  <c r="E135" i="1"/>
  <c r="H134" i="1"/>
  <c r="F134" i="1"/>
  <c r="E134" i="1"/>
  <c r="H133" i="1"/>
  <c r="F133" i="1"/>
  <c r="E133" i="1"/>
  <c r="H132" i="1"/>
  <c r="F132" i="1"/>
  <c r="E132" i="1"/>
  <c r="H131" i="1"/>
  <c r="F131" i="1"/>
  <c r="E131" i="1"/>
  <c r="H130" i="1"/>
  <c r="F130" i="1"/>
  <c r="E130" i="1"/>
  <c r="H129" i="1"/>
  <c r="F129" i="1"/>
  <c r="E129" i="1"/>
  <c r="H128" i="1"/>
  <c r="F128" i="1"/>
  <c r="E128" i="1"/>
  <c r="H127" i="1"/>
  <c r="F127" i="1"/>
  <c r="E127" i="1"/>
  <c r="H126" i="1"/>
  <c r="F126" i="1"/>
  <c r="E126" i="1"/>
  <c r="H125" i="1"/>
  <c r="F125" i="1"/>
  <c r="E125" i="1"/>
  <c r="H124" i="1"/>
  <c r="F124" i="1"/>
  <c r="E124" i="1"/>
  <c r="H123" i="1"/>
  <c r="F123" i="1"/>
  <c r="E123" i="1"/>
  <c r="H122" i="1"/>
  <c r="F122" i="1"/>
  <c r="E122" i="1"/>
  <c r="H121" i="1"/>
  <c r="F121" i="1"/>
  <c r="E121" i="1"/>
  <c r="H120" i="1"/>
  <c r="F120" i="1"/>
  <c r="E120" i="1"/>
  <c r="H119" i="1"/>
  <c r="F119" i="1"/>
  <c r="E119" i="1"/>
  <c r="H118" i="1"/>
  <c r="F118" i="1"/>
  <c r="E118" i="1"/>
  <c r="H117" i="1"/>
  <c r="F117" i="1"/>
  <c r="E117" i="1"/>
  <c r="H116" i="1"/>
  <c r="F116" i="1"/>
  <c r="E116" i="1"/>
  <c r="H115" i="1"/>
  <c r="F115" i="1"/>
  <c r="E115" i="1"/>
  <c r="H114" i="1"/>
  <c r="F114" i="1"/>
  <c r="E114" i="1"/>
  <c r="H113" i="1"/>
  <c r="F113" i="1"/>
  <c r="E113" i="1"/>
  <c r="H112" i="1"/>
  <c r="F112" i="1"/>
  <c r="E112" i="1"/>
  <c r="H111" i="1"/>
  <c r="F111" i="1"/>
  <c r="E111" i="1"/>
  <c r="H110" i="1"/>
  <c r="F110" i="1"/>
  <c r="E110" i="1"/>
  <c r="H109" i="1"/>
  <c r="F109" i="1"/>
  <c r="E109" i="1"/>
  <c r="H108" i="1"/>
  <c r="F108" i="1"/>
  <c r="E108" i="1"/>
  <c r="H107" i="1"/>
  <c r="F107" i="1"/>
  <c r="E107" i="1"/>
  <c r="H106" i="1"/>
  <c r="F106" i="1"/>
  <c r="E106" i="1"/>
  <c r="H105" i="1"/>
  <c r="F105" i="1"/>
  <c r="E105" i="1"/>
  <c r="H104" i="1"/>
  <c r="F104" i="1"/>
  <c r="E104" i="1"/>
  <c r="H103" i="1"/>
  <c r="F103" i="1"/>
  <c r="E103" i="1"/>
  <c r="H102" i="1"/>
  <c r="F102" i="1"/>
  <c r="E102" i="1"/>
  <c r="H101" i="1"/>
  <c r="F101" i="1"/>
  <c r="E101" i="1"/>
  <c r="H100" i="1"/>
  <c r="F100" i="1"/>
  <c r="E100" i="1"/>
  <c r="H99" i="1"/>
  <c r="F99" i="1"/>
  <c r="E99" i="1"/>
  <c r="H98" i="1"/>
  <c r="F98" i="1"/>
  <c r="E98" i="1"/>
  <c r="H97" i="1"/>
  <c r="F97" i="1"/>
  <c r="E97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5" i="1"/>
  <c r="F85" i="1"/>
  <c r="E85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2" i="1"/>
  <c r="F72" i="1"/>
  <c r="E72" i="1"/>
  <c r="H71" i="1"/>
  <c r="F71" i="1"/>
  <c r="E71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5" i="1"/>
  <c r="F55" i="1"/>
  <c r="E55" i="1"/>
  <c r="H54" i="1"/>
  <c r="F54" i="1"/>
  <c r="E54" i="1"/>
  <c r="H53" i="1"/>
  <c r="F53" i="1"/>
  <c r="E53" i="1"/>
  <c r="H52" i="1"/>
  <c r="F52" i="1"/>
  <c r="E52" i="1"/>
  <c r="H51" i="1"/>
  <c r="F51" i="1"/>
  <c r="E51" i="1"/>
  <c r="H50" i="1"/>
  <c r="F50" i="1"/>
  <c r="E50" i="1"/>
  <c r="H49" i="1"/>
  <c r="F49" i="1"/>
  <c r="E49" i="1"/>
  <c r="H48" i="1"/>
  <c r="F48" i="1"/>
  <c r="E48" i="1"/>
  <c r="H47" i="1"/>
  <c r="F47" i="1"/>
  <c r="E47" i="1"/>
  <c r="H46" i="1"/>
  <c r="F46" i="1"/>
  <c r="E46" i="1"/>
  <c r="H45" i="1"/>
  <c r="F45" i="1"/>
  <c r="E45" i="1"/>
  <c r="H44" i="1"/>
  <c r="F44" i="1"/>
  <c r="E44" i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8" i="1"/>
  <c r="F38" i="1"/>
  <c r="E38" i="1"/>
  <c r="H37" i="1"/>
  <c r="F37" i="1"/>
  <c r="E37" i="1"/>
  <c r="H36" i="1"/>
  <c r="F36" i="1"/>
  <c r="E36" i="1"/>
  <c r="H35" i="1"/>
  <c r="F35" i="1"/>
  <c r="E35" i="1"/>
  <c r="H34" i="1"/>
  <c r="F34" i="1"/>
  <c r="E34" i="1"/>
  <c r="H33" i="1"/>
  <c r="F33" i="1"/>
  <c r="E33" i="1"/>
  <c r="H32" i="1"/>
  <c r="F32" i="1"/>
  <c r="E32" i="1"/>
  <c r="H31" i="1"/>
  <c r="F31" i="1"/>
  <c r="E31" i="1"/>
  <c r="H30" i="1"/>
  <c r="F30" i="1"/>
  <c r="E30" i="1"/>
  <c r="H29" i="1"/>
  <c r="F29" i="1"/>
  <c r="E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22" i="1"/>
  <c r="F22" i="1"/>
  <c r="E22" i="1"/>
  <c r="H21" i="1"/>
  <c r="F21" i="1"/>
  <c r="E21" i="1"/>
  <c r="H20" i="1"/>
  <c r="F20" i="1"/>
  <c r="E20" i="1"/>
  <c r="H19" i="1"/>
  <c r="F19" i="1"/>
  <c r="E19" i="1"/>
  <c r="H18" i="1"/>
  <c r="F18" i="1"/>
  <c r="E18" i="1"/>
  <c r="H17" i="1"/>
  <c r="F17" i="1"/>
  <c r="E17" i="1"/>
  <c r="H16" i="1"/>
  <c r="F16" i="1"/>
  <c r="E16" i="1"/>
  <c r="H15" i="1"/>
  <c r="F15" i="1"/>
  <c r="E15" i="1"/>
  <c r="H14" i="1"/>
  <c r="F14" i="1"/>
  <c r="E14" i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8" i="1"/>
  <c r="F8" i="1"/>
  <c r="E8" i="1"/>
  <c r="H7" i="1"/>
  <c r="F7" i="1"/>
  <c r="E7" i="1"/>
  <c r="H6" i="1"/>
  <c r="F6" i="1"/>
  <c r="E6" i="1"/>
  <c r="H5" i="1"/>
  <c r="F5" i="1"/>
  <c r="E5" i="1"/>
  <c r="H4" i="1"/>
  <c r="F4" i="1"/>
  <c r="E4" i="1"/>
  <c r="H3" i="1"/>
  <c r="F3" i="1"/>
  <c r="E3" i="1"/>
  <c r="H2" i="1"/>
  <c r="F2" i="1"/>
  <c r="E2" i="1"/>
</calcChain>
</file>

<file path=xl/sharedStrings.xml><?xml version="1.0" encoding="utf-8"?>
<sst xmlns="http://schemas.openxmlformats.org/spreadsheetml/2006/main" count="595" uniqueCount="447">
  <si>
    <t>Name</t>
  </si>
  <si>
    <t>Check #</t>
  </si>
  <si>
    <t>Check Amount</t>
  </si>
  <si>
    <t>Check Date</t>
  </si>
  <si>
    <t>Invoice ID</t>
  </si>
  <si>
    <t>Invoice Desc</t>
  </si>
  <si>
    <t xml:space="preserve">GL Amount </t>
  </si>
  <si>
    <t>GL Description</t>
  </si>
  <si>
    <t>304 CONSTRUCTION LLC</t>
  </si>
  <si>
    <t>973 MATERIALS  LLC</t>
  </si>
  <si>
    <t>A B C PEST CONTROL  INC. OF AUSTIN</t>
  </si>
  <si>
    <t>ARNOLD OIL COMPANY OF AUSTIN LP</t>
  </si>
  <si>
    <t>ADAM DAKOTA ROWINS</t>
  </si>
  <si>
    <t>ADENA LEWIS</t>
  </si>
  <si>
    <t>ADVANCED GRAPHIX INC</t>
  </si>
  <si>
    <t>ALBERT NEAL PFEIFFER</t>
  </si>
  <si>
    <t>1ALL STAR ROLL OFF AND BACKHOE SERVICES LLC</t>
  </si>
  <si>
    <t>AMANDA MICKELSON</t>
  </si>
  <si>
    <t>AMAZON CAPITAL SERVICES INC</t>
  </si>
  <si>
    <t>AMAZON.COM LLC</t>
  </si>
  <si>
    <t>AMERICAN ASSN OF NOTARIES</t>
  </si>
  <si>
    <t>ANDERSON &amp; ANDERSON LAW FIRM PC</t>
  </si>
  <si>
    <t>ANIXTER INC</t>
  </si>
  <si>
    <t>C APPLEMAN ENT INC</t>
  </si>
  <si>
    <t>AQUA BEVERAGE COMPANY/OZARKA</t>
  </si>
  <si>
    <t>AQUA WATER SUPPLY CORPORATION</t>
  </si>
  <si>
    <t>ARCHITEXAS - ARCHITECTURE  PLANNING &amp; HISTORIC PRE</t>
  </si>
  <si>
    <t>ARSENAL ADVERTISING LLC</t>
  </si>
  <si>
    <t>ASCENSION SETON</t>
  </si>
  <si>
    <t>ASSOCIATED SUPPLY COMPANY  INC.</t>
  </si>
  <si>
    <t>ASHLEY HERMANS</t>
  </si>
  <si>
    <t>ASPHALT PATCH ENTERPRISES  INC.</t>
  </si>
  <si>
    <t>AT&amp;T</t>
  </si>
  <si>
    <t>AT&amp;T MOBILITY</t>
  </si>
  <si>
    <t>AUGUST G MEDUNA  JR</t>
  </si>
  <si>
    <t>RALPH E BONNELL CIH</t>
  </si>
  <si>
    <t>AUSTIN RADIOLOGICAL ASSOC</t>
  </si>
  <si>
    <t>AUTUMN CHEEK</t>
  </si>
  <si>
    <t>AXON ENTERPRISE  INC.</t>
  </si>
  <si>
    <t>MICHAEL OLDHAM TIRE INC</t>
  </si>
  <si>
    <t>EDUARDO BARRIENTOS</t>
  </si>
  <si>
    <t>BASTROP COUNTY SHERIFF'S DEPT</t>
  </si>
  <si>
    <t>DANIEL L HEPKER</t>
  </si>
  <si>
    <t>BASTROP COUNTY CARES</t>
  </si>
  <si>
    <t>BASTROP COUNTY TAX ASSESSOR</t>
  </si>
  <si>
    <t>BASTROP COUNTY ADULT PROBATION</t>
  </si>
  <si>
    <t>BASTROP PROVIDENCE  LLC</t>
  </si>
  <si>
    <t>BASTROP VETERINARY HOSPITAL  INC.</t>
  </si>
  <si>
    <t>DAVID H OUTON</t>
  </si>
  <si>
    <t>DOUGLAS S. LACEY</t>
  </si>
  <si>
    <t>BEN E KEITH CO.</t>
  </si>
  <si>
    <t>B C FOOD GROUP  LLC</t>
  </si>
  <si>
    <t>BIG CITY CRUSHED CONCRETE  LLC</t>
  </si>
  <si>
    <t>BIG WRENCH ROAD SERVICE INC</t>
  </si>
  <si>
    <t>MAURINE MC LEAN</t>
  </si>
  <si>
    <t>BIMBO FOODS INC</t>
  </si>
  <si>
    <t>BLAS J. COY  JR.</t>
  </si>
  <si>
    <t>BLUE 360 MEDIA  LLC</t>
  </si>
  <si>
    <t>BLUEBONNET AREA CRIME STOPPERS PROGRAM</t>
  </si>
  <si>
    <t>BLUEBONNET ELECTRIC COOPERATIVE  INC.</t>
  </si>
  <si>
    <t>BLUEBONNET TRAILS MHMR</t>
  </si>
  <si>
    <t>BOB BARKER COMPANY  INC.</t>
  </si>
  <si>
    <t>BOBBY BROWN</t>
  </si>
  <si>
    <t>BOEHRINGER INGELHEIM ANIMAL HEALTH USA INC.</t>
  </si>
  <si>
    <t>BONS BARRICADES  INC</t>
  </si>
  <si>
    <t>BRAUNTEX MATERIALS INC</t>
  </si>
  <si>
    <t>BRAZORIA COUNTY SHERIFF</t>
  </si>
  <si>
    <t>LAW OFFICE OF BRYAN W. MCDANIEL  P.C.</t>
  </si>
  <si>
    <t>BUREAU OF VITAL STATISTICS</t>
  </si>
  <si>
    <t>CALBRI ROAD &amp; BRIDGE LLC</t>
  </si>
  <si>
    <t>CAMPBELL PET COMPANY</t>
  </si>
  <si>
    <t>CAPITAL AREA COUNCIL OF GOVERNMENTS</t>
  </si>
  <si>
    <t>TIB-THE INDEPENDENT BANKERS BANK</t>
  </si>
  <si>
    <t>CAROLYN DILL</t>
  </si>
  <si>
    <t>CENTERPOINT ENERGY</t>
  </si>
  <si>
    <t>CENTEX IMAGE DESIGNS  LLC</t>
  </si>
  <si>
    <t>TIMOTHY LYLE HENNING</t>
  </si>
  <si>
    <t>CHARM-TEX</t>
  </si>
  <si>
    <t>ANTHONY WOODS</t>
  </si>
  <si>
    <t>CHRIS MATT DILLON</t>
  </si>
  <si>
    <t>CHRISTINE FILES</t>
  </si>
  <si>
    <t>CINTAS</t>
  </si>
  <si>
    <t>CINTAS CORPORATION</t>
  </si>
  <si>
    <t>CITIBANK</t>
  </si>
  <si>
    <t>CITY OF BASTROP</t>
  </si>
  <si>
    <t>CITY OF SMITHVILLE</t>
  </si>
  <si>
    <t>CLINICAL PATHOLOGY LABORATORIES INC</t>
  </si>
  <si>
    <t>COMMUNITY HEALTH CENTERS</t>
  </si>
  <si>
    <t>CONNECTED NATION  INC.</t>
  </si>
  <si>
    <t>CONNIE CAMERON RABEL</t>
  </si>
  <si>
    <t>CONNIE SCHROEDER</t>
  </si>
  <si>
    <t>CONOR BROWN</t>
  </si>
  <si>
    <t>COOPER EQUIPMENT CO.</t>
  </si>
  <si>
    <t>COVERTTRACK GROUP INC</t>
  </si>
  <si>
    <t>BUTLER ANIMAL HEALTH HOLDING COMPANY  LLC</t>
  </si>
  <si>
    <t>CRAIG WINTER</t>
  </si>
  <si>
    <t>CRESSIDA EVELYN KWOLEK  Ph.D.</t>
  </si>
  <si>
    <t>CUMMINS-ALLISON CORP</t>
  </si>
  <si>
    <t>DALLAS COUNTY CONSTABLE PCT 1</t>
  </si>
  <si>
    <t>JOHN DAVID LEWIS</t>
  </si>
  <si>
    <t>DAVID M COLLINS</t>
  </si>
  <si>
    <t>DEAN DAIRY CORPORATE  LLC</t>
  </si>
  <si>
    <t>DEBRA A DENNY</t>
  </si>
  <si>
    <t>DELL</t>
  </si>
  <si>
    <t>DENTRUST DENTAL TX PC</t>
  </si>
  <si>
    <t>DEPT OF STATE HEALTH SERV</t>
  </si>
  <si>
    <t>DIANA P TRIANA</t>
  </si>
  <si>
    <t>DICKENS LOCKSMITH INC</t>
  </si>
  <si>
    <t>TEXAS DEPARTMENT OF INFORMATION RESOURCES</t>
  </si>
  <si>
    <t>DISCOUNT DOOR &amp; METAL  LLC</t>
  </si>
  <si>
    <t>DISCOUNT FEEDS &amp; SUPPLIES</t>
  </si>
  <si>
    <t>THE REINALT - THOMAS CORPORATION</t>
  </si>
  <si>
    <t>DONNA D HAGEN</t>
  </si>
  <si>
    <t>DONNIE STARK</t>
  </si>
  <si>
    <t>DORA HERNANDEZ</t>
  </si>
  <si>
    <t>DOUBLE D INTERNATIONAL FOOD CO.  INC.</t>
  </si>
  <si>
    <t>DOUCET &amp; ASSOCIATES  INC</t>
  </si>
  <si>
    <t>KRISTI ARRINGTON KALLINA</t>
  </si>
  <si>
    <t>DUNNE &amp; JUAREZ L.L.C.</t>
  </si>
  <si>
    <t>DAVID MCMULLEN</t>
  </si>
  <si>
    <t>EASYVOTE SOLUTIONS LLC</t>
  </si>
  <si>
    <t>ECOLAB INC</t>
  </si>
  <si>
    <t>EDDIE THOMAS</t>
  </si>
  <si>
    <t>EDEN K9 CONSULTING &amp; TRAINING CORP</t>
  </si>
  <si>
    <t>ELANCO US INC</t>
  </si>
  <si>
    <t>ELECTION SYSTEMS &amp; SOFTWARE INC</t>
  </si>
  <si>
    <t>MILLER CONSULTATIONS &amp; ELECTIONS INC</t>
  </si>
  <si>
    <t>MOON HONG</t>
  </si>
  <si>
    <t>ELGIN METHODIST CHURCH</t>
  </si>
  <si>
    <t>CITY OF ELGIN UTILITIES</t>
  </si>
  <si>
    <t>ERGON ASPHALT &amp; EMULSIONS INC</t>
  </si>
  <si>
    <t>EWALD KUBOTA  INC.</t>
  </si>
  <si>
    <t>EWING MASON MARTIN II</t>
  </si>
  <si>
    <t>BASTROP COUNTY WOMEN'S SHELTER</t>
  </si>
  <si>
    <t>FEDERAL EXPRESS</t>
  </si>
  <si>
    <t>FEDEX</t>
  </si>
  <si>
    <t>FIRST NATIONAL BANK BASTROP</t>
  </si>
  <si>
    <t>FLEETPRIDE</t>
  </si>
  <si>
    <t>4283929 DELAWARE LLC</t>
  </si>
  <si>
    <t>SCOTT ALLEN JOHNSON</t>
  </si>
  <si>
    <t>FORREST L. SANDERSON</t>
  </si>
  <si>
    <t>FRANCES HUNTER</t>
  </si>
  <si>
    <t>AUSTIN TRUCK AND EQUIPMENT  LTD</t>
  </si>
  <si>
    <t>EUGENE W BRIGGS JR</t>
  </si>
  <si>
    <t>GALLS PARENT HOLDINGS LLC</t>
  </si>
  <si>
    <t>GARLAND T MURLEY</t>
  </si>
  <si>
    <t>GARLAND/DBS  INC.</t>
  </si>
  <si>
    <t>GIPSON PENDERGRASS PEOPLE'S MORTUARY LLC</t>
  </si>
  <si>
    <t>GOVERNMENT PAYMENTS</t>
  </si>
  <si>
    <t>GRAINGER INC</t>
  </si>
  <si>
    <t>GREG E NORMAN</t>
  </si>
  <si>
    <t>GT DISTRIBUTORS  INC.</t>
  </si>
  <si>
    <t>GULF COAST PAPER CO. INC.</t>
  </si>
  <si>
    <t>H&amp;H OIL  L.P.</t>
  </si>
  <si>
    <t>H.A. GRAY &amp; ASSOCIATES</t>
  </si>
  <si>
    <t>DOUGLAS D. SPILLMAN</t>
  </si>
  <si>
    <t>HAVIS INC</t>
  </si>
  <si>
    <t>HAWK ANALYTICS INC</t>
  </si>
  <si>
    <t>HAYLEY STITELER</t>
  </si>
  <si>
    <t>BASCOM L HODGES JR</t>
  </si>
  <si>
    <t>HODGSON G ECKEL</t>
  </si>
  <si>
    <t>HOLLY TUCKER</t>
  </si>
  <si>
    <t>BD HOLT CO</t>
  </si>
  <si>
    <t>CITIBANK (SOUTH DAKOTA)N.A./THE HOME DEPOT</t>
  </si>
  <si>
    <t>NORTHWEST CASCADE INC</t>
  </si>
  <si>
    <t>AMERICAS EQUINE WAREHOUSE  INC.</t>
  </si>
  <si>
    <t>HEAT TRANSFER SOLUTIONS  INC.</t>
  </si>
  <si>
    <t>HYDRAULIC HOUSE INC</t>
  </si>
  <si>
    <t>IDEXX DISTRIBUTION INC</t>
  </si>
  <si>
    <t>INDIGENT HEALTHCARE SOLUTIONS</t>
  </si>
  <si>
    <t>INTERNATIONAL E-Z UP  INC</t>
  </si>
  <si>
    <t>IRON MOUNTAIN RECORDS MGMT INC</t>
  </si>
  <si>
    <t>ISI COMMERCIAL REFRIGERATION LLC</t>
  </si>
  <si>
    <t>J D LANGLEY</t>
  </si>
  <si>
    <t>JAMES MILLER</t>
  </si>
  <si>
    <t>JANET L. LYNN</t>
  </si>
  <si>
    <t>JAYCEE DAWSON</t>
  </si>
  <si>
    <t>JENKINS &amp; JENKINS LLP</t>
  </si>
  <si>
    <t>JEREMY MOEHNKE</t>
  </si>
  <si>
    <t>JAMES MORGAN</t>
  </si>
  <si>
    <t>JO DAWN BOMAR</t>
  </si>
  <si>
    <t>JON ETHEREDGE</t>
  </si>
  <si>
    <t>JOSEPH ANN OTIS</t>
  </si>
  <si>
    <t>JUSTIN MATTHEW FOHN</t>
  </si>
  <si>
    <t>MAX ACOSTA-RUBIO</t>
  </si>
  <si>
    <t>KENNETH LIMUEL</t>
  </si>
  <si>
    <t>KENT BROUSSARD TOWER RENTAL INC</t>
  </si>
  <si>
    <t>KOETTER FIRE PROTECTION OF AUSTIN  LLC</t>
  </si>
  <si>
    <t>THE LA GRANGE PARTS HOUSE INC</t>
  </si>
  <si>
    <t>LABATT INSTITUTIONAL SUPPLY CO</t>
  </si>
  <si>
    <t>LAKE COUNTRY CHEVROLET  INC.</t>
  </si>
  <si>
    <t>LARA WILSON</t>
  </si>
  <si>
    <t>LAUREN OTT</t>
  </si>
  <si>
    <t>LAURENCE DUNNE  II</t>
  </si>
  <si>
    <t>LEE COUNTY SHERIFF</t>
  </si>
  <si>
    <t>LEE COUNTY WATER SUPPLY CORP</t>
  </si>
  <si>
    <t>LENNOX INDUSTRIES INC</t>
  </si>
  <si>
    <t>LEON A PRASEK</t>
  </si>
  <si>
    <t>LEXISNEXIS RISK DATA MGMT INC</t>
  </si>
  <si>
    <t>LIBERTY TIRE RECYCLING</t>
  </si>
  <si>
    <t>LINDSEY SIMMONS</t>
  </si>
  <si>
    <t>LLANO COUNTY SHERIFF</t>
  </si>
  <si>
    <t>ASPHALT  INC.</t>
  </si>
  <si>
    <t>SCOTT BRYANT</t>
  </si>
  <si>
    <t>LOWE'S</t>
  </si>
  <si>
    <t>LYNN PEAVEY CO.</t>
  </si>
  <si>
    <t>MACKAY COMMUNICATIONS  INC</t>
  </si>
  <si>
    <t>MANATRON  INC</t>
  </si>
  <si>
    <t>MARIA ANFOSSO</t>
  </si>
  <si>
    <t>MARIDEL BORREGO</t>
  </si>
  <si>
    <t>MARK DAUBE</t>
  </si>
  <si>
    <t>JOHN W GASPARINI INC</t>
  </si>
  <si>
    <t>MARX RAY HOWELL</t>
  </si>
  <si>
    <t>MARY BETH SCOTT</t>
  </si>
  <si>
    <t>MASTER WORD SERVICES  INC.</t>
  </si>
  <si>
    <t>MATHESON TRI-GAS INC</t>
  </si>
  <si>
    <t>McCOY'S BUILDING SUPPLY CENTER</t>
  </si>
  <si>
    <t>McCREARY  VESELKA  BRAGG &amp; ALLEN P</t>
  </si>
  <si>
    <t>McKESSON MEDICAL-SURGICAL GOVERNMENT SOLUTIONS LLC</t>
  </si>
  <si>
    <t>MEDIMPACT HEALTHCARE SYSTEMS INC</t>
  </si>
  <si>
    <t>MELLANIE MICKELSON</t>
  </si>
  <si>
    <t>INTERVET INC</t>
  </si>
  <si>
    <t>MICHELE FRITSCHE C.S.R.</t>
  </si>
  <si>
    <t>MIDTEX MATERIALS</t>
  </si>
  <si>
    <t>MIKE FORSTNER'S WATERLIFE</t>
  </si>
  <si>
    <t>FRANCES ELIZABETH DRUCK</t>
  </si>
  <si>
    <t>KIRSTEN GILLIAM GLENN</t>
  </si>
  <si>
    <t>ELIZABETH VALLE</t>
  </si>
  <si>
    <t>HEATH EDWARD FREPPON</t>
  </si>
  <si>
    <t>GLENIS JANELL MCBEE</t>
  </si>
  <si>
    <t>JEFF BELL MILLER JR</t>
  </si>
  <si>
    <t>RICHARD GERARD AMAYA</t>
  </si>
  <si>
    <t>AMY MICHELLE COLTER</t>
  </si>
  <si>
    <t>STARBUCK LYNN GAUL</t>
  </si>
  <si>
    <t>ROBIN LYNN LILLEY</t>
  </si>
  <si>
    <t>CLARK RONALD BERNHARD</t>
  </si>
  <si>
    <t>MOISES OR CAROLINE GUERRERO</t>
  </si>
  <si>
    <t>MONSIDO  INC.</t>
  </si>
  <si>
    <t>MOTOROLA SOLUTIONS  IN.C</t>
  </si>
  <si>
    <t>NATIONAL ASSN. OF COUNTIES</t>
  </si>
  <si>
    <t>NATIONAL FOOD GROUP INC</t>
  </si>
  <si>
    <t>NEMO-Q INC</t>
  </si>
  <si>
    <t>NOTEPAGE INC</t>
  </si>
  <si>
    <t>NUECES FARM CENTER</t>
  </si>
  <si>
    <t>O'REILLY AUTOMOTIVE  INC.</t>
  </si>
  <si>
    <t>OFFICE DEPOT</t>
  </si>
  <si>
    <t>ON SITE SERVICES</t>
  </si>
  <si>
    <t>ROGER C. OSBORN</t>
  </si>
  <si>
    <t>OSKAR NISIMBLAT</t>
  </si>
  <si>
    <t>P SQUARED EMULSION PLANTS  LLC</t>
  </si>
  <si>
    <t>P3Works  LLC</t>
  </si>
  <si>
    <t>PAIGE TRACTORS INC</t>
  </si>
  <si>
    <t>PAPER RETRIEVER OF TEXAS</t>
  </si>
  <si>
    <t>SL PARKER PARTNERSHIP LLC</t>
  </si>
  <si>
    <t>PATRICK ELECTRIC SERVICE</t>
  </si>
  <si>
    <t>PATTERSON  VETERINARY SUPPLY INC</t>
  </si>
  <si>
    <t>CLEVELAND MACK SALES INC</t>
  </si>
  <si>
    <t>PHILIP R DUCLOUX</t>
  </si>
  <si>
    <t>PHILLIP N. SLAUGHTER</t>
  </si>
  <si>
    <t>PITNEY BOWES GLOBAL FINANCIAL SERVICES</t>
  </si>
  <si>
    <t>POST OAK HARDWARE  INC.</t>
  </si>
  <si>
    <t>PROGRESSIVE - RESTITUTION ACCT</t>
  </si>
  <si>
    <t>ELGIN PROVIDENCE LLC</t>
  </si>
  <si>
    <t>PUBLIC AGENCY TRAINING COUNCIL</t>
  </si>
  <si>
    <t>PYE-BARKER FIRE &amp; SAFETY LLC</t>
  </si>
  <si>
    <t>PAUL EDWARD WILKENS</t>
  </si>
  <si>
    <t>MADTEX  INC.</t>
  </si>
  <si>
    <t>NESTLE WATERS N AMERICA INC</t>
  </si>
  <si>
    <t>JIM BOB DOOLEY</t>
  </si>
  <si>
    <t>REBECCA STRNAD</t>
  </si>
  <si>
    <t>REBEKAH SMARTT</t>
  </si>
  <si>
    <t>NRG ENERGY INC</t>
  </si>
  <si>
    <t>CIT TECHNOLOGY FINANCE</t>
  </si>
  <si>
    <t>MIKE DAVIS</t>
  </si>
  <si>
    <t>ROADRUNNER RADIOLOGY EQUIP LLC</t>
  </si>
  <si>
    <t>ROBERT MADDEN INDUSTRIES LTD</t>
  </si>
  <si>
    <t>ROBERT C. STEUBING</t>
  </si>
  <si>
    <t>ROBERT WILLIAMS</t>
  </si>
  <si>
    <t>ROCIC</t>
  </si>
  <si>
    <t>ROCKY ROAD PRINTING</t>
  </si>
  <si>
    <t>ROOD AND RIDDLE VETERINARY HOSP</t>
  </si>
  <si>
    <t>ROSE PIETSCH COUNTY CLERK</t>
  </si>
  <si>
    <t>SACRED HEART CATHOLIC CHURCH</t>
  </si>
  <si>
    <t>SAMES BASTROP FORD INC</t>
  </si>
  <si>
    <t>SAMMY LERMA III MD</t>
  </si>
  <si>
    <t>SARAH TOMPKINS</t>
  </si>
  <si>
    <t>SCOTT MERRIMAN INC</t>
  </si>
  <si>
    <t>SECOND ADMINISTRATIVE JUDICIAL REGION</t>
  </si>
  <si>
    <t>SETON NORTHWEST HOSPITAL</t>
  </si>
  <si>
    <t>SETON HEALTHCARE SPONSORED PROJECTS</t>
  </si>
  <si>
    <t>SHARON HANCOCK</t>
  </si>
  <si>
    <t>SHI GOVERNMENT SOLUTIONS INC.</t>
  </si>
  <si>
    <t>SHOPPA'S FARM SUPPLY</t>
  </si>
  <si>
    <t>RONALD JOHN CALDWELL JR</t>
  </si>
  <si>
    <t>SINGLETON ASSOCIATES  PA</t>
  </si>
  <si>
    <t>SMITH STORES  INC.</t>
  </si>
  <si>
    <t>SMITHVILLE AREA CHAMBER OF COMMERCE</t>
  </si>
  <si>
    <t>SMITHVILLE AUTO PARTS  INC</t>
  </si>
  <si>
    <t>SOE SOFTWARE INC</t>
  </si>
  <si>
    <t>SOUTH CENTRAL PLANNING AND DEVELOPMENT COMMISSION</t>
  </si>
  <si>
    <t>SOUTHERN COMPUTER WAREHOUSE INC</t>
  </si>
  <si>
    <t>SOUTHERN TIRE MART LLC</t>
  </si>
  <si>
    <t>DS WATERS OF AMERICA INC</t>
  </si>
  <si>
    <t>ST DAVID'S HEALTHCARE PARTNERSHIP</t>
  </si>
  <si>
    <t>ST. MARK'S MEDICAL CENTER</t>
  </si>
  <si>
    <t>STAPLES  INC.</t>
  </si>
  <si>
    <t>STATE OF TEXAS</t>
  </si>
  <si>
    <t>STEGER &amp; BIZZELL ENGINEERING  INC</t>
  </si>
  <si>
    <t>STERICYCLE  INC.</t>
  </si>
  <si>
    <t>MATTHEW LEE SULLINS</t>
  </si>
  <si>
    <t>SUN COAST RESOURCES</t>
  </si>
  <si>
    <t>SUNSHIELD WINDOW TINT</t>
  </si>
  <si>
    <t>SUSTAINABLE PAVEMENT TECHNOLOGIES  LLC</t>
  </si>
  <si>
    <t>T4 DISTRIBUTION  LLC</t>
  </si>
  <si>
    <t>TEXAS ASSN OF CONVENTION &amp; VISITORS BUREAU</t>
  </si>
  <si>
    <t>TEXAS ASSOCIATION OF GOVERNMENTAL IT MANAGERS</t>
  </si>
  <si>
    <t>TEXAS ASSN OF PROPERTY &amp; EVIDENCE TECHNICIANS</t>
  </si>
  <si>
    <t>TAVCO SERVICES INC</t>
  </si>
  <si>
    <t>TEXAS DISTRICT &amp; COUNTY ATTORNEYS ASSOCIATION</t>
  </si>
  <si>
    <t>TEAM VIEWER GMBH</t>
  </si>
  <si>
    <t>TEJAS ELEVATOR COMPANY</t>
  </si>
  <si>
    <t>JOHN J FIETSAM INC</t>
  </si>
  <si>
    <t>TEX-CON OIL CO</t>
  </si>
  <si>
    <t>TEXAN AMBULATORY SURGERY CENTER  LP</t>
  </si>
  <si>
    <t>TEXAS A&amp;M AGRILIFE EXTENSION SERVICE</t>
  </si>
  <si>
    <t>TEXAS ASSOCIATES INSURORS AGENCY</t>
  </si>
  <si>
    <t>TEXAS ASSOCIATION OF COUNTIES</t>
  </si>
  <si>
    <t>TEXAS ASSOCIATION FOR COURT ADMINISTRATION</t>
  </si>
  <si>
    <t>TEXAS BRAZOS TRAIL REGION</t>
  </si>
  <si>
    <t>TEXAS CLASSIC CUSTOM HOMES</t>
  </si>
  <si>
    <t>TEXAS CORRUGATORS INC</t>
  </si>
  <si>
    <t>TEXAS DECON LLC</t>
  </si>
  <si>
    <t>TEXAS DEPT OF LICENSING &amp; REGULATION</t>
  </si>
  <si>
    <t>TEXAS DEPT OF PUBLIC SAFETY</t>
  </si>
  <si>
    <t>TEXAS DISPOSAL SYSTEMS  INC.</t>
  </si>
  <si>
    <t>TEXAS DISTRICT COURT ALLIANCE</t>
  </si>
  <si>
    <t>TXFACT  LLC</t>
  </si>
  <si>
    <t>TEXAS MATERIALS GROUP  INC.</t>
  </si>
  <si>
    <t>TEXAS PARKS &amp; WILDLIFE DEPARTMENT</t>
  </si>
  <si>
    <t>BRETT DENNEY</t>
  </si>
  <si>
    <t>TEXAS POLICE ASSOCIATION</t>
  </si>
  <si>
    <t>TEXAS VISION CLINIC  PLLC</t>
  </si>
  <si>
    <t>BUG MASTER EXTERMINATING SERVICES  LTD</t>
  </si>
  <si>
    <t>SANDRA FAYE ROBINSON</t>
  </si>
  <si>
    <t>RICHARD NELSON MOORE</t>
  </si>
  <si>
    <t>THOMAS LAHAYE</t>
  </si>
  <si>
    <t>WEST PUBLISHING CORPORATION</t>
  </si>
  <si>
    <t>TWE-ADVANCE/NEWHOUSE PARTNERSHIP</t>
  </si>
  <si>
    <t>TELVA D KESLER</t>
  </si>
  <si>
    <t>TODD D. DUBOSE</t>
  </si>
  <si>
    <t>TOMIKA NOWLIN</t>
  </si>
  <si>
    <t>TRACTOR SUPPLY CREDIT PLAN</t>
  </si>
  <si>
    <t>TRANE U.S. INC.</t>
  </si>
  <si>
    <t>TRAVIS COUNTY CONSTABLE PCT 5</t>
  </si>
  <si>
    <t>TRAVIS COUNTY MEDICAL EXAMINER</t>
  </si>
  <si>
    <t>TROY WALTERS</t>
  </si>
  <si>
    <t>TULL FARLEY</t>
  </si>
  <si>
    <t>TVMDL</t>
  </si>
  <si>
    <t>TYLER TECHNOLOGIES INC</t>
  </si>
  <si>
    <t>UNITED REFRIGERATION INC</t>
  </si>
  <si>
    <t>SETON FAMILY OF HOSPITALS</t>
  </si>
  <si>
    <t>UNIVERSITY OF TEXAS</t>
  </si>
  <si>
    <t>VERITRACE  INC.</t>
  </si>
  <si>
    <t>VETERINARY PROVISIONS  INC</t>
  </si>
  <si>
    <t>VICTORY SUPPLY LLC</t>
  </si>
  <si>
    <t>TEXAS DEPARTMENT OF STATE HEALTH SERVICES</t>
  </si>
  <si>
    <t>VOTEC CORPORATION</t>
  </si>
  <si>
    <t>US BANK NA</t>
  </si>
  <si>
    <t>VTX COMMUNICATIONS  LLC</t>
  </si>
  <si>
    <t>WASHING EQUIPMENT OF TEXAS</t>
  </si>
  <si>
    <t>WASTE CONNECTIONS LONE STAR. INC.</t>
  </si>
  <si>
    <t>WASTE MANAGEMENT OF TEXAS  INC</t>
  </si>
  <si>
    <t>WATCH GUARD VIDEO</t>
  </si>
  <si>
    <t>WIND KNOT INCORPORATED</t>
  </si>
  <si>
    <t>WEI-ANN LIN (REIMBURSEMENTS ONLY)</t>
  </si>
  <si>
    <t>WELLS FARGO BANK  NA</t>
  </si>
  <si>
    <t>MAO PHARMACY INC</t>
  </si>
  <si>
    <t>WINZER CORPORATION</t>
  </si>
  <si>
    <t>YVONNE ROCHA</t>
  </si>
  <si>
    <t>ZBATTERY.COM INC</t>
  </si>
  <si>
    <t>ZOETIS US LLC</t>
  </si>
  <si>
    <t>ZORO TOOLS INC</t>
  </si>
  <si>
    <t>ADAM MARSHALL</t>
  </si>
  <si>
    <t>BASTROP COUNTY PROBATION DEPT</t>
  </si>
  <si>
    <t>CONTECH ENGINEERED SOLUTIONS INC</t>
  </si>
  <si>
    <t>MERGERS MARKETING INC.</t>
  </si>
  <si>
    <t>FIRST NATIONAL BANK</t>
  </si>
  <si>
    <t>HI-LINE</t>
  </si>
  <si>
    <t>JAMES K ALTGELT</t>
  </si>
  <si>
    <t>KNIGHT SECURITY SYSTEMS LLC</t>
  </si>
  <si>
    <t>LONNIE LAWRENCE DAVIS JR</t>
  </si>
  <si>
    <t>PAUL GRANADO</t>
  </si>
  <si>
    <t>PREFERRED TECHNOLOGIES  LLC</t>
  </si>
  <si>
    <t>PRO PAC</t>
  </si>
  <si>
    <t>RVR LLC</t>
  </si>
  <si>
    <t>SARAH D. JACKSON</t>
  </si>
  <si>
    <t>STEVE GRANADO</t>
  </si>
  <si>
    <t>CAT5 COMMERCE  LLC</t>
  </si>
  <si>
    <t>TEXAS AGGREGATES  LLC</t>
  </si>
  <si>
    <t>MARK WHITE</t>
  </si>
  <si>
    <t>WALLER COUNTY ASPHALT INC</t>
  </si>
  <si>
    <t>ALLSTATE-AMERICAN HERITAGE LIFE INS CO</t>
  </si>
  <si>
    <t>AmWINS Group Benefits  Inc.</t>
  </si>
  <si>
    <t>BARRY ROSS</t>
  </si>
  <si>
    <t>COLONIAL LIFE &amp; ACCIDENT INS. CO.</t>
  </si>
  <si>
    <t>CPI QUALIFIED PLAN CONSULTANTS  INC.</t>
  </si>
  <si>
    <t>DOUG LANGHAM</t>
  </si>
  <si>
    <t>ESTHER COY</t>
  </si>
  <si>
    <t>GUARDIAN</t>
  </si>
  <si>
    <t>INDIANA STATE CENTRAL COLLECTION UNIT</t>
  </si>
  <si>
    <t>IRS-PAYROLL TAXES</t>
  </si>
  <si>
    <t>JUDITH L HAND SANDERS</t>
  </si>
  <si>
    <t>JUNE PACE</t>
  </si>
  <si>
    <t>KAY ABLES</t>
  </si>
  <si>
    <t>GERALD FLORES OLIVO</t>
  </si>
  <si>
    <t>PRENTICE L PARKS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</si>
  <si>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</si>
  <si>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</si>
  <si>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</si>
  <si>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</si>
  <si>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</si>
  <si>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TINA J TESTON</t>
  </si>
  <si>
    <t>WILLIAM MC MYNE</t>
  </si>
  <si>
    <t>ASSOCIATION OF PUBLIC-SAFETY COMMUNICATIONS</t>
  </si>
  <si>
    <t>GATEHOUSE MEDIA TEXAS HOLDINGS II  INC.</t>
  </si>
  <si>
    <t>JIM ATTRA INC</t>
  </si>
  <si>
    <t>NEW URBAN RESEARCH  INC</t>
  </si>
  <si>
    <t>MODERN RESORT LODGING  LLC</t>
  </si>
  <si>
    <t>MUNICIPAL SERVICES BUREAU/GILA GROUP</t>
  </si>
  <si>
    <t>ELLIOTT ELECTRIC SUPPLY INC</t>
  </si>
  <si>
    <t>EAN HOLDINGS  LLC-DALLAS/FT WORTH DIVISION</t>
  </si>
  <si>
    <t>FERGUSON ENTERPRISES  INC.</t>
  </si>
  <si>
    <t>XXVI HOLDINGS INC</t>
  </si>
  <si>
    <t>HALFMOON EDUCATION INC</t>
  </si>
  <si>
    <t>HUMANE EDUCATORS OF TEXAS  LLC</t>
  </si>
  <si>
    <t>LYNN WALKER</t>
  </si>
  <si>
    <t>NATIONAL ONSITE WASTEWATER RECYCLING ASSC</t>
  </si>
  <si>
    <t>NCS PEARSON INC</t>
  </si>
  <si>
    <t>POSTMASTER</t>
  </si>
  <si>
    <t>BASTROP CAR WASH SERVICES LLC</t>
  </si>
  <si>
    <t>STEELCASE INC</t>
  </si>
  <si>
    <t>TEXAS BOARD OF ENGINEERS</t>
  </si>
  <si>
    <t>TEXAS COMMISSION ON ENVIRONMENTAL QUALITY</t>
  </si>
  <si>
    <t>ULINE  INC.</t>
  </si>
  <si>
    <t>WALMART # 01-1042</t>
  </si>
  <si>
    <t>WHEN I WORK  INC</t>
  </si>
  <si>
    <t>TEXAS DEPT OF MOTOR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</si>
</sst>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14" fontId="0" fillId="0" borderId="0" xfId="0" applyNumberFormat="1"/>
    <xf numFmtId="0" fontId="0" fillId="0" borderId="0" xfId="0" applyFill="1"/>
    <xf numFmtId="43" fontId="0" fillId="0" borderId="0" xfId="1" applyFont="1" applyFill="1"/>
    <xf numFmtId="14" fontId="0" fillId="0" borderId="0" xfId="0" applyNumberFormat="1" applyFill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0"/>
  <sheetViews>
    <sheetView tabSelected="1" topLeftCell="A2936" workbookViewId="0">
      <selection activeCell="K2965" sqref="K2965"/>
    </sheetView>
  </sheetViews>
  <sheetFormatPr defaultRowHeight="15" x14ac:dyDescent="0.25"/>
  <cols>
    <col min="1" max="1" width="57.140625" bestFit="1" customWidth="1"/>
    <col min="3" max="3" width="13.28515625" style="3" bestFit="1" customWidth="1"/>
    <col min="4" max="4" width="10.85546875" bestFit="1" customWidth="1"/>
    <col min="5" max="5" width="19.42578125" bestFit="1" customWidth="1"/>
    <col min="6" max="6" width="35.5703125" bestFit="1" customWidth="1"/>
    <col min="7" max="7" width="13.28515625" style="3" bestFit="1" customWidth="1"/>
    <col min="8" max="8" width="35.5703125" bestFit="1" customWidth="1"/>
  </cols>
  <sheetData>
    <row r="1" spans="1:8" s="1" customForma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x14ac:dyDescent="0.25">
      <c r="A2" t="s">
        <v>8</v>
      </c>
      <c r="B2">
        <v>5012</v>
      </c>
      <c r="C2" s="3">
        <v>239000</v>
      </c>
      <c r="D2" s="4">
        <v>44453</v>
      </c>
      <c r="E2" t="str">
        <f>"202109075597"</f>
        <v>202109075597</v>
      </c>
      <c r="F2" t="str">
        <f>"Pay App 1"</f>
        <v>Pay App 1</v>
      </c>
      <c r="G2" s="3">
        <v>65550</v>
      </c>
      <c r="H2" t="str">
        <f>"Pay App 2"</f>
        <v>Pay App 2</v>
      </c>
    </row>
    <row r="3" spans="1:8" x14ac:dyDescent="0.25">
      <c r="E3" t="str">
        <f>""</f>
        <v/>
      </c>
      <c r="F3" t="str">
        <f>""</f>
        <v/>
      </c>
      <c r="G3" s="3">
        <v>11950</v>
      </c>
      <c r="H3" t="str">
        <f>"Pay App 3"</f>
        <v>Pay App 3</v>
      </c>
    </row>
    <row r="4" spans="1:8" x14ac:dyDescent="0.25">
      <c r="E4" t="str">
        <f>"202109085609"</f>
        <v>202109085609</v>
      </c>
      <c r="F4" t="str">
        <f>"Pay App 1"</f>
        <v>Pay App 1</v>
      </c>
      <c r="G4" s="3">
        <v>161500</v>
      </c>
      <c r="H4" t="str">
        <f>"Pay App 1"</f>
        <v>Pay App 1</v>
      </c>
    </row>
    <row r="5" spans="1:8" x14ac:dyDescent="0.25">
      <c r="A5" t="s">
        <v>9</v>
      </c>
      <c r="B5">
        <v>5007</v>
      </c>
      <c r="C5" s="3">
        <v>4262.3100000000004</v>
      </c>
      <c r="D5" s="4">
        <v>44453</v>
      </c>
      <c r="E5" t="str">
        <f>"9725-001-122705"</f>
        <v>9725-001-122705</v>
      </c>
      <c r="F5" t="str">
        <f t="shared" ref="F5:F17" si="0">"ACCT#9725-001/REC BASE/PCT#2"</f>
        <v>ACCT#9725-001/REC BASE/PCT#2</v>
      </c>
      <c r="G5" s="3">
        <v>668.07</v>
      </c>
      <c r="H5" t="str">
        <f t="shared" ref="H5:H17" si="1">"ACCT#9725-001/REC BASE/PCT#2"</f>
        <v>ACCT#9725-001/REC BASE/PCT#2</v>
      </c>
    </row>
    <row r="6" spans="1:8" x14ac:dyDescent="0.25">
      <c r="E6" t="str">
        <f>"9725-001-122728"</f>
        <v>9725-001-122728</v>
      </c>
      <c r="F6" t="str">
        <f t="shared" si="0"/>
        <v>ACCT#9725-001/REC BASE/PCT#2</v>
      </c>
      <c r="G6" s="3">
        <v>207.27</v>
      </c>
      <c r="H6" t="str">
        <f t="shared" si="1"/>
        <v>ACCT#9725-001/REC BASE/PCT#2</v>
      </c>
    </row>
    <row r="7" spans="1:8" x14ac:dyDescent="0.25">
      <c r="E7" t="str">
        <f>"9725-001-122746"</f>
        <v>9725-001-122746</v>
      </c>
      <c r="F7" t="str">
        <f t="shared" si="0"/>
        <v>ACCT#9725-001/REC BASE/PCT#2</v>
      </c>
      <c r="G7" s="3">
        <v>204.75</v>
      </c>
      <c r="H7" t="str">
        <f t="shared" si="1"/>
        <v>ACCT#9725-001/REC BASE/PCT#2</v>
      </c>
    </row>
    <row r="8" spans="1:8" x14ac:dyDescent="0.25">
      <c r="E8" t="str">
        <f>"9725-001-122791"</f>
        <v>9725-001-122791</v>
      </c>
      <c r="F8" t="str">
        <f t="shared" si="0"/>
        <v>ACCT#9725-001/REC BASE/PCT#2</v>
      </c>
      <c r="G8" s="3">
        <v>437.22</v>
      </c>
      <c r="H8" t="str">
        <f t="shared" si="1"/>
        <v>ACCT#9725-001/REC BASE/PCT#2</v>
      </c>
    </row>
    <row r="9" spans="1:8" x14ac:dyDescent="0.25">
      <c r="E9" t="str">
        <f>"9725-001-122815"</f>
        <v>9725-001-122815</v>
      </c>
      <c r="F9" t="str">
        <f t="shared" si="0"/>
        <v>ACCT#9725-001/REC BASE/PCT#2</v>
      </c>
      <c r="G9" s="3">
        <v>426.78</v>
      </c>
      <c r="H9" t="str">
        <f t="shared" si="1"/>
        <v>ACCT#9725-001/REC BASE/PCT#2</v>
      </c>
    </row>
    <row r="10" spans="1:8" x14ac:dyDescent="0.25">
      <c r="E10" t="str">
        <f>"9725-001-122842"</f>
        <v>9725-001-122842</v>
      </c>
      <c r="F10" t="str">
        <f t="shared" si="0"/>
        <v>ACCT#9725-001/REC BASE/PCT#2</v>
      </c>
      <c r="G10" s="3">
        <v>818.91</v>
      </c>
      <c r="H10" t="str">
        <f t="shared" si="1"/>
        <v>ACCT#9725-001/REC BASE/PCT#2</v>
      </c>
    </row>
    <row r="11" spans="1:8" x14ac:dyDescent="0.25">
      <c r="E11" t="str">
        <f>"9725-001-122865"</f>
        <v>9725-001-122865</v>
      </c>
      <c r="F11" t="str">
        <f t="shared" si="0"/>
        <v>ACCT#9725-001/REC BASE/PCT#2</v>
      </c>
      <c r="G11" s="3">
        <v>221.13</v>
      </c>
      <c r="H11" t="str">
        <f t="shared" si="1"/>
        <v>ACCT#9725-001/REC BASE/PCT#2</v>
      </c>
    </row>
    <row r="12" spans="1:8" x14ac:dyDescent="0.25">
      <c r="E12" t="str">
        <f>"9725-001-122902"</f>
        <v>9725-001-122902</v>
      </c>
      <c r="F12" t="str">
        <f t="shared" si="0"/>
        <v>ACCT#9725-001/REC BASE/PCT#2</v>
      </c>
      <c r="G12" s="3">
        <v>210.96</v>
      </c>
      <c r="H12" t="str">
        <f t="shared" si="1"/>
        <v>ACCT#9725-001/REC BASE/PCT#2</v>
      </c>
    </row>
    <row r="13" spans="1:8" x14ac:dyDescent="0.25">
      <c r="E13" t="str">
        <f>"9725-001-122928"</f>
        <v>9725-001-122928</v>
      </c>
      <c r="F13" t="str">
        <f t="shared" si="0"/>
        <v>ACCT#9725-001/REC BASE/PCT#2</v>
      </c>
      <c r="G13" s="3">
        <v>219.78</v>
      </c>
      <c r="H13" t="str">
        <f t="shared" si="1"/>
        <v>ACCT#9725-001/REC BASE/PCT#2</v>
      </c>
    </row>
    <row r="14" spans="1:8" x14ac:dyDescent="0.25">
      <c r="E14" t="str">
        <f>"9725-001-122954"</f>
        <v>9725-001-122954</v>
      </c>
      <c r="F14" t="str">
        <f t="shared" si="0"/>
        <v>ACCT#9725-001/REC BASE/PCT#2</v>
      </c>
      <c r="G14" s="3">
        <v>218.61</v>
      </c>
      <c r="H14" t="str">
        <f t="shared" si="1"/>
        <v>ACCT#9725-001/REC BASE/PCT#2</v>
      </c>
    </row>
    <row r="15" spans="1:8" x14ac:dyDescent="0.25">
      <c r="E15" t="str">
        <f>"9725-001-122978"</f>
        <v>9725-001-122978</v>
      </c>
      <c r="F15" t="str">
        <f t="shared" si="0"/>
        <v>ACCT#9725-001/REC BASE/PCT#2</v>
      </c>
      <c r="G15" s="3">
        <v>209.52</v>
      </c>
      <c r="H15" t="str">
        <f t="shared" si="1"/>
        <v>ACCT#9725-001/REC BASE/PCT#2</v>
      </c>
    </row>
    <row r="16" spans="1:8" x14ac:dyDescent="0.25">
      <c r="E16" t="str">
        <f>"9725-001-123019"</f>
        <v>9725-001-123019</v>
      </c>
      <c r="F16" t="str">
        <f t="shared" si="0"/>
        <v>ACCT#9725-001/REC BASE/PCT#2</v>
      </c>
      <c r="G16" s="3">
        <v>213.12</v>
      </c>
      <c r="H16" t="str">
        <f t="shared" si="1"/>
        <v>ACCT#9725-001/REC BASE/PCT#2</v>
      </c>
    </row>
    <row r="17" spans="1:8" x14ac:dyDescent="0.25">
      <c r="E17" t="str">
        <f>"9725-001-123035"</f>
        <v>9725-001-123035</v>
      </c>
      <c r="F17" t="str">
        <f t="shared" si="0"/>
        <v>ACCT#9725-001/REC BASE/PCT#2</v>
      </c>
      <c r="G17" s="3">
        <v>206.19</v>
      </c>
      <c r="H17" t="str">
        <f t="shared" si="1"/>
        <v>ACCT#9725-001/REC BASE/PCT#2</v>
      </c>
    </row>
    <row r="18" spans="1:8" x14ac:dyDescent="0.25">
      <c r="A18" t="s">
        <v>9</v>
      </c>
      <c r="B18">
        <v>5102</v>
      </c>
      <c r="C18" s="3">
        <v>3720.15</v>
      </c>
      <c r="D18" s="4">
        <v>44467</v>
      </c>
      <c r="E18" t="str">
        <f>"9725-001-123061"</f>
        <v>9725-001-123061</v>
      </c>
      <c r="F18" t="str">
        <f t="shared" ref="F18:F30" si="2">"ACCT#9725-001/PCT#2"</f>
        <v>ACCT#9725-001/PCT#2</v>
      </c>
      <c r="G18" s="3">
        <v>206.01</v>
      </c>
      <c r="H18" t="str">
        <f t="shared" ref="H18:H30" si="3">"ACCT#9725-001/PCT#2"</f>
        <v>ACCT#9725-001/PCT#2</v>
      </c>
    </row>
    <row r="19" spans="1:8" x14ac:dyDescent="0.25">
      <c r="E19" t="str">
        <f>"9725-001-123082"</f>
        <v>9725-001-123082</v>
      </c>
      <c r="F19" t="str">
        <f t="shared" si="2"/>
        <v>ACCT#9725-001/PCT#2</v>
      </c>
      <c r="G19" s="3">
        <v>209.7</v>
      </c>
      <c r="H19" t="str">
        <f t="shared" si="3"/>
        <v>ACCT#9725-001/PCT#2</v>
      </c>
    </row>
    <row r="20" spans="1:8" x14ac:dyDescent="0.25">
      <c r="E20" t="str">
        <f>"9725-001-123127"</f>
        <v>9725-001-123127</v>
      </c>
      <c r="F20" t="str">
        <f t="shared" si="2"/>
        <v>ACCT#9725-001/PCT#2</v>
      </c>
      <c r="G20" s="3">
        <v>218.07</v>
      </c>
      <c r="H20" t="str">
        <f t="shared" si="3"/>
        <v>ACCT#9725-001/PCT#2</v>
      </c>
    </row>
    <row r="21" spans="1:8" x14ac:dyDescent="0.25">
      <c r="E21" t="str">
        <f>"9725-001-123146"</f>
        <v>9725-001-123146</v>
      </c>
      <c r="F21" t="str">
        <f t="shared" si="2"/>
        <v>ACCT#9725-001/PCT#2</v>
      </c>
      <c r="G21" s="3">
        <v>201.06</v>
      </c>
      <c r="H21" t="str">
        <f t="shared" si="3"/>
        <v>ACCT#9725-001/PCT#2</v>
      </c>
    </row>
    <row r="22" spans="1:8" x14ac:dyDescent="0.25">
      <c r="E22" t="str">
        <f>"9725-001-123168"</f>
        <v>9725-001-123168</v>
      </c>
      <c r="F22" t="str">
        <f t="shared" si="2"/>
        <v>ACCT#9725-001/PCT#2</v>
      </c>
      <c r="G22" s="3">
        <v>416.79</v>
      </c>
      <c r="H22" t="str">
        <f t="shared" si="3"/>
        <v>ACCT#9725-001/PCT#2</v>
      </c>
    </row>
    <row r="23" spans="1:8" x14ac:dyDescent="0.25">
      <c r="E23" t="str">
        <f>"9725-001-123183"</f>
        <v>9725-001-123183</v>
      </c>
      <c r="F23" t="str">
        <f t="shared" si="2"/>
        <v>ACCT#9725-001/PCT#2</v>
      </c>
      <c r="G23" s="3">
        <v>218.34</v>
      </c>
      <c r="H23" t="str">
        <f t="shared" si="3"/>
        <v>ACCT#9725-001/PCT#2</v>
      </c>
    </row>
    <row r="24" spans="1:8" x14ac:dyDescent="0.25">
      <c r="E24" t="str">
        <f>"9725-001-123210"</f>
        <v>9725-001-123210</v>
      </c>
      <c r="F24" t="str">
        <f t="shared" si="2"/>
        <v>ACCT#9725-001/PCT#2</v>
      </c>
      <c r="G24" s="3">
        <v>211.05</v>
      </c>
      <c r="H24" t="str">
        <f t="shared" si="3"/>
        <v>ACCT#9725-001/PCT#2</v>
      </c>
    </row>
    <row r="25" spans="1:8" x14ac:dyDescent="0.25">
      <c r="E25" t="str">
        <f>"9725-001-123267"</f>
        <v>9725-001-123267</v>
      </c>
      <c r="F25" t="str">
        <f t="shared" si="2"/>
        <v>ACCT#9725-001/PCT#2</v>
      </c>
      <c r="G25" s="3">
        <v>429.03</v>
      </c>
      <c r="H25" t="str">
        <f t="shared" si="3"/>
        <v>ACCT#9725-001/PCT#2</v>
      </c>
    </row>
    <row r="26" spans="1:8" x14ac:dyDescent="0.25">
      <c r="E26" t="str">
        <f>"9725-001-123289"</f>
        <v>9725-001-123289</v>
      </c>
      <c r="F26" t="str">
        <f t="shared" si="2"/>
        <v>ACCT#9725-001/PCT#2</v>
      </c>
      <c r="G26" s="3">
        <v>216.18</v>
      </c>
      <c r="H26" t="str">
        <f t="shared" si="3"/>
        <v>ACCT#9725-001/PCT#2</v>
      </c>
    </row>
    <row r="27" spans="1:8" x14ac:dyDescent="0.25">
      <c r="E27" t="str">
        <f>"9725-001-123309"</f>
        <v>9725-001-123309</v>
      </c>
      <c r="F27" t="str">
        <f t="shared" si="2"/>
        <v>ACCT#9725-001/PCT#2</v>
      </c>
      <c r="G27" s="3">
        <v>216.45</v>
      </c>
      <c r="H27" t="str">
        <f t="shared" si="3"/>
        <v>ACCT#9725-001/PCT#2</v>
      </c>
    </row>
    <row r="28" spans="1:8" x14ac:dyDescent="0.25">
      <c r="E28" t="str">
        <f>"9725-001-123329"</f>
        <v>9725-001-123329</v>
      </c>
      <c r="F28" t="str">
        <f t="shared" si="2"/>
        <v>ACCT#9725-001/PCT#2</v>
      </c>
      <c r="G28" s="3">
        <v>202.86</v>
      </c>
      <c r="H28" t="str">
        <f t="shared" si="3"/>
        <v>ACCT#9725-001/PCT#2</v>
      </c>
    </row>
    <row r="29" spans="1:8" x14ac:dyDescent="0.25">
      <c r="E29" t="str">
        <f>"9725-001-123354"</f>
        <v>9725-001-123354</v>
      </c>
      <c r="F29" t="str">
        <f t="shared" si="2"/>
        <v>ACCT#9725-001/PCT#2</v>
      </c>
      <c r="G29" s="3">
        <v>210.78</v>
      </c>
      <c r="H29" t="str">
        <f t="shared" si="3"/>
        <v>ACCT#9725-001/PCT#2</v>
      </c>
    </row>
    <row r="30" spans="1:8" x14ac:dyDescent="0.25">
      <c r="E30" t="str">
        <f>"9725-001-123379"</f>
        <v>9725-001-123379</v>
      </c>
      <c r="F30" t="str">
        <f t="shared" si="2"/>
        <v>ACCT#9725-001/PCT#2</v>
      </c>
      <c r="G30" s="3">
        <v>224.1</v>
      </c>
      <c r="H30" t="str">
        <f t="shared" si="3"/>
        <v>ACCT#9725-001/PCT#2</v>
      </c>
    </row>
    <row r="31" spans="1:8" x14ac:dyDescent="0.25">
      <c r="E31" t="str">
        <f>"9725-004-123336"</f>
        <v>9725-004-123336</v>
      </c>
      <c r="F31" t="str">
        <f>"ACCT#9725-004/PCT#1"</f>
        <v>ACCT#9725-004/PCT#1</v>
      </c>
      <c r="G31" s="3">
        <v>267.3</v>
      </c>
      <c r="H31" t="str">
        <f>"ACCT#9725-004/PCT#1"</f>
        <v>ACCT#9725-004/PCT#1</v>
      </c>
    </row>
    <row r="32" spans="1:8" x14ac:dyDescent="0.25">
      <c r="E32" t="str">
        <f>"9725-123317"</f>
        <v>9725-123317</v>
      </c>
      <c r="F32" t="str">
        <f>"ACCT#9725-004/PCT#1"</f>
        <v>ACCT#9725-004/PCT#1</v>
      </c>
      <c r="G32" s="3">
        <v>272.43</v>
      </c>
      <c r="H32" t="str">
        <f>"ACCT#9725-004/PCT#1"</f>
        <v>ACCT#9725-004/PCT#1</v>
      </c>
    </row>
    <row r="33" spans="1:8" x14ac:dyDescent="0.25">
      <c r="A33" t="s">
        <v>10</v>
      </c>
      <c r="B33">
        <v>137041</v>
      </c>
      <c r="C33" s="3">
        <v>225</v>
      </c>
      <c r="D33" s="4">
        <v>44466</v>
      </c>
      <c r="E33" t="str">
        <f>"667298676"</f>
        <v>667298676</v>
      </c>
      <c r="F33" t="str">
        <f>"INV 667298676"</f>
        <v>INV 667298676</v>
      </c>
      <c r="G33" s="3">
        <v>225</v>
      </c>
      <c r="H33" t="str">
        <f>"INV 667298676"</f>
        <v>INV 667298676</v>
      </c>
    </row>
    <row r="34" spans="1:8" x14ac:dyDescent="0.25">
      <c r="A34" t="s">
        <v>11</v>
      </c>
      <c r="B34">
        <v>136848</v>
      </c>
      <c r="C34" s="3">
        <v>502.79</v>
      </c>
      <c r="D34" s="4">
        <v>44452</v>
      </c>
      <c r="E34" t="str">
        <f>"440342"</f>
        <v>440342</v>
      </c>
      <c r="F34" t="str">
        <f>"CUST#16500/PCT#4"</f>
        <v>CUST#16500/PCT#4</v>
      </c>
      <c r="G34" s="3">
        <v>502.79</v>
      </c>
      <c r="H34" t="str">
        <f>"CUST#16500/PCT#4"</f>
        <v>CUST#16500/PCT#4</v>
      </c>
    </row>
    <row r="35" spans="1:8" x14ac:dyDescent="0.25">
      <c r="A35" t="s">
        <v>12</v>
      </c>
      <c r="B35">
        <v>136849</v>
      </c>
      <c r="C35" s="3">
        <v>1905</v>
      </c>
      <c r="D35" s="4">
        <v>44452</v>
      </c>
      <c r="E35" t="str">
        <f>"202109065515"</f>
        <v>202109065515</v>
      </c>
      <c r="F35" t="str">
        <f>"19-20002"</f>
        <v>19-20002</v>
      </c>
      <c r="G35" s="3">
        <v>225</v>
      </c>
      <c r="H35" t="str">
        <f>"19-20002"</f>
        <v>19-20002</v>
      </c>
    </row>
    <row r="36" spans="1:8" x14ac:dyDescent="0.25">
      <c r="E36" t="str">
        <f>"202109065516"</f>
        <v>202109065516</v>
      </c>
      <c r="F36" t="str">
        <f>"21-20724"</f>
        <v>21-20724</v>
      </c>
      <c r="G36" s="3">
        <v>37.5</v>
      </c>
      <c r="H36" t="str">
        <f>"21-20724"</f>
        <v>21-20724</v>
      </c>
    </row>
    <row r="37" spans="1:8" x14ac:dyDescent="0.25">
      <c r="E37" t="str">
        <f>"202109065517"</f>
        <v>202109065517</v>
      </c>
      <c r="F37" t="str">
        <f>"21-20838"</f>
        <v>21-20838</v>
      </c>
      <c r="G37" s="3">
        <v>607.5</v>
      </c>
      <c r="H37" t="str">
        <f>"21-20838"</f>
        <v>21-20838</v>
      </c>
    </row>
    <row r="38" spans="1:8" x14ac:dyDescent="0.25">
      <c r="E38" t="str">
        <f>"202109065518"</f>
        <v>202109065518</v>
      </c>
      <c r="F38" t="str">
        <f>"20-20454"</f>
        <v>20-20454</v>
      </c>
      <c r="G38" s="3">
        <v>30</v>
      </c>
      <c r="H38" t="str">
        <f>"20-20454"</f>
        <v>20-20454</v>
      </c>
    </row>
    <row r="39" spans="1:8" x14ac:dyDescent="0.25">
      <c r="E39" t="str">
        <f>"202109065519"</f>
        <v>202109065519</v>
      </c>
      <c r="F39" t="str">
        <f>"21-20568"</f>
        <v>21-20568</v>
      </c>
      <c r="G39" s="3">
        <v>30</v>
      </c>
      <c r="H39" t="str">
        <f>"21-20568"</f>
        <v>21-20568</v>
      </c>
    </row>
    <row r="40" spans="1:8" x14ac:dyDescent="0.25">
      <c r="E40" t="str">
        <f>"202109065520"</f>
        <v>202109065520</v>
      </c>
      <c r="F40" t="str">
        <f>"21-20549"</f>
        <v>21-20549</v>
      </c>
      <c r="G40" s="3">
        <v>52.5</v>
      </c>
      <c r="H40" t="str">
        <f>"21-20549"</f>
        <v>21-20549</v>
      </c>
    </row>
    <row r="41" spans="1:8" x14ac:dyDescent="0.25">
      <c r="E41" t="str">
        <f>"202109065521"</f>
        <v>202109065521</v>
      </c>
      <c r="F41" t="str">
        <f>"20-20261"</f>
        <v>20-20261</v>
      </c>
      <c r="G41" s="3">
        <v>220</v>
      </c>
      <c r="H41" t="str">
        <f>"20-20261"</f>
        <v>20-20261</v>
      </c>
    </row>
    <row r="42" spans="1:8" x14ac:dyDescent="0.25">
      <c r="E42" t="str">
        <f>"202109065522"</f>
        <v>202109065522</v>
      </c>
      <c r="F42" t="str">
        <f>"21-20845"</f>
        <v>21-20845</v>
      </c>
      <c r="G42" s="3">
        <v>462.5</v>
      </c>
      <c r="H42" t="str">
        <f>"21-20845"</f>
        <v>21-20845</v>
      </c>
    </row>
    <row r="43" spans="1:8" x14ac:dyDescent="0.25">
      <c r="E43" t="str">
        <f>"202109065523"</f>
        <v>202109065523</v>
      </c>
      <c r="F43" t="str">
        <f>"19-19864"</f>
        <v>19-19864</v>
      </c>
      <c r="G43" s="3">
        <v>75</v>
      </c>
      <c r="H43" t="str">
        <f>"19-19864"</f>
        <v>19-19864</v>
      </c>
    </row>
    <row r="44" spans="1:8" x14ac:dyDescent="0.25">
      <c r="E44" t="str">
        <f>"202109065524"</f>
        <v>202109065524</v>
      </c>
      <c r="F44" t="str">
        <f>"20-20262"</f>
        <v>20-20262</v>
      </c>
      <c r="G44" s="3">
        <v>90</v>
      </c>
      <c r="H44" t="str">
        <f>"20-20262"</f>
        <v>20-20262</v>
      </c>
    </row>
    <row r="45" spans="1:8" x14ac:dyDescent="0.25">
      <c r="E45" t="str">
        <f>"202109065525"</f>
        <v>202109065525</v>
      </c>
      <c r="F45" t="str">
        <f>"20-20085"</f>
        <v>20-20085</v>
      </c>
      <c r="G45" s="3">
        <v>45</v>
      </c>
      <c r="H45" t="str">
        <f>"20-20085"</f>
        <v>20-20085</v>
      </c>
    </row>
    <row r="46" spans="1:8" x14ac:dyDescent="0.25">
      <c r="E46" t="str">
        <f>"202109065526"</f>
        <v>202109065526</v>
      </c>
      <c r="F46" t="str">
        <f>"21-20807"</f>
        <v>21-20807</v>
      </c>
      <c r="G46" s="3">
        <v>30</v>
      </c>
      <c r="H46" t="str">
        <f>"21-20807"</f>
        <v>21-20807</v>
      </c>
    </row>
    <row r="47" spans="1:8" x14ac:dyDescent="0.25">
      <c r="A47" t="s">
        <v>13</v>
      </c>
      <c r="B47">
        <v>5109</v>
      </c>
      <c r="C47" s="3">
        <v>4309.22</v>
      </c>
      <c r="D47" s="4">
        <v>44467</v>
      </c>
      <c r="E47" t="str">
        <f>"202109205781"</f>
        <v>202109205781</v>
      </c>
      <c r="F47" t="str">
        <f>"REIMBURSEMENT/ADENA LEWIS"</f>
        <v>REIMBURSEMENT/ADENA LEWIS</v>
      </c>
      <c r="G47" s="3">
        <v>320</v>
      </c>
      <c r="H47" t="str">
        <f>"REIMBURSEMENT/ADENA LEWIS"</f>
        <v>REIMBURSEMENT/ADENA LEWIS</v>
      </c>
    </row>
    <row r="48" spans="1:8" x14ac:dyDescent="0.25">
      <c r="E48" t="str">
        <f>"202109205791"</f>
        <v>202109205791</v>
      </c>
      <c r="F48" t="str">
        <f>"REIMBURSE/ADENA LEWIS"</f>
        <v>REIMBURSE/ADENA LEWIS</v>
      </c>
      <c r="G48" s="3">
        <v>552.30999999999995</v>
      </c>
      <c r="H48" t="str">
        <f>"REIMBURSE/ADENA LEWIS"</f>
        <v>REIMBURSE/ADENA LEWIS</v>
      </c>
    </row>
    <row r="49" spans="1:8" x14ac:dyDescent="0.25">
      <c r="E49" t="str">
        <f>"202109205814"</f>
        <v>202109205814</v>
      </c>
      <c r="F49" t="str">
        <f>"REIMBURSE/ADENA LEWIS"</f>
        <v>REIMBURSE/ADENA LEWIS</v>
      </c>
      <c r="G49" s="3">
        <v>1767</v>
      </c>
      <c r="H49" t="str">
        <f>"REIMBURSE/ADENA LEWIS"</f>
        <v>REIMBURSE/ADENA LEWIS</v>
      </c>
    </row>
    <row r="50" spans="1:8" x14ac:dyDescent="0.25">
      <c r="E50" t="str">
        <f>"202109205817"</f>
        <v>202109205817</v>
      </c>
      <c r="F50" t="str">
        <f>"TRAVEL ADVANCE/ADENA LEWIS"</f>
        <v>TRAVEL ADVANCE/ADENA LEWIS</v>
      </c>
      <c r="G50" s="3">
        <v>1576.11</v>
      </c>
      <c r="H50" t="str">
        <f>"TRAVEL ADVANCE/ADENA LEWIS"</f>
        <v>TRAVEL ADVANCE/ADENA LEWIS</v>
      </c>
    </row>
    <row r="51" spans="1:8" x14ac:dyDescent="0.25">
      <c r="E51" t="str">
        <f>"202109205818"</f>
        <v>202109205818</v>
      </c>
      <c r="F51" t="str">
        <f>"REIMBURSE/ADENA LEWIS"</f>
        <v>REIMBURSE/ADENA LEWIS</v>
      </c>
      <c r="G51" s="3">
        <v>93.8</v>
      </c>
      <c r="H51" t="str">
        <f>"REIMBURSE/ADENA LEWIS"</f>
        <v>REIMBURSE/ADENA LEWIS</v>
      </c>
    </row>
    <row r="52" spans="1:8" x14ac:dyDescent="0.25">
      <c r="A52" t="s">
        <v>14</v>
      </c>
      <c r="B52">
        <v>137042</v>
      </c>
      <c r="C52" s="3">
        <v>619</v>
      </c>
      <c r="D52" s="4">
        <v>44466</v>
      </c>
      <c r="E52" t="str">
        <f>"207604"</f>
        <v>207604</v>
      </c>
      <c r="F52" t="str">
        <f>"INV 207604"</f>
        <v>INV 207604</v>
      </c>
      <c r="G52" s="3">
        <v>619</v>
      </c>
      <c r="H52" t="str">
        <f>"INV 207604"</f>
        <v>INV 207604</v>
      </c>
    </row>
    <row r="53" spans="1:8" x14ac:dyDescent="0.25">
      <c r="A53" t="s">
        <v>15</v>
      </c>
      <c r="B53">
        <v>5056</v>
      </c>
      <c r="C53" s="3">
        <v>2500</v>
      </c>
      <c r="D53" s="4">
        <v>44453</v>
      </c>
      <c r="E53" t="str">
        <f>"202108265371"</f>
        <v>202108265371</v>
      </c>
      <c r="F53" t="str">
        <f>"1869-335"</f>
        <v>1869-335</v>
      </c>
      <c r="G53" s="3">
        <v>100</v>
      </c>
      <c r="H53" t="str">
        <f>"1869-335"</f>
        <v>1869-335</v>
      </c>
    </row>
    <row r="54" spans="1:8" x14ac:dyDescent="0.25">
      <c r="E54" t="str">
        <f>"202108265372"</f>
        <v>202108265372</v>
      </c>
      <c r="F54" t="str">
        <f>"423-8010"</f>
        <v>423-8010</v>
      </c>
      <c r="G54" s="3">
        <v>100</v>
      </c>
      <c r="H54" t="str">
        <f>"423-8010"</f>
        <v>423-8010</v>
      </c>
    </row>
    <row r="55" spans="1:8" x14ac:dyDescent="0.25">
      <c r="E55" t="str">
        <f>"202108265373"</f>
        <v>202108265373</v>
      </c>
      <c r="F55" t="str">
        <f>"1864-21"</f>
        <v>1864-21</v>
      </c>
      <c r="G55" s="3">
        <v>100</v>
      </c>
      <c r="H55" t="str">
        <f>"1864-21"</f>
        <v>1864-21</v>
      </c>
    </row>
    <row r="56" spans="1:8" x14ac:dyDescent="0.25">
      <c r="E56" t="str">
        <f>"202108265374"</f>
        <v>202108265374</v>
      </c>
      <c r="F56" t="str">
        <f>"17087"</f>
        <v>17087</v>
      </c>
      <c r="G56" s="3">
        <v>400</v>
      </c>
      <c r="H56" t="str">
        <f>"17087"</f>
        <v>17087</v>
      </c>
    </row>
    <row r="57" spans="1:8" x14ac:dyDescent="0.25">
      <c r="E57" t="str">
        <f>"202109075572"</f>
        <v>202109075572</v>
      </c>
      <c r="F57" t="str">
        <f>"2018091"</f>
        <v>2018091</v>
      </c>
      <c r="G57" s="3">
        <v>400</v>
      </c>
      <c r="H57" t="str">
        <f>"2018091"</f>
        <v>2018091</v>
      </c>
    </row>
    <row r="58" spans="1:8" x14ac:dyDescent="0.25">
      <c r="E58" t="str">
        <f>"202109075573"</f>
        <v>202109075573</v>
      </c>
      <c r="F58" t="str">
        <f>"21-063"</f>
        <v>21-063</v>
      </c>
      <c r="G58" s="3">
        <v>600</v>
      </c>
      <c r="H58" t="str">
        <f>"21-063"</f>
        <v>21-063</v>
      </c>
    </row>
    <row r="59" spans="1:8" x14ac:dyDescent="0.25">
      <c r="E59" t="str">
        <f>"202109075574"</f>
        <v>202109075574</v>
      </c>
      <c r="F59" t="str">
        <f>"17-151"</f>
        <v>17-151</v>
      </c>
      <c r="G59" s="3">
        <v>400</v>
      </c>
      <c r="H59" t="str">
        <f>"17-151"</f>
        <v>17-151</v>
      </c>
    </row>
    <row r="60" spans="1:8" x14ac:dyDescent="0.25">
      <c r="E60" t="str">
        <f>"202109075575"</f>
        <v>202109075575</v>
      </c>
      <c r="F60" t="str">
        <f>"JP106162021H"</f>
        <v>JP106162021H</v>
      </c>
      <c r="G60" s="3">
        <v>400</v>
      </c>
      <c r="H60" t="str">
        <f>"JP106162021H"</f>
        <v>JP106162021H</v>
      </c>
    </row>
    <row r="61" spans="1:8" x14ac:dyDescent="0.25">
      <c r="A61" t="s">
        <v>16</v>
      </c>
      <c r="B61">
        <v>137043</v>
      </c>
      <c r="C61" s="3">
        <v>2600</v>
      </c>
      <c r="D61" s="4">
        <v>44466</v>
      </c>
      <c r="E61" t="str">
        <f>"1992"</f>
        <v>1992</v>
      </c>
      <c r="F61" t="str">
        <f>"LAKE THUNDERBIRD/PCT#2"</f>
        <v>LAKE THUNDERBIRD/PCT#2</v>
      </c>
      <c r="G61" s="3">
        <v>2600</v>
      </c>
      <c r="H61" t="str">
        <f>"LAKE THUNDERBIRD/PCT#2"</f>
        <v>LAKE THUNDERBIRD/PCT#2</v>
      </c>
    </row>
    <row r="62" spans="1:8" x14ac:dyDescent="0.25">
      <c r="A62" t="s">
        <v>17</v>
      </c>
      <c r="B62">
        <v>136850</v>
      </c>
      <c r="C62" s="3">
        <v>14.56</v>
      </c>
      <c r="D62" s="4">
        <v>44452</v>
      </c>
      <c r="E62" t="str">
        <f>"202108265317"</f>
        <v>202108265317</v>
      </c>
      <c r="F62" t="str">
        <f>"REIMBURSE/AMANDA MICKELSON"</f>
        <v>REIMBURSE/AMANDA MICKELSON</v>
      </c>
      <c r="G62" s="3">
        <v>14.56</v>
      </c>
      <c r="H62" t="str">
        <f>"REIMBURSE/AMANDA MICKELSON"</f>
        <v>REIMBURSE/AMANDA MICKELSON</v>
      </c>
    </row>
    <row r="63" spans="1:8" x14ac:dyDescent="0.25">
      <c r="A63" t="s">
        <v>18</v>
      </c>
      <c r="B63">
        <v>5030</v>
      </c>
      <c r="C63" s="3">
        <v>1501.81</v>
      </c>
      <c r="D63" s="4">
        <v>44453</v>
      </c>
      <c r="E63" t="str">
        <f>"202108265321"</f>
        <v>202108265321</v>
      </c>
      <c r="F63" t="str">
        <f>"AMAZON CAPITAL SERVICES INC"</f>
        <v>AMAZON CAPITAL SERVICES INC</v>
      </c>
      <c r="G63" s="3">
        <v>83.98</v>
      </c>
      <c r="H63" t="str">
        <f>"Privacy Screens"</f>
        <v>Privacy Screens</v>
      </c>
    </row>
    <row r="64" spans="1:8" x14ac:dyDescent="0.25">
      <c r="E64" t="str">
        <f>"202108265322"</f>
        <v>202108265322</v>
      </c>
      <c r="F64" t="str">
        <f>"Hard Drives for SO"</f>
        <v>Hard Drives for SO</v>
      </c>
      <c r="G64" s="3">
        <v>298.99</v>
      </c>
      <c r="H64" t="str">
        <f>"GOLD Hard Drive"</f>
        <v>GOLD Hard Drive</v>
      </c>
    </row>
    <row r="65" spans="1:8" x14ac:dyDescent="0.25">
      <c r="E65" t="str">
        <f>""</f>
        <v/>
      </c>
      <c r="F65" t="str">
        <f>""</f>
        <v/>
      </c>
      <c r="G65" s="3">
        <v>279.98</v>
      </c>
      <c r="H65" t="str">
        <f>"RED Hard Drive"</f>
        <v>RED Hard Drive</v>
      </c>
    </row>
    <row r="66" spans="1:8" x14ac:dyDescent="0.25">
      <c r="E66" t="str">
        <f>"202109065530"</f>
        <v>202109065530</v>
      </c>
      <c r="F66" t="str">
        <f>"Amazon Order County Clerk"</f>
        <v>Amazon Order County Clerk</v>
      </c>
      <c r="G66" s="3">
        <v>15.5</v>
      </c>
      <c r="H66" t="str">
        <f>"3x5  Stamp pad dry"</f>
        <v>3x5  Stamp pad dry</v>
      </c>
    </row>
    <row r="67" spans="1:8" x14ac:dyDescent="0.25">
      <c r="E67" t="str">
        <f>"202109075587"</f>
        <v>202109075587</v>
      </c>
      <c r="F67" t="str">
        <f>"Amazon Part for Johnny"</f>
        <v>Amazon Part for Johnny</v>
      </c>
      <c r="G67" s="3">
        <v>302.92</v>
      </c>
      <c r="H67" t="str">
        <f>"Amazon Part for Johnny"</f>
        <v>Amazon Part for Johnny</v>
      </c>
    </row>
    <row r="68" spans="1:8" x14ac:dyDescent="0.25">
      <c r="E68" t="str">
        <f>"25545"</f>
        <v>25545</v>
      </c>
      <c r="F68" t="str">
        <f>"BCAS Cat Adoption Boxes"</f>
        <v>BCAS Cat Adoption Boxes</v>
      </c>
      <c r="G68" s="3">
        <v>243</v>
      </c>
      <c r="H68" t="str">
        <f>"Cat Adoption Boxes"</f>
        <v>Cat Adoption Boxes</v>
      </c>
    </row>
    <row r="69" spans="1:8" x14ac:dyDescent="0.25">
      <c r="E69" t="str">
        <f>"25911"</f>
        <v>25911</v>
      </c>
      <c r="F69" t="str">
        <f>"AMAZON CAPITAL SERVICES INC"</f>
        <v>AMAZON CAPITAL SERVICES INC</v>
      </c>
      <c r="G69" s="3">
        <v>33.270000000000003</v>
      </c>
      <c r="H69" t="str">
        <f>"Computer Cord"</f>
        <v>Computer Cord</v>
      </c>
    </row>
    <row r="70" spans="1:8" x14ac:dyDescent="0.25">
      <c r="E70" t="str">
        <f>"25940"</f>
        <v>25940</v>
      </c>
      <c r="F70" t="str">
        <f>"Amazon Order TADS"</f>
        <v>Amazon Order TADS</v>
      </c>
      <c r="G70" s="3">
        <v>8.98</v>
      </c>
      <c r="H70" t="str">
        <f>"Curad Alcohol Pads"</f>
        <v>Curad Alcohol Pads</v>
      </c>
    </row>
    <row r="71" spans="1:8" x14ac:dyDescent="0.25">
      <c r="E71" t="str">
        <f>"26061"</f>
        <v>26061</v>
      </c>
      <c r="F71" t="str">
        <f>"Amazon Order"</f>
        <v>Amazon Order</v>
      </c>
      <c r="G71" s="3">
        <v>29.98</v>
      </c>
      <c r="H71" t="str">
        <f>"Solar Power Charger"</f>
        <v>Solar Power Charger</v>
      </c>
    </row>
    <row r="72" spans="1:8" x14ac:dyDescent="0.25">
      <c r="E72" t="str">
        <f>""</f>
        <v/>
      </c>
      <c r="F72" t="str">
        <f>""</f>
        <v/>
      </c>
      <c r="G72" s="3">
        <v>116.97</v>
      </c>
      <c r="H72" t="str">
        <f>"Iphone USB"</f>
        <v>Iphone USB</v>
      </c>
    </row>
    <row r="73" spans="1:8" x14ac:dyDescent="0.25">
      <c r="E73" t="str">
        <f>""</f>
        <v/>
      </c>
      <c r="F73" t="str">
        <f>""</f>
        <v/>
      </c>
      <c r="G73" s="3">
        <v>13.37</v>
      </c>
      <c r="H73" t="str">
        <f>"Business card holder"</f>
        <v>Business card holder</v>
      </c>
    </row>
    <row r="74" spans="1:8" x14ac:dyDescent="0.25">
      <c r="E74" t="str">
        <f>"26150"</f>
        <v>26150</v>
      </c>
      <c r="F74" t="str">
        <f>"Headsets for Dist Clerk"</f>
        <v>Headsets for Dist Clerk</v>
      </c>
      <c r="G74" s="3">
        <v>65.88</v>
      </c>
      <c r="H74" t="str">
        <f>"Headsets Dist Clerk"</f>
        <v>Headsets Dist Clerk</v>
      </c>
    </row>
    <row r="75" spans="1:8" x14ac:dyDescent="0.25">
      <c r="E75" t="str">
        <f>""</f>
        <v/>
      </c>
      <c r="F75" t="str">
        <f>""</f>
        <v/>
      </c>
      <c r="G75" s="3">
        <v>8.99</v>
      </c>
      <c r="H75" t="str">
        <f>"Shipping"</f>
        <v>Shipping</v>
      </c>
    </row>
    <row r="76" spans="1:8" x14ac:dyDescent="0.25">
      <c r="A76" t="s">
        <v>18</v>
      </c>
      <c r="B76">
        <v>5126</v>
      </c>
      <c r="C76" s="3">
        <v>3745.54</v>
      </c>
      <c r="D76" s="4">
        <v>44467</v>
      </c>
      <c r="E76" t="str">
        <f>"202109155722"</f>
        <v>202109155722</v>
      </c>
      <c r="F76" t="str">
        <f>"Amazon Order"</f>
        <v>Amazon Order</v>
      </c>
      <c r="G76" s="3">
        <v>197</v>
      </c>
      <c r="H76" t="str">
        <f>"BOOKCASE"</f>
        <v>BOOKCASE</v>
      </c>
    </row>
    <row r="77" spans="1:8" x14ac:dyDescent="0.25">
      <c r="E77" t="str">
        <f>""</f>
        <v/>
      </c>
      <c r="F77" t="str">
        <f>""</f>
        <v/>
      </c>
      <c r="G77" s="3">
        <v>254.99</v>
      </c>
      <c r="H77" t="str">
        <f>"STORAGE CABINET"</f>
        <v>STORAGE CABINET</v>
      </c>
    </row>
    <row r="78" spans="1:8" x14ac:dyDescent="0.25">
      <c r="E78" t="str">
        <f>""</f>
        <v/>
      </c>
      <c r="F78" t="str">
        <f>""</f>
        <v/>
      </c>
      <c r="G78" s="3">
        <v>-10</v>
      </c>
      <c r="H78" t="str">
        <f>"CABINET CREDIT"</f>
        <v>CABINET CREDIT</v>
      </c>
    </row>
    <row r="79" spans="1:8" x14ac:dyDescent="0.25">
      <c r="E79" t="str">
        <f>""</f>
        <v/>
      </c>
      <c r="F79" t="str">
        <f>""</f>
        <v/>
      </c>
      <c r="G79" s="3">
        <v>69.989999999999995</v>
      </c>
      <c r="H79" t="str">
        <f>"SHIPPING COST"</f>
        <v>SHIPPING COST</v>
      </c>
    </row>
    <row r="80" spans="1:8" x14ac:dyDescent="0.25">
      <c r="E80" t="str">
        <f>"202109155723"</f>
        <v>202109155723</v>
      </c>
      <c r="F80" t="str">
        <f>"amazon order hr"</f>
        <v>amazon order hr</v>
      </c>
      <c r="G80" s="3">
        <v>9.99</v>
      </c>
      <c r="H80" t="str">
        <f>"Curtain Hook"</f>
        <v>Curtain Hook</v>
      </c>
    </row>
    <row r="81" spans="5:8" x14ac:dyDescent="0.25">
      <c r="E81" t="str">
        <f>""</f>
        <v/>
      </c>
      <c r="F81" t="str">
        <f>""</f>
        <v/>
      </c>
      <c r="G81" s="3">
        <v>13.49</v>
      </c>
      <c r="H81" t="str">
        <f>"Lace Curtain"</f>
        <v>Lace Curtain</v>
      </c>
    </row>
    <row r="82" spans="5:8" x14ac:dyDescent="0.25">
      <c r="E82" t="str">
        <f>""</f>
        <v/>
      </c>
      <c r="F82" t="str">
        <f>""</f>
        <v/>
      </c>
      <c r="G82" s="3">
        <v>11.5</v>
      </c>
      <c r="H82" t="str">
        <f>"Curtain Rod"</f>
        <v>Curtain Rod</v>
      </c>
    </row>
    <row r="83" spans="5:8" x14ac:dyDescent="0.25">
      <c r="E83" t="str">
        <f>""</f>
        <v/>
      </c>
      <c r="F83" t="str">
        <f>""</f>
        <v/>
      </c>
      <c r="G83" s="3">
        <v>-11.5</v>
      </c>
      <c r="H83" t="str">
        <f>"Curtain Rod Credit"</f>
        <v>Curtain Rod Credit</v>
      </c>
    </row>
    <row r="84" spans="5:8" x14ac:dyDescent="0.25">
      <c r="E84" t="str">
        <f>"202109155724"</f>
        <v>202109155724</v>
      </c>
      <c r="F84" t="str">
        <f>"Amazon Order Scanner"</f>
        <v>Amazon Order Scanner</v>
      </c>
      <c r="G84" s="3">
        <v>242.11</v>
      </c>
      <c r="H84" t="str">
        <f>"Amazon Order Scanner"</f>
        <v>Amazon Order Scanner</v>
      </c>
    </row>
    <row r="85" spans="5:8" x14ac:dyDescent="0.25">
      <c r="E85" t="str">
        <f>"202109215864"</f>
        <v>202109215864</v>
      </c>
      <c r="F85" t="str">
        <f>"Amazon Order"</f>
        <v>Amazon Order</v>
      </c>
      <c r="G85" s="3">
        <v>288.14</v>
      </c>
      <c r="H85" t="str">
        <f>"TV Stand"</f>
        <v>TV Stand</v>
      </c>
    </row>
    <row r="86" spans="5:8" x14ac:dyDescent="0.25">
      <c r="E86" t="str">
        <f>""</f>
        <v/>
      </c>
      <c r="F86" t="str">
        <f>""</f>
        <v/>
      </c>
      <c r="G86" s="3">
        <v>14.99</v>
      </c>
      <c r="H86" t="str">
        <f>"Coat Rack"</f>
        <v>Coat Rack</v>
      </c>
    </row>
    <row r="87" spans="5:8" x14ac:dyDescent="0.25">
      <c r="E87" t="str">
        <f>""</f>
        <v/>
      </c>
      <c r="F87" t="str">
        <f>""</f>
        <v/>
      </c>
      <c r="G87" s="3">
        <v>5.99</v>
      </c>
      <c r="H87" t="str">
        <f>"Shipping"</f>
        <v>Shipping</v>
      </c>
    </row>
    <row r="88" spans="5:8" x14ac:dyDescent="0.25">
      <c r="E88" t="str">
        <f>"202109215866"</f>
        <v>202109215866</v>
      </c>
      <c r="F88" t="str">
        <f>"Amazon Order"</f>
        <v>Amazon Order</v>
      </c>
      <c r="G88" s="3">
        <v>82.95</v>
      </c>
      <c r="H88" t="str">
        <f>"Hose Extension Kit"</f>
        <v>Hose Extension Kit</v>
      </c>
    </row>
    <row r="89" spans="5:8" x14ac:dyDescent="0.25">
      <c r="E89" t="str">
        <f>"202109215870"</f>
        <v>202109215870</v>
      </c>
      <c r="F89" t="str">
        <f>"AMAZON CAPITAL SERVICES INC"</f>
        <v>AMAZON CAPITAL SERVICES INC</v>
      </c>
      <c r="G89" s="3">
        <v>374.75</v>
      </c>
      <c r="H89" t="str">
        <f>"Voice Recorder"</f>
        <v>Voice Recorder</v>
      </c>
    </row>
    <row r="90" spans="5:8" x14ac:dyDescent="0.25">
      <c r="E90" t="str">
        <f>"21-28204"</f>
        <v>21-28204</v>
      </c>
      <c r="F90" t="str">
        <f>"Amazon Ipad Case"</f>
        <v>Amazon Ipad Case</v>
      </c>
      <c r="G90" s="3">
        <v>79.989999999999995</v>
      </c>
      <c r="H90" t="str">
        <f>"Ipad Case"</f>
        <v>Ipad Case</v>
      </c>
    </row>
    <row r="91" spans="5:8" x14ac:dyDescent="0.25">
      <c r="E91" t="str">
        <f>"25441"</f>
        <v>25441</v>
      </c>
      <c r="F91" t="str">
        <f>"AMAZON CAPITAL SERVICES INC"</f>
        <v>AMAZON CAPITAL SERVICES INC</v>
      </c>
      <c r="G91" s="3">
        <v>296.76</v>
      </c>
      <c r="H91" t="str">
        <f>"Zebra Paper"</f>
        <v>Zebra Paper</v>
      </c>
    </row>
    <row r="92" spans="5:8" x14ac:dyDescent="0.25">
      <c r="E92" t="str">
        <f>"25463"</f>
        <v>25463</v>
      </c>
      <c r="F92" t="str">
        <f>"AMAZON CAPITAL SERVICES INC"</f>
        <v>AMAZON CAPITAL SERVICES INC</v>
      </c>
      <c r="G92" s="3">
        <v>916.77</v>
      </c>
      <c r="H92" t="str">
        <f>"Dell Docking Station"</f>
        <v>Dell Docking Station</v>
      </c>
    </row>
    <row r="93" spans="5:8" x14ac:dyDescent="0.25">
      <c r="E93" t="str">
        <f>"26087"</f>
        <v>26087</v>
      </c>
      <c r="F93" t="str">
        <f>"Amazon Order IT"</f>
        <v>Amazon Order IT</v>
      </c>
      <c r="G93" s="3">
        <v>64.989999999999995</v>
      </c>
      <c r="H93" t="str">
        <f>"Crucial RAM 16GB Kit"</f>
        <v>Crucial RAM 16GB Kit</v>
      </c>
    </row>
    <row r="94" spans="5:8" x14ac:dyDescent="0.25">
      <c r="E94" t="str">
        <f>"26219"</f>
        <v>26219</v>
      </c>
      <c r="F94" t="str">
        <f>"Amazon Order Enviromental"</f>
        <v>Amazon Order Enviromental</v>
      </c>
      <c r="G94" s="3">
        <v>43.98</v>
      </c>
      <c r="H94" t="str">
        <f>"Gloves L"</f>
        <v>Gloves L</v>
      </c>
    </row>
    <row r="95" spans="5:8" x14ac:dyDescent="0.25">
      <c r="E95" t="str">
        <f>""</f>
        <v/>
      </c>
      <c r="F95" t="str">
        <f>""</f>
        <v/>
      </c>
      <c r="G95" s="3">
        <v>59.97</v>
      </c>
      <c r="H95" t="str">
        <f>"Gloves M"</f>
        <v>Gloves M</v>
      </c>
    </row>
    <row r="96" spans="5:8" x14ac:dyDescent="0.25">
      <c r="E96" t="str">
        <f>""</f>
        <v/>
      </c>
      <c r="F96" t="str">
        <f>""</f>
        <v/>
      </c>
      <c r="G96" s="3">
        <v>44.25</v>
      </c>
      <c r="H96" t="str">
        <f>"Safety Glases"</f>
        <v>Safety Glases</v>
      </c>
    </row>
    <row r="97" spans="1:8" x14ac:dyDescent="0.25">
      <c r="E97" t="str">
        <f>""</f>
        <v/>
      </c>
      <c r="F97" t="str">
        <f>""</f>
        <v/>
      </c>
      <c r="G97" s="3">
        <v>38.97</v>
      </c>
      <c r="H97" t="str">
        <f>"Trash Bags 50 count"</f>
        <v>Trash Bags 50 count</v>
      </c>
    </row>
    <row r="98" spans="1:8" x14ac:dyDescent="0.25">
      <c r="E98" t="str">
        <f>""</f>
        <v/>
      </c>
      <c r="F98" t="str">
        <f>""</f>
        <v/>
      </c>
      <c r="G98" s="3">
        <v>49.99</v>
      </c>
      <c r="H98" t="str">
        <f>"Trash Bags 150ct"</f>
        <v>Trash Bags 150ct</v>
      </c>
    </row>
    <row r="99" spans="1:8" x14ac:dyDescent="0.25">
      <c r="E99" t="str">
        <f>""</f>
        <v/>
      </c>
      <c r="F99" t="str">
        <f>""</f>
        <v/>
      </c>
      <c r="G99" s="3">
        <v>11.99</v>
      </c>
      <c r="H99" t="str">
        <f>"Electrical Tape"</f>
        <v>Electrical Tape</v>
      </c>
    </row>
    <row r="100" spans="1:8" x14ac:dyDescent="0.25">
      <c r="E100" t="str">
        <f>""</f>
        <v/>
      </c>
      <c r="F100" t="str">
        <f>""</f>
        <v/>
      </c>
      <c r="G100" s="3">
        <v>19.98</v>
      </c>
      <c r="H100" t="str">
        <f>"Face Shields"</f>
        <v>Face Shields</v>
      </c>
    </row>
    <row r="101" spans="1:8" x14ac:dyDescent="0.25">
      <c r="E101" t="str">
        <f>""</f>
        <v/>
      </c>
      <c r="F101" t="str">
        <f>""</f>
        <v/>
      </c>
      <c r="G101" s="3">
        <v>34.229999999999997</v>
      </c>
      <c r="H101" t="str">
        <f>"Spill Control pads"</f>
        <v>Spill Control pads</v>
      </c>
    </row>
    <row r="102" spans="1:8" x14ac:dyDescent="0.25">
      <c r="E102" t="str">
        <f>""</f>
        <v/>
      </c>
      <c r="F102" t="str">
        <f>""</f>
        <v/>
      </c>
      <c r="G102" s="3">
        <v>51.96</v>
      </c>
      <c r="H102" t="str">
        <f>"Super Strength Cloth"</f>
        <v>Super Strength Cloth</v>
      </c>
    </row>
    <row r="103" spans="1:8" x14ac:dyDescent="0.25">
      <c r="E103" t="str">
        <f>""</f>
        <v/>
      </c>
      <c r="F103" t="str">
        <f>""</f>
        <v/>
      </c>
      <c r="G103" s="3">
        <v>149</v>
      </c>
      <c r="H103" t="str">
        <f>"Coleman Cooler"</f>
        <v>Coleman Cooler</v>
      </c>
    </row>
    <row r="104" spans="1:8" x14ac:dyDescent="0.25">
      <c r="E104" t="str">
        <f>""</f>
        <v/>
      </c>
      <c r="F104" t="str">
        <f>""</f>
        <v/>
      </c>
      <c r="G104" s="3">
        <v>92.5</v>
      </c>
      <c r="H104" t="str">
        <f>"Master Lock"</f>
        <v>Master Lock</v>
      </c>
    </row>
    <row r="105" spans="1:8" x14ac:dyDescent="0.25">
      <c r="E105" t="str">
        <f>"26249"</f>
        <v>26249</v>
      </c>
      <c r="F105" t="str">
        <f>"Amazon Camera: Accesories"</f>
        <v>Amazon Camera: Accesories</v>
      </c>
      <c r="G105" s="3">
        <v>219.95</v>
      </c>
      <c r="H105" t="str">
        <f>"Camera"</f>
        <v>Camera</v>
      </c>
    </row>
    <row r="106" spans="1:8" x14ac:dyDescent="0.25">
      <c r="E106" t="str">
        <f>""</f>
        <v/>
      </c>
      <c r="F106" t="str">
        <f>""</f>
        <v/>
      </c>
      <c r="G106" s="3">
        <v>13.63</v>
      </c>
      <c r="H106" t="str">
        <f>"Scan Disk"</f>
        <v>Scan Disk</v>
      </c>
    </row>
    <row r="107" spans="1:8" x14ac:dyDescent="0.25">
      <c r="E107" t="str">
        <f>""</f>
        <v/>
      </c>
      <c r="F107" t="str">
        <f>""</f>
        <v/>
      </c>
      <c r="G107" s="3">
        <v>12.24</v>
      </c>
      <c r="H107" t="str">
        <f>"Camera Case"</f>
        <v>Camera Case</v>
      </c>
    </row>
    <row r="108" spans="1:8" x14ac:dyDescent="0.25">
      <c r="A108" t="s">
        <v>19</v>
      </c>
      <c r="B108">
        <v>136851</v>
      </c>
      <c r="C108" s="3">
        <v>13.99</v>
      </c>
      <c r="D108" s="4">
        <v>44452</v>
      </c>
      <c r="E108" t="str">
        <f>"25736"</f>
        <v>25736</v>
      </c>
      <c r="F108" t="str">
        <f>"AMAZON.COM LLC"</f>
        <v>AMAZON.COM LLC</v>
      </c>
      <c r="G108" s="3">
        <v>13.99</v>
      </c>
      <c r="H108" t="str">
        <f>"Badge Holder"</f>
        <v>Badge Holder</v>
      </c>
    </row>
    <row r="109" spans="1:8" x14ac:dyDescent="0.25">
      <c r="A109" t="s">
        <v>19</v>
      </c>
      <c r="B109">
        <v>137044</v>
      </c>
      <c r="C109" s="3">
        <v>701.7</v>
      </c>
      <c r="D109" s="4">
        <v>44466</v>
      </c>
      <c r="E109" t="str">
        <f>"202109215869"</f>
        <v>202109215869</v>
      </c>
      <c r="F109" t="str">
        <f>"AMAZON.COM LLC"</f>
        <v>AMAZON.COM LLC</v>
      </c>
      <c r="G109" s="3">
        <v>103.66</v>
      </c>
      <c r="H109" t="str">
        <f>""</f>
        <v/>
      </c>
    </row>
    <row r="110" spans="1:8" x14ac:dyDescent="0.25">
      <c r="E110" t="str">
        <f>""</f>
        <v/>
      </c>
      <c r="F110" t="str">
        <f>""</f>
        <v/>
      </c>
      <c r="G110" s="3">
        <v>500</v>
      </c>
      <c r="H110" t="str">
        <f>""</f>
        <v/>
      </c>
    </row>
    <row r="111" spans="1:8" x14ac:dyDescent="0.25">
      <c r="E111" t="str">
        <f>""</f>
        <v/>
      </c>
      <c r="F111" t="str">
        <f>""</f>
        <v/>
      </c>
      <c r="G111" s="3">
        <v>98.04</v>
      </c>
      <c r="H111" t="str">
        <f>"Cameras"</f>
        <v>Cameras</v>
      </c>
    </row>
    <row r="112" spans="1:8" x14ac:dyDescent="0.25">
      <c r="A112" t="s">
        <v>20</v>
      </c>
      <c r="B112">
        <v>136852</v>
      </c>
      <c r="C112" s="3">
        <v>59.07</v>
      </c>
      <c r="D112" s="4">
        <v>44452</v>
      </c>
      <c r="E112" t="str">
        <f>"01-211421120"</f>
        <v>01-211421120</v>
      </c>
      <c r="F112" t="str">
        <f>"INV 01-211421120"</f>
        <v>INV 01-211421120</v>
      </c>
      <c r="G112" s="3">
        <v>24.97</v>
      </c>
      <c r="H112" t="str">
        <f>"INV 01-211421120"</f>
        <v>INV 01-211421120</v>
      </c>
    </row>
    <row r="113" spans="1:8" x14ac:dyDescent="0.25">
      <c r="E113" t="str">
        <f>"01-21142417"</f>
        <v>01-21142417</v>
      </c>
      <c r="F113" t="str">
        <f>"INV 01-211424217"</f>
        <v>INV 01-211424217</v>
      </c>
      <c r="G113" s="3">
        <v>34.1</v>
      </c>
      <c r="H113" t="str">
        <f>"INV 01-211424217"</f>
        <v>INV 01-211424217</v>
      </c>
    </row>
    <row r="114" spans="1:8" x14ac:dyDescent="0.25">
      <c r="A114" t="s">
        <v>20</v>
      </c>
      <c r="B114">
        <v>137045</v>
      </c>
      <c r="C114" s="3">
        <v>36.9</v>
      </c>
      <c r="D114" s="4">
        <v>44466</v>
      </c>
      <c r="E114" t="str">
        <f>"01-211428966"</f>
        <v>01-211428966</v>
      </c>
      <c r="F114" t="str">
        <f>"INV 01-211428966"</f>
        <v>INV 01-211428966</v>
      </c>
      <c r="G114" s="3">
        <v>36.9</v>
      </c>
      <c r="H114" t="str">
        <f>"INV 01-211428966"</f>
        <v>INV 01-211428966</v>
      </c>
    </row>
    <row r="115" spans="1:8" x14ac:dyDescent="0.25">
      <c r="A115" t="s">
        <v>21</v>
      </c>
      <c r="B115">
        <v>5069</v>
      </c>
      <c r="C115" s="3">
        <v>5180</v>
      </c>
      <c r="D115" s="4">
        <v>44453</v>
      </c>
      <c r="E115" t="str">
        <f>"202108265349"</f>
        <v>202108265349</v>
      </c>
      <c r="F115" t="str">
        <f>"02-0725-3"</f>
        <v>02-0725-3</v>
      </c>
      <c r="G115" s="3">
        <v>250</v>
      </c>
      <c r="H115" t="str">
        <f>"02-0725-3"</f>
        <v>02-0725-3</v>
      </c>
    </row>
    <row r="116" spans="1:8" x14ac:dyDescent="0.25">
      <c r="E116" t="str">
        <f>"202108265369"</f>
        <v>202108265369</v>
      </c>
      <c r="F116" t="str">
        <f>"17-120"</f>
        <v>17-120</v>
      </c>
      <c r="G116" s="3">
        <v>400</v>
      </c>
      <c r="H116" t="str">
        <f>"17-120"</f>
        <v>17-120</v>
      </c>
    </row>
    <row r="117" spans="1:8" x14ac:dyDescent="0.25">
      <c r="E117" t="str">
        <f>"202108265370"</f>
        <v>202108265370</v>
      </c>
      <c r="F117" t="str">
        <f>"1866-335"</f>
        <v>1866-335</v>
      </c>
      <c r="G117" s="3">
        <v>100</v>
      </c>
      <c r="H117" t="str">
        <f>"1866-335"</f>
        <v>1866-335</v>
      </c>
    </row>
    <row r="118" spans="1:8" x14ac:dyDescent="0.25">
      <c r="E118" t="str">
        <f>"202108315393"</f>
        <v>202108315393</v>
      </c>
      <c r="F118" t="str">
        <f>"AC-2021-0506"</f>
        <v>AC-2021-0506</v>
      </c>
      <c r="G118" s="3">
        <v>400</v>
      </c>
      <c r="H118" t="str">
        <f>"AC-2021-0506"</f>
        <v>AC-2021-0506</v>
      </c>
    </row>
    <row r="119" spans="1:8" x14ac:dyDescent="0.25">
      <c r="E119" t="str">
        <f>"202108315395"</f>
        <v>202108315395</v>
      </c>
      <c r="F119" t="str">
        <f>"20-20403"</f>
        <v>20-20403</v>
      </c>
      <c r="G119" s="3">
        <v>202.5</v>
      </c>
      <c r="H119" t="str">
        <f>"20-20403"</f>
        <v>20-20403</v>
      </c>
    </row>
    <row r="120" spans="1:8" x14ac:dyDescent="0.25">
      <c r="E120" t="str">
        <f>"202108315396"</f>
        <v>202108315396</v>
      </c>
      <c r="F120" t="str">
        <f>"20-20056"</f>
        <v>20-20056</v>
      </c>
      <c r="G120" s="3">
        <v>570</v>
      </c>
      <c r="H120" t="str">
        <f>"20-20056"</f>
        <v>20-20056</v>
      </c>
    </row>
    <row r="121" spans="1:8" x14ac:dyDescent="0.25">
      <c r="E121" t="str">
        <f>"202108315397"</f>
        <v>202108315397</v>
      </c>
      <c r="F121" t="str">
        <f>"21-20562"</f>
        <v>21-20562</v>
      </c>
      <c r="G121" s="3">
        <v>112.5</v>
      </c>
      <c r="H121" t="str">
        <f>"21-20562"</f>
        <v>21-20562</v>
      </c>
    </row>
    <row r="122" spans="1:8" x14ac:dyDescent="0.25">
      <c r="E122" t="str">
        <f>"202108315398"</f>
        <v>202108315398</v>
      </c>
      <c r="F122" t="str">
        <f>"20-20527"</f>
        <v>20-20527</v>
      </c>
      <c r="G122" s="3">
        <v>22.5</v>
      </c>
      <c r="H122" t="str">
        <f>"20-20527"</f>
        <v>20-20527</v>
      </c>
    </row>
    <row r="123" spans="1:8" x14ac:dyDescent="0.25">
      <c r="E123" t="str">
        <f>"202108315399"</f>
        <v>202108315399</v>
      </c>
      <c r="F123" t="str">
        <f>"20-20030"</f>
        <v>20-20030</v>
      </c>
      <c r="G123" s="3">
        <v>705</v>
      </c>
      <c r="H123" t="str">
        <f>"20-20030"</f>
        <v>20-20030</v>
      </c>
    </row>
    <row r="124" spans="1:8" x14ac:dyDescent="0.25">
      <c r="E124" t="str">
        <f>"202108315400"</f>
        <v>202108315400</v>
      </c>
      <c r="F124" t="str">
        <f>"21-20608"</f>
        <v>21-20608</v>
      </c>
      <c r="G124" s="3">
        <v>172.5</v>
      </c>
      <c r="H124" t="str">
        <f>"21-20608"</f>
        <v>21-20608</v>
      </c>
    </row>
    <row r="125" spans="1:8" x14ac:dyDescent="0.25">
      <c r="E125" t="str">
        <f>"202108315401"</f>
        <v>202108315401</v>
      </c>
      <c r="F125" t="str">
        <f>"21-20845"</f>
        <v>21-20845</v>
      </c>
      <c r="G125" s="3">
        <v>782.5</v>
      </c>
      <c r="H125" t="str">
        <f>"21-20845"</f>
        <v>21-20845</v>
      </c>
    </row>
    <row r="126" spans="1:8" x14ac:dyDescent="0.25">
      <c r="E126" t="str">
        <f>"202108315402"</f>
        <v>202108315402</v>
      </c>
      <c r="F126" t="str">
        <f>"21-20642"</f>
        <v>21-20642</v>
      </c>
      <c r="G126" s="3">
        <v>217.5</v>
      </c>
      <c r="H126" t="str">
        <f>"21-20642"</f>
        <v>21-20642</v>
      </c>
    </row>
    <row r="127" spans="1:8" x14ac:dyDescent="0.25">
      <c r="E127" t="str">
        <f>"202108315403"</f>
        <v>202108315403</v>
      </c>
      <c r="F127" t="str">
        <f>"20-20179"</f>
        <v>20-20179</v>
      </c>
      <c r="G127" s="3">
        <v>345</v>
      </c>
      <c r="H127" t="str">
        <f>"20-20179"</f>
        <v>20-20179</v>
      </c>
    </row>
    <row r="128" spans="1:8" x14ac:dyDescent="0.25">
      <c r="E128" t="str">
        <f>"202108315409"</f>
        <v>202108315409</v>
      </c>
      <c r="F128" t="str">
        <f>"410057-2  410057-3"</f>
        <v>410057-2  410057-3</v>
      </c>
      <c r="G128" s="3">
        <v>600</v>
      </c>
      <c r="H128" t="str">
        <f>"410057-2  410057-3"</f>
        <v>410057-2  410057-3</v>
      </c>
    </row>
    <row r="129" spans="1:8" x14ac:dyDescent="0.25">
      <c r="E129" t="str">
        <f>"202109015419"</f>
        <v>202109015419</v>
      </c>
      <c r="F129" t="str">
        <f>"423-7913"</f>
        <v>423-7913</v>
      </c>
      <c r="G129" s="3">
        <v>100</v>
      </c>
      <c r="H129" t="str">
        <f>"423-7913"</f>
        <v>423-7913</v>
      </c>
    </row>
    <row r="130" spans="1:8" x14ac:dyDescent="0.25">
      <c r="E130" t="str">
        <f>"202109015420"</f>
        <v>202109015420</v>
      </c>
      <c r="F130" t="str">
        <f>"1837-335  1833-21"</f>
        <v>1837-335  1833-21</v>
      </c>
      <c r="G130" s="3">
        <v>200</v>
      </c>
      <c r="H130" t="str">
        <f>"1837-335  1833-21"</f>
        <v>1837-335  1833-21</v>
      </c>
    </row>
    <row r="131" spans="1:8" x14ac:dyDescent="0.25">
      <c r="A131" t="s">
        <v>21</v>
      </c>
      <c r="B131">
        <v>5161</v>
      </c>
      <c r="C131" s="3">
        <v>3000</v>
      </c>
      <c r="D131" s="4">
        <v>44467</v>
      </c>
      <c r="E131" t="str">
        <f>"202109155699"</f>
        <v>202109155699</v>
      </c>
      <c r="F131" t="str">
        <f>"307212018A"</f>
        <v>307212018A</v>
      </c>
      <c r="G131" s="3">
        <v>600</v>
      </c>
      <c r="H131" t="str">
        <f>"307212018A"</f>
        <v>307212018A</v>
      </c>
    </row>
    <row r="132" spans="1:8" x14ac:dyDescent="0.25">
      <c r="E132" t="str">
        <f>"202109175768"</f>
        <v>202109175768</v>
      </c>
      <c r="F132" t="str">
        <f>"17-101"</f>
        <v>17-101</v>
      </c>
      <c r="G132" s="3">
        <v>400</v>
      </c>
      <c r="H132" t="str">
        <f>"17-101"</f>
        <v>17-101</v>
      </c>
    </row>
    <row r="133" spans="1:8" x14ac:dyDescent="0.25">
      <c r="E133" t="str">
        <f>"202109175769"</f>
        <v>202109175769</v>
      </c>
      <c r="F133" t="str">
        <f>"410057.4"</f>
        <v>410057.4</v>
      </c>
      <c r="G133" s="3">
        <v>200</v>
      </c>
      <c r="H133" t="str">
        <f>"410057.4"</f>
        <v>410057.4</v>
      </c>
    </row>
    <row r="134" spans="1:8" x14ac:dyDescent="0.25">
      <c r="E134" t="str">
        <f>"202109205795"</f>
        <v>202109205795</v>
      </c>
      <c r="F134" t="str">
        <f>"02-0516-3"</f>
        <v>02-0516-3</v>
      </c>
      <c r="G134" s="3">
        <v>250</v>
      </c>
      <c r="H134" t="str">
        <f>"02-0516-3"</f>
        <v>02-0516-3</v>
      </c>
    </row>
    <row r="135" spans="1:8" x14ac:dyDescent="0.25">
      <c r="E135" t="str">
        <f>"202109205796"</f>
        <v>202109205796</v>
      </c>
      <c r="F135" t="str">
        <f>"58000"</f>
        <v>58000</v>
      </c>
      <c r="G135" s="3">
        <v>250</v>
      </c>
      <c r="H135" t="str">
        <f>"58000"</f>
        <v>58000</v>
      </c>
    </row>
    <row r="136" spans="1:8" x14ac:dyDescent="0.25">
      <c r="E136" t="str">
        <f>"202109205798"</f>
        <v>202109205798</v>
      </c>
      <c r="F136" t="str">
        <f>"BC20180506A"</f>
        <v>BC20180506A</v>
      </c>
      <c r="G136" s="3">
        <v>400</v>
      </c>
      <c r="H136" t="str">
        <f>"BC20180506A"</f>
        <v>BC20180506A</v>
      </c>
    </row>
    <row r="137" spans="1:8" x14ac:dyDescent="0.25">
      <c r="E137" t="str">
        <f>"202109205808"</f>
        <v>202109205808</v>
      </c>
      <c r="F137" t="str">
        <f>"17-150"</f>
        <v>17-150</v>
      </c>
      <c r="G137" s="3">
        <v>400</v>
      </c>
      <c r="H137" t="str">
        <f>"17-150"</f>
        <v>17-150</v>
      </c>
    </row>
    <row r="138" spans="1:8" x14ac:dyDescent="0.25">
      <c r="E138" t="str">
        <f>"202109205811"</f>
        <v>202109205811</v>
      </c>
      <c r="F138" t="str">
        <f>"308132019G"</f>
        <v>308132019G</v>
      </c>
      <c r="G138" s="3">
        <v>250</v>
      </c>
      <c r="H138" t="str">
        <f>"308132019G"</f>
        <v>308132019G</v>
      </c>
    </row>
    <row r="139" spans="1:8" x14ac:dyDescent="0.25">
      <c r="E139" t="str">
        <f>"202109215839"</f>
        <v>202109215839</v>
      </c>
      <c r="F139" t="str">
        <f>"JP103112019"</f>
        <v>JP103112019</v>
      </c>
      <c r="G139" s="3">
        <v>250</v>
      </c>
      <c r="H139" t="str">
        <f>"JP103112019"</f>
        <v>JP103112019</v>
      </c>
    </row>
    <row r="140" spans="1:8" x14ac:dyDescent="0.25">
      <c r="A140" t="s">
        <v>22</v>
      </c>
      <c r="B140">
        <v>137046</v>
      </c>
      <c r="C140" s="3">
        <v>208.68</v>
      </c>
      <c r="D140" s="4">
        <v>44466</v>
      </c>
      <c r="E140" t="str">
        <f>"43T093147"</f>
        <v>43T093147</v>
      </c>
      <c r="F140" t="str">
        <f>"INV 43T093147"</f>
        <v>INV 43T093147</v>
      </c>
      <c r="G140" s="3">
        <v>208.68</v>
      </c>
      <c r="H140" t="str">
        <f>"INV 43T093147"</f>
        <v>INV 43T093147</v>
      </c>
    </row>
    <row r="141" spans="1:8" x14ac:dyDescent="0.25">
      <c r="A141" t="s">
        <v>23</v>
      </c>
      <c r="B141">
        <v>136853</v>
      </c>
      <c r="C141" s="3">
        <v>81.92</v>
      </c>
      <c r="D141" s="4">
        <v>44452</v>
      </c>
      <c r="E141" t="str">
        <f>"2108-361243"</f>
        <v>2108-361243</v>
      </c>
      <c r="F141" t="str">
        <f>"ACCT#3-3053/PCT#2"</f>
        <v>ACCT#3-3053/PCT#2</v>
      </c>
      <c r="G141" s="3">
        <v>81.92</v>
      </c>
      <c r="H141" t="str">
        <f>"ACCT#3-3053/PCT#2"</f>
        <v>ACCT#3-3053/PCT#2</v>
      </c>
    </row>
    <row r="142" spans="1:8" x14ac:dyDescent="0.25">
      <c r="A142" t="s">
        <v>24</v>
      </c>
      <c r="B142">
        <v>136854</v>
      </c>
      <c r="C142" s="3">
        <v>1123.5</v>
      </c>
      <c r="D142" s="4">
        <v>44452</v>
      </c>
      <c r="E142" t="str">
        <f>"202109015421"</f>
        <v>202109015421</v>
      </c>
      <c r="F142" t="str">
        <f>"ACCT#010602/COMMISSIONER OFFIC"</f>
        <v>ACCT#010602/COMMISSIONER OFFIC</v>
      </c>
      <c r="G142" s="3">
        <v>24</v>
      </c>
      <c r="H142" t="str">
        <f>"ACCT#010602/COMMISSIONER OFFIC"</f>
        <v>ACCT#010602/COMMISSIONER OFFIC</v>
      </c>
    </row>
    <row r="143" spans="1:8" x14ac:dyDescent="0.25">
      <c r="E143" t="str">
        <f>"202109015422"</f>
        <v>202109015422</v>
      </c>
      <c r="F143" t="str">
        <f>"ACCT#012260/DISTRICT ATTORNEY"</f>
        <v>ACCT#012260/DISTRICT ATTORNEY</v>
      </c>
      <c r="G143" s="3">
        <v>45</v>
      </c>
      <c r="H143" t="str">
        <f>"ACCT#012260/DISTRICT ATTORNEY"</f>
        <v>ACCT#012260/DISTRICT ATTORNEY</v>
      </c>
    </row>
    <row r="144" spans="1:8" x14ac:dyDescent="0.25">
      <c r="E144" t="str">
        <f>"202109015423"</f>
        <v>202109015423</v>
      </c>
      <c r="F144" t="str">
        <f>"ACCT#010057/AUDITOR"</f>
        <v>ACCT#010057/AUDITOR</v>
      </c>
      <c r="G144" s="3">
        <v>3</v>
      </c>
      <c r="H144" t="str">
        <f>"ACCT#010057/AUDITOR"</f>
        <v>ACCT#010057/AUDITOR</v>
      </c>
    </row>
    <row r="145" spans="5:8" x14ac:dyDescent="0.25">
      <c r="E145" t="str">
        <f>"202109015424"</f>
        <v>202109015424</v>
      </c>
      <c r="F145" t="str">
        <f>"ACCT#011280/COUNTY CLERK"</f>
        <v>ACCT#011280/COUNTY CLERK</v>
      </c>
      <c r="G145" s="3">
        <v>54</v>
      </c>
      <c r="H145" t="str">
        <f>"ACCT#011280/COUNTY CLERK"</f>
        <v>ACCT#011280/COUNTY CLERK</v>
      </c>
    </row>
    <row r="146" spans="5:8" x14ac:dyDescent="0.25">
      <c r="E146" t="str">
        <f>"202109015425"</f>
        <v>202109015425</v>
      </c>
      <c r="F146" t="str">
        <f>"ACCT#011955/DISTRICT JUDGE"</f>
        <v>ACCT#011955/DISTRICT JUDGE</v>
      </c>
      <c r="G146" s="3">
        <v>18</v>
      </c>
      <c r="H146" t="str">
        <f>"ACCT#011955/DISTRICT JUDGE"</f>
        <v>ACCT#011955/DISTRICT JUDGE</v>
      </c>
    </row>
    <row r="147" spans="5:8" x14ac:dyDescent="0.25">
      <c r="E147" t="str">
        <f>"202109015426"</f>
        <v>202109015426</v>
      </c>
      <c r="F147" t="str">
        <f>"ACCT#012231/DIST JUDGE OFFICE"</f>
        <v>ACCT#012231/DIST JUDGE OFFICE</v>
      </c>
      <c r="G147" s="3">
        <v>10</v>
      </c>
      <c r="H147" t="str">
        <f>"ACCT#012231/DIST JUDGE OFFICE"</f>
        <v>ACCT#012231/DIST JUDGE OFFICE</v>
      </c>
    </row>
    <row r="148" spans="5:8" x14ac:dyDescent="0.25">
      <c r="E148" t="str">
        <f>"202109015427"</f>
        <v>202109015427</v>
      </c>
      <c r="F148" t="str">
        <f>"ACCT#010835/PCT#1"</f>
        <v>ACCT#010835/PCT#1</v>
      </c>
      <c r="G148" s="3">
        <v>20.5</v>
      </c>
      <c r="H148" t="str">
        <f>"ACCT#010835/PCT#1"</f>
        <v>ACCT#010835/PCT#1</v>
      </c>
    </row>
    <row r="149" spans="5:8" x14ac:dyDescent="0.25">
      <c r="E149" t="str">
        <f>"202109015431"</f>
        <v>202109015431</v>
      </c>
      <c r="F149" t="str">
        <f>"ACCT#010238/GENERAL SVCS"</f>
        <v>ACCT#010238/GENERAL SVCS</v>
      </c>
      <c r="G149" s="3">
        <v>61</v>
      </c>
      <c r="H149" t="str">
        <f>"ACCT#010238/GENERAL SVCS"</f>
        <v>ACCT#010238/GENERAL SVCS</v>
      </c>
    </row>
    <row r="150" spans="5:8" x14ac:dyDescent="0.25">
      <c r="E150" t="str">
        <f>"202109015432"</f>
        <v>202109015432</v>
      </c>
      <c r="F150" t="str">
        <f>"ACCT#011474/ELECTIONS"</f>
        <v>ACCT#011474/ELECTIONS</v>
      </c>
      <c r="G150" s="3">
        <v>10</v>
      </c>
      <c r="H150" t="str">
        <f>"ACCT#011474/ELECTIONS"</f>
        <v>ACCT#011474/ELECTIONS</v>
      </c>
    </row>
    <row r="151" spans="5:8" x14ac:dyDescent="0.25">
      <c r="E151" t="str">
        <f>"202109015433"</f>
        <v>202109015433</v>
      </c>
      <c r="F151" t="str">
        <f>"ACCT#015476/PURCHASING"</f>
        <v>ACCT#015476/PURCHASING</v>
      </c>
      <c r="G151" s="3">
        <v>26.5</v>
      </c>
      <c r="H151" t="str">
        <f>"ACCT#015476/PURCHASING"</f>
        <v>ACCT#015476/PURCHASING</v>
      </c>
    </row>
    <row r="152" spans="5:8" x14ac:dyDescent="0.25">
      <c r="E152" t="str">
        <f>"202109015434"</f>
        <v>202109015434</v>
      </c>
      <c r="F152" t="str">
        <f>"ACCT#012571/TREASURER"</f>
        <v>ACCT#012571/TREASURER</v>
      </c>
      <c r="G152" s="3">
        <v>24</v>
      </c>
      <c r="H152" t="str">
        <f>"ACCT#012571/TREASURER"</f>
        <v>ACCT#012571/TREASURER</v>
      </c>
    </row>
    <row r="153" spans="5:8" x14ac:dyDescent="0.25">
      <c r="E153" t="str">
        <f>"202109025436"</f>
        <v>202109025436</v>
      </c>
      <c r="F153" t="str">
        <f>"ACCT#014877/INDIGENT HLTH"</f>
        <v>ACCT#014877/INDIGENT HLTH</v>
      </c>
      <c r="G153" s="3">
        <v>17</v>
      </c>
      <c r="H153" t="str">
        <f>"ACCT#014877/INDIGENT HLTH"</f>
        <v>ACCT#014877/INDIGENT HLTH</v>
      </c>
    </row>
    <row r="154" spans="5:8" x14ac:dyDescent="0.25">
      <c r="E154" t="str">
        <f>"202109025437"</f>
        <v>202109025437</v>
      </c>
      <c r="F154" t="str">
        <f>"ACCT#012803/BASTROP CO JUDGE"</f>
        <v>ACCT#012803/BASTROP CO JUDGE</v>
      </c>
      <c r="G154" s="3">
        <v>16.5</v>
      </c>
      <c r="H154" t="str">
        <f>"ACCT#012803/BASTROP CO JUDGE"</f>
        <v>ACCT#012803/BASTROP CO JUDGE</v>
      </c>
    </row>
    <row r="155" spans="5:8" x14ac:dyDescent="0.25">
      <c r="E155" t="str">
        <f>"202109025438"</f>
        <v>202109025438</v>
      </c>
      <c r="F155" t="str">
        <f>"ACCT#012259/DISTRICT CLERK"</f>
        <v>ACCT#012259/DISTRICT CLERK</v>
      </c>
      <c r="G155" s="3">
        <v>54</v>
      </c>
      <c r="H155" t="str">
        <f>"ACCT#012259/DISTRICT CLERK"</f>
        <v>ACCT#012259/DISTRICT CLERK</v>
      </c>
    </row>
    <row r="156" spans="5:8" x14ac:dyDescent="0.25">
      <c r="E156" t="str">
        <f>"202109075542"</f>
        <v>202109075542</v>
      </c>
      <c r="F156" t="str">
        <f>"ACCT#015199/JP#1"</f>
        <v>ACCT#015199/JP#1</v>
      </c>
      <c r="G156" s="3">
        <v>9</v>
      </c>
      <c r="H156" t="str">
        <f>"ACCT#015199/JP#1"</f>
        <v>ACCT#015199/JP#1</v>
      </c>
    </row>
    <row r="157" spans="5:8" x14ac:dyDescent="0.25">
      <c r="E157" t="str">
        <f>"202109075555"</f>
        <v>202109075555</v>
      </c>
      <c r="F157" t="str">
        <f>"ACCT#010149/TEXAS AGRI LIFE"</f>
        <v>ACCT#010149/TEXAS AGRI LIFE</v>
      </c>
      <c r="G157" s="3">
        <v>80</v>
      </c>
      <c r="H157" t="str">
        <f>"ACCT#010149/TEXAS AGRI LIFE"</f>
        <v>ACCT#010149/TEXAS AGRI LIFE</v>
      </c>
    </row>
    <row r="158" spans="5:8" x14ac:dyDescent="0.25">
      <c r="E158" t="str">
        <f>"202109085619"</f>
        <v>202109085619</v>
      </c>
      <c r="F158" t="str">
        <f>"ACCT#014737/ANIMAL SERVICE"</f>
        <v>ACCT#014737/ANIMAL SERVICE</v>
      </c>
      <c r="G158" s="3">
        <v>116</v>
      </c>
      <c r="H158" t="str">
        <f>"ACCT#014737/ANIMAL SERVICE"</f>
        <v>ACCT#014737/ANIMAL SERVICE</v>
      </c>
    </row>
    <row r="159" spans="5:8" x14ac:dyDescent="0.25">
      <c r="E159" t="str">
        <f>"202109085623"</f>
        <v>202109085623</v>
      </c>
      <c r="F159" t="str">
        <f>"ACCT#011033/IT DEPT"</f>
        <v>ACCT#011033/IT DEPT</v>
      </c>
      <c r="G159" s="3">
        <v>63</v>
      </c>
      <c r="H159" t="str">
        <f>"ACCT#011033/IT DEPT"</f>
        <v>ACCT#011033/IT DEPT</v>
      </c>
    </row>
    <row r="160" spans="5:8" x14ac:dyDescent="0.25">
      <c r="E160" t="str">
        <f>"288447"</f>
        <v>288447</v>
      </c>
      <c r="F160" t="str">
        <f>"ACCT#015510/CASES OF WATER"</f>
        <v>ACCT#015510/CASES OF WATER</v>
      </c>
      <c r="G160" s="3">
        <v>472</v>
      </c>
      <c r="H160" t="str">
        <f>"ACCT#015510/CASES OF WATER"</f>
        <v>ACCT#015510/CASES OF WATER</v>
      </c>
    </row>
    <row r="161" spans="1:8" x14ac:dyDescent="0.25">
      <c r="A161" t="s">
        <v>24</v>
      </c>
      <c r="B161">
        <v>137047</v>
      </c>
      <c r="C161" s="3">
        <v>48</v>
      </c>
      <c r="D161" s="4">
        <v>44466</v>
      </c>
      <c r="E161" t="str">
        <f>"202109155712"</f>
        <v>202109155712</v>
      </c>
      <c r="F161" t="str">
        <f>"ACCT#010311/COUNTY COURT"</f>
        <v>ACCT#010311/COUNTY COURT</v>
      </c>
      <c r="G161" s="3">
        <v>9</v>
      </c>
      <c r="H161" t="str">
        <f>"ACCT#010311/COUNTY COURT"</f>
        <v>ACCT#010311/COUNTY COURT</v>
      </c>
    </row>
    <row r="162" spans="1:8" x14ac:dyDescent="0.25">
      <c r="E162" t="str">
        <f>"202109155713"</f>
        <v>202109155713</v>
      </c>
      <c r="F162" t="str">
        <f>"ACCT#013393/HUMAN RESCOURCES"</f>
        <v>ACCT#013393/HUMAN RESCOURCES</v>
      </c>
      <c r="G162" s="3">
        <v>39</v>
      </c>
      <c r="H162" t="str">
        <f>"ACCT#013393/HUMAN RESCOURCES"</f>
        <v>ACCT#013393/HUMAN RESCOURCES</v>
      </c>
    </row>
    <row r="163" spans="1:8" x14ac:dyDescent="0.25">
      <c r="A163" t="s">
        <v>25</v>
      </c>
      <c r="B163">
        <v>136843</v>
      </c>
      <c r="C163" s="3">
        <v>139.81</v>
      </c>
      <c r="D163" s="4">
        <v>44448</v>
      </c>
      <c r="E163" t="str">
        <f>"202109095641"</f>
        <v>202109095641</v>
      </c>
      <c r="F163" t="str">
        <f>"ACCT#0201855301 / 09032021"</f>
        <v>ACCT#0201855301 / 09032021</v>
      </c>
      <c r="G163" s="3">
        <v>89.25</v>
      </c>
      <c r="H163" t="str">
        <f>"AQUA WATER SUPPLY CORPORATION"</f>
        <v>AQUA WATER SUPPLY CORPORATION</v>
      </c>
    </row>
    <row r="164" spans="1:8" x14ac:dyDescent="0.25">
      <c r="E164" t="str">
        <f>"202109095642"</f>
        <v>202109095642</v>
      </c>
      <c r="F164" t="str">
        <f>"ACCT#0201891401 / 09032021"</f>
        <v>ACCT#0201891401 / 09032021</v>
      </c>
      <c r="G164" s="3">
        <v>25.28</v>
      </c>
      <c r="H164" t="str">
        <f>"ACCT#0201891401 / 09032021"</f>
        <v>ACCT#0201891401 / 09032021</v>
      </c>
    </row>
    <row r="165" spans="1:8" x14ac:dyDescent="0.25">
      <c r="E165" t="str">
        <f>"202109095643"</f>
        <v>202109095643</v>
      </c>
      <c r="F165" t="str">
        <f>"ACCT#0202496901 / 09032021"</f>
        <v>ACCT#0202496901 / 09032021</v>
      </c>
      <c r="G165" s="3">
        <v>25.28</v>
      </c>
      <c r="H165" t="str">
        <f>"ACCT#0202496901 / 09032021"</f>
        <v>ACCT#0202496901 / 09032021</v>
      </c>
    </row>
    <row r="166" spans="1:8" x14ac:dyDescent="0.25">
      <c r="A166" t="s">
        <v>25</v>
      </c>
      <c r="B166">
        <v>137048</v>
      </c>
      <c r="C166" s="3">
        <v>1963.38</v>
      </c>
      <c r="D166" s="4">
        <v>44466</v>
      </c>
      <c r="E166" t="str">
        <f>"202109175773"</f>
        <v>202109175773</v>
      </c>
      <c r="F166" t="str">
        <f>"ACCT#7700010027/PCT#4"</f>
        <v>ACCT#7700010027/PCT#4</v>
      </c>
      <c r="G166" s="3">
        <v>1435</v>
      </c>
      <c r="H166" t="str">
        <f>"ACCT#7700010027/PCT#4"</f>
        <v>ACCT#7700010027/PCT#4</v>
      </c>
    </row>
    <row r="167" spans="1:8" x14ac:dyDescent="0.25">
      <c r="E167" t="str">
        <f>"202109175775"</f>
        <v>202109175775</v>
      </c>
      <c r="F167" t="str">
        <f>"ACCT#7700010025/PCT#2"</f>
        <v>ACCT#7700010025/PCT#2</v>
      </c>
      <c r="G167" s="3">
        <v>71.75</v>
      </c>
      <c r="H167" t="str">
        <f>"ACCT#7700010025/PCT#2"</f>
        <v>ACCT#7700010025/PCT#2</v>
      </c>
    </row>
    <row r="168" spans="1:8" x14ac:dyDescent="0.25">
      <c r="E168" t="str">
        <f>"202109175776"</f>
        <v>202109175776</v>
      </c>
      <c r="F168" t="str">
        <f>"ACCT#7700010019/PCT#3"</f>
        <v>ACCT#7700010019/PCT#3</v>
      </c>
      <c r="G168" s="3">
        <v>22.03</v>
      </c>
      <c r="H168" t="str">
        <f>"ACCT#7700010019/PCT#3"</f>
        <v>ACCT#7700010019/PCT#3</v>
      </c>
    </row>
    <row r="169" spans="1:8" x14ac:dyDescent="0.25">
      <c r="E169" t="str">
        <f>"202109175779"</f>
        <v>202109175779</v>
      </c>
      <c r="F169" t="str">
        <f>"ACCT#7700010026/PCT#3"</f>
        <v>ACCT#7700010026/PCT#3</v>
      </c>
      <c r="G169" s="3">
        <v>434.6</v>
      </c>
      <c r="H169" t="str">
        <f>"ACCT#7700010026/PCT#3"</f>
        <v>ACCT#7700010026/PCT#3</v>
      </c>
    </row>
    <row r="170" spans="1:8" x14ac:dyDescent="0.25">
      <c r="A170" t="s">
        <v>26</v>
      </c>
      <c r="B170">
        <v>136855</v>
      </c>
      <c r="C170" s="3">
        <v>1350</v>
      </c>
      <c r="D170" s="4">
        <v>44452</v>
      </c>
      <c r="E170" t="str">
        <f>"2125.02"</f>
        <v>2125.02</v>
      </c>
      <c r="F170" t="str">
        <f>"CONCEPTUAL PLAN/HERITAGE PARK"</f>
        <v>CONCEPTUAL PLAN/HERITAGE PARK</v>
      </c>
      <c r="G170" s="3">
        <v>1350</v>
      </c>
      <c r="H170" t="str">
        <f>"CONCEPTUAL PLAN/HERITAGE PARK"</f>
        <v>CONCEPTUAL PLAN/HERITAGE PARK</v>
      </c>
    </row>
    <row r="171" spans="1:8" x14ac:dyDescent="0.25">
      <c r="A171" t="s">
        <v>27</v>
      </c>
      <c r="B171">
        <v>5111</v>
      </c>
      <c r="C171" s="3">
        <v>5188.7700000000004</v>
      </c>
      <c r="D171" s="4">
        <v>44467</v>
      </c>
      <c r="E171" t="str">
        <f>"15233"</f>
        <v>15233</v>
      </c>
      <c r="F171" t="str">
        <f>"SOCIAL MEDIA MANAGEMENT/AUG/SE"</f>
        <v>SOCIAL MEDIA MANAGEMENT/AUG/SE</v>
      </c>
      <c r="G171" s="3">
        <v>4138.7700000000004</v>
      </c>
      <c r="H171" t="str">
        <f>"SOCIAL MEDIA MANAGEMENT/AUG/SE"</f>
        <v>SOCIAL MEDIA MANAGEMENT/AUG/SE</v>
      </c>
    </row>
    <row r="172" spans="1:8" x14ac:dyDescent="0.25">
      <c r="E172" t="str">
        <f>"15234"</f>
        <v>15234</v>
      </c>
      <c r="F172" t="str">
        <f>"WEBSITE HOSTING/AUGUST"</f>
        <v>WEBSITE HOSTING/AUGUST</v>
      </c>
      <c r="G172" s="3">
        <v>1050</v>
      </c>
      <c r="H172" t="str">
        <f>"WEBSITE HOSTING/AUGUST"</f>
        <v>WEBSITE HOSTING/AUGUST</v>
      </c>
    </row>
    <row r="173" spans="1:8" x14ac:dyDescent="0.25">
      <c r="A173" t="s">
        <v>28</v>
      </c>
      <c r="B173">
        <v>136856</v>
      </c>
      <c r="C173" s="3">
        <v>6811</v>
      </c>
      <c r="D173" s="4">
        <v>44452</v>
      </c>
      <c r="E173" t="str">
        <f>"202109085616"</f>
        <v>202109085616</v>
      </c>
      <c r="F173" t="str">
        <f>"JAIL MEDICAL"</f>
        <v>JAIL MEDICAL</v>
      </c>
      <c r="G173" s="3">
        <v>6811</v>
      </c>
      <c r="H173" t="str">
        <f>"JAIL MEDICAL"</f>
        <v>JAIL MEDICAL</v>
      </c>
    </row>
    <row r="174" spans="1:8" x14ac:dyDescent="0.25">
      <c r="A174" t="s">
        <v>28</v>
      </c>
      <c r="B174">
        <v>137049</v>
      </c>
      <c r="C174" s="3">
        <v>673.01</v>
      </c>
      <c r="D174" s="4">
        <v>44466</v>
      </c>
      <c r="E174" t="str">
        <f>"202109215849"</f>
        <v>202109215849</v>
      </c>
      <c r="F174" t="str">
        <f>"INDIGENT HEALTH"</f>
        <v>INDIGENT HEALTH</v>
      </c>
      <c r="G174" s="3">
        <v>673.01</v>
      </c>
      <c r="H174" t="str">
        <f>"INDIGENT HEALTH"</f>
        <v>INDIGENT HEALTH</v>
      </c>
    </row>
    <row r="175" spans="1:8" x14ac:dyDescent="0.25">
      <c r="A175" t="s">
        <v>29</v>
      </c>
      <c r="B175">
        <v>5009</v>
      </c>
      <c r="C175" s="3">
        <v>425.35</v>
      </c>
      <c r="D175" s="4">
        <v>44453</v>
      </c>
      <c r="E175" t="str">
        <f>"PSO261394-1"</f>
        <v>PSO261394-1</v>
      </c>
      <c r="F175" t="str">
        <f>"CUST#BP0014525/PCT#1"</f>
        <v>CUST#BP0014525/PCT#1</v>
      </c>
      <c r="G175" s="3">
        <v>425.35</v>
      </c>
      <c r="H175" t="str">
        <f>"CUST#BP0014525/PCT#1"</f>
        <v>CUST#BP0014525/PCT#1</v>
      </c>
    </row>
    <row r="176" spans="1:8" x14ac:dyDescent="0.25">
      <c r="A176" t="s">
        <v>30</v>
      </c>
      <c r="B176">
        <v>137050</v>
      </c>
      <c r="C176" s="3">
        <v>55.94</v>
      </c>
      <c r="D176" s="4">
        <v>44466</v>
      </c>
      <c r="E176" t="str">
        <f>"202109215831"</f>
        <v>202109215831</v>
      </c>
      <c r="F176" t="str">
        <f>"REIMBURSE/ASHLEY HERMANS"</f>
        <v>REIMBURSE/ASHLEY HERMANS</v>
      </c>
      <c r="G176" s="3">
        <v>35.979999999999997</v>
      </c>
      <c r="H176" t="str">
        <f>"REIMBURSE/ASHLEY HERMANS"</f>
        <v>REIMBURSE/ASHLEY HERMANS</v>
      </c>
    </row>
    <row r="177" spans="1:8" x14ac:dyDescent="0.25">
      <c r="E177" t="str">
        <f>""</f>
        <v/>
      </c>
      <c r="F177" t="str">
        <f>""</f>
        <v/>
      </c>
      <c r="G177" s="3">
        <v>2.99</v>
      </c>
      <c r="H177" t="str">
        <f>"REIMBURSE/ASHLEY HERMANS"</f>
        <v>REIMBURSE/ASHLEY HERMANS</v>
      </c>
    </row>
    <row r="178" spans="1:8" x14ac:dyDescent="0.25">
      <c r="E178" t="str">
        <f>""</f>
        <v/>
      </c>
      <c r="F178" t="str">
        <f>""</f>
        <v/>
      </c>
      <c r="G178" s="3">
        <v>16.97</v>
      </c>
      <c r="H178" t="str">
        <f>"REIMBURSE/ASHLEY HERMANS"</f>
        <v>REIMBURSE/ASHLEY HERMANS</v>
      </c>
    </row>
    <row r="179" spans="1:8" x14ac:dyDescent="0.25">
      <c r="A179" t="s">
        <v>31</v>
      </c>
      <c r="B179">
        <v>137051</v>
      </c>
      <c r="C179" s="3">
        <v>1627.92</v>
      </c>
      <c r="D179" s="4">
        <v>44466</v>
      </c>
      <c r="E179" t="str">
        <f>"26618"</f>
        <v>26618</v>
      </c>
      <c r="F179" t="str">
        <f>"ASPHALT PATCH ENTERPRISES  INC"</f>
        <v>ASPHALT PATCH ENTERPRISES  INC</v>
      </c>
      <c r="G179" s="3">
        <v>1627.92</v>
      </c>
      <c r="H179" t="str">
        <f>"Pothole Mix"</f>
        <v>Pothole Mix</v>
      </c>
    </row>
    <row r="180" spans="1:8" x14ac:dyDescent="0.25">
      <c r="A180" t="s">
        <v>32</v>
      </c>
      <c r="B180">
        <v>136857</v>
      </c>
      <c r="C180" s="3">
        <v>6723.72</v>
      </c>
      <c r="D180" s="4">
        <v>44452</v>
      </c>
      <c r="E180" t="str">
        <f>"202108245305"</f>
        <v>202108245305</v>
      </c>
      <c r="F180" t="str">
        <f>"ACCT#512A49-0048-193-3"</f>
        <v>ACCT#512A49-0048-193-3</v>
      </c>
      <c r="G180" s="3">
        <v>4838.41</v>
      </c>
      <c r="H180" t="str">
        <f>"ACCT#512A49-0048-193-3"</f>
        <v>ACCT#512A49-0048-193-3</v>
      </c>
    </row>
    <row r="181" spans="1:8" x14ac:dyDescent="0.25">
      <c r="E181" t="str">
        <f>""</f>
        <v/>
      </c>
      <c r="F181" t="str">
        <f>""</f>
        <v/>
      </c>
      <c r="G181" s="3">
        <v>254.76</v>
      </c>
      <c r="H181" t="str">
        <f>"ACCT#512A49-0048-193-3"</f>
        <v>ACCT#512A49-0048-193-3</v>
      </c>
    </row>
    <row r="182" spans="1:8" x14ac:dyDescent="0.25">
      <c r="E182" t="str">
        <f>""</f>
        <v/>
      </c>
      <c r="F182" t="str">
        <f>""</f>
        <v/>
      </c>
      <c r="G182" s="3">
        <v>142.41</v>
      </c>
      <c r="H182" t="str">
        <f>"ACCT#512A49-0048-193-3"</f>
        <v>ACCT#512A49-0048-193-3</v>
      </c>
    </row>
    <row r="183" spans="1:8" x14ac:dyDescent="0.25">
      <c r="E183" t="str">
        <f>"202109075541"</f>
        <v>202109075541</v>
      </c>
      <c r="F183" t="str">
        <f>"ACCT#51230898705307"</f>
        <v>ACCT#51230898705307</v>
      </c>
      <c r="G183" s="3">
        <v>1488.14</v>
      </c>
      <c r="H183" t="str">
        <f>"ACCT#51230898705307"</f>
        <v>ACCT#51230898705307</v>
      </c>
    </row>
    <row r="184" spans="1:8" x14ac:dyDescent="0.25">
      <c r="A184" t="s">
        <v>32</v>
      </c>
      <c r="B184">
        <v>136858</v>
      </c>
      <c r="C184" s="3">
        <v>10485.88</v>
      </c>
      <c r="D184" s="4">
        <v>44452</v>
      </c>
      <c r="E184" t="str">
        <f>"0710344607"</f>
        <v>0710344607</v>
      </c>
      <c r="F184" t="str">
        <f>"ACCT#8310006084095"</f>
        <v>ACCT#8310006084095</v>
      </c>
      <c r="G184" s="3">
        <v>1684.69</v>
      </c>
      <c r="H184" t="str">
        <f>"ACCT#8310006084095"</f>
        <v>ACCT#8310006084095</v>
      </c>
    </row>
    <row r="185" spans="1:8" x14ac:dyDescent="0.25">
      <c r="E185" t="str">
        <f>"6855004601"</f>
        <v>6855004601</v>
      </c>
      <c r="F185" t="str">
        <f>"ACCT#8310007919623"</f>
        <v>ACCT#8310007919623</v>
      </c>
      <c r="G185" s="3">
        <v>2000.38</v>
      </c>
      <c r="H185" t="str">
        <f>"ACCT#8310007919623"</f>
        <v>ACCT#8310007919623</v>
      </c>
    </row>
    <row r="186" spans="1:8" x14ac:dyDescent="0.25">
      <c r="E186" t="str">
        <f>"7238193607"</f>
        <v>7238193607</v>
      </c>
      <c r="F186" t="str">
        <f>"ACCT#831-000-9850451"</f>
        <v>ACCT#831-000-9850451</v>
      </c>
      <c r="G186" s="3">
        <v>5926.56</v>
      </c>
      <c r="H186" t="str">
        <f>"ACCT#831-000-9850451"</f>
        <v>ACCT#831-000-9850451</v>
      </c>
    </row>
    <row r="187" spans="1:8" x14ac:dyDescent="0.25">
      <c r="E187" t="str">
        <f>"9892183608"</f>
        <v>9892183608</v>
      </c>
      <c r="F187" t="str">
        <f>"ACCT#8310007218923"</f>
        <v>ACCT#8310007218923</v>
      </c>
      <c r="G187" s="3">
        <v>874.25</v>
      </c>
      <c r="H187" t="str">
        <f>"ACCT#8310007218923"</f>
        <v>ACCT#8310007218923</v>
      </c>
    </row>
    <row r="188" spans="1:8" x14ac:dyDescent="0.25">
      <c r="A188" t="s">
        <v>32</v>
      </c>
      <c r="B188">
        <v>137052</v>
      </c>
      <c r="C188" s="3">
        <v>2963.28</v>
      </c>
      <c r="D188" s="4">
        <v>44466</v>
      </c>
      <c r="E188" t="str">
        <f>"7255364603"</f>
        <v>7255364603</v>
      </c>
      <c r="F188" t="str">
        <f>"ACCT#831-000-9850 451"</f>
        <v>ACCT#831-000-9850 451</v>
      </c>
      <c r="G188" s="3">
        <v>2963.28</v>
      </c>
      <c r="H188" t="str">
        <f>"ACCT#831-000-9850 451"</f>
        <v>ACCT#831-000-9850 451</v>
      </c>
    </row>
    <row r="189" spans="1:8" x14ac:dyDescent="0.25">
      <c r="A189" t="s">
        <v>33</v>
      </c>
      <c r="B189">
        <v>136859</v>
      </c>
      <c r="C189" s="3">
        <v>6620.9</v>
      </c>
      <c r="D189" s="4">
        <v>44452</v>
      </c>
      <c r="E189" t="str">
        <f>"202108245304"</f>
        <v>202108245304</v>
      </c>
      <c r="F189" t="str">
        <f>"ACCT#287263291654"</f>
        <v>ACCT#287263291654</v>
      </c>
      <c r="G189" s="3">
        <v>75.98</v>
      </c>
      <c r="H189" t="str">
        <f t="shared" ref="H189:H206" si="4">"ACCT#287263291654"</f>
        <v>ACCT#287263291654</v>
      </c>
    </row>
    <row r="190" spans="1:8" x14ac:dyDescent="0.25">
      <c r="E190" t="str">
        <f>""</f>
        <v/>
      </c>
      <c r="F190" t="str">
        <f>""</f>
        <v/>
      </c>
      <c r="G190" s="3">
        <v>75.98</v>
      </c>
      <c r="H190" t="str">
        <f t="shared" si="4"/>
        <v>ACCT#287263291654</v>
      </c>
    </row>
    <row r="191" spans="1:8" x14ac:dyDescent="0.25">
      <c r="E191" t="str">
        <f>""</f>
        <v/>
      </c>
      <c r="F191" t="str">
        <f>""</f>
        <v/>
      </c>
      <c r="G191" s="3">
        <v>37.99</v>
      </c>
      <c r="H191" t="str">
        <f t="shared" si="4"/>
        <v>ACCT#287263291654</v>
      </c>
    </row>
    <row r="192" spans="1:8" x14ac:dyDescent="0.25">
      <c r="E192" t="str">
        <f>""</f>
        <v/>
      </c>
      <c r="F192" t="str">
        <f>""</f>
        <v/>
      </c>
      <c r="G192" s="3">
        <v>189.95</v>
      </c>
      <c r="H192" t="str">
        <f t="shared" si="4"/>
        <v>ACCT#287263291654</v>
      </c>
    </row>
    <row r="193" spans="5:8" x14ac:dyDescent="0.25">
      <c r="E193" t="str">
        <f>""</f>
        <v/>
      </c>
      <c r="F193" t="str">
        <f>""</f>
        <v/>
      </c>
      <c r="G193" s="3">
        <v>75.98</v>
      </c>
      <c r="H193" t="str">
        <f t="shared" si="4"/>
        <v>ACCT#287263291654</v>
      </c>
    </row>
    <row r="194" spans="5:8" x14ac:dyDescent="0.25">
      <c r="E194" t="str">
        <f>""</f>
        <v/>
      </c>
      <c r="F194" t="str">
        <f>""</f>
        <v/>
      </c>
      <c r="G194" s="3">
        <v>37.99</v>
      </c>
      <c r="H194" t="str">
        <f t="shared" si="4"/>
        <v>ACCT#287263291654</v>
      </c>
    </row>
    <row r="195" spans="5:8" x14ac:dyDescent="0.25">
      <c r="E195" t="str">
        <f>""</f>
        <v/>
      </c>
      <c r="F195" t="str">
        <f>""</f>
        <v/>
      </c>
      <c r="G195" s="3">
        <v>353.11</v>
      </c>
      <c r="H195" t="str">
        <f t="shared" si="4"/>
        <v>ACCT#287263291654</v>
      </c>
    </row>
    <row r="196" spans="5:8" x14ac:dyDescent="0.25">
      <c r="E196" t="str">
        <f>""</f>
        <v/>
      </c>
      <c r="F196" t="str">
        <f>""</f>
        <v/>
      </c>
      <c r="G196" s="3">
        <v>75.98</v>
      </c>
      <c r="H196" t="str">
        <f t="shared" si="4"/>
        <v>ACCT#287263291654</v>
      </c>
    </row>
    <row r="197" spans="5:8" x14ac:dyDescent="0.25">
      <c r="E197" t="str">
        <f>""</f>
        <v/>
      </c>
      <c r="F197" t="str">
        <f>""</f>
        <v/>
      </c>
      <c r="G197" s="3">
        <v>151.96</v>
      </c>
      <c r="H197" t="str">
        <f t="shared" si="4"/>
        <v>ACCT#287263291654</v>
      </c>
    </row>
    <row r="198" spans="5:8" x14ac:dyDescent="0.25">
      <c r="E198" t="str">
        <f>""</f>
        <v/>
      </c>
      <c r="F198" t="str">
        <f>""</f>
        <v/>
      </c>
      <c r="G198" s="3">
        <v>189.95</v>
      </c>
      <c r="H198" t="str">
        <f t="shared" si="4"/>
        <v>ACCT#287263291654</v>
      </c>
    </row>
    <row r="199" spans="5:8" x14ac:dyDescent="0.25">
      <c r="E199" t="str">
        <f>""</f>
        <v/>
      </c>
      <c r="F199" t="str">
        <f>""</f>
        <v/>
      </c>
      <c r="G199" s="3">
        <v>75.98</v>
      </c>
      <c r="H199" t="str">
        <f t="shared" si="4"/>
        <v>ACCT#287263291654</v>
      </c>
    </row>
    <row r="200" spans="5:8" x14ac:dyDescent="0.25">
      <c r="E200" t="str">
        <f>""</f>
        <v/>
      </c>
      <c r="F200" t="str">
        <f>""</f>
        <v/>
      </c>
      <c r="G200" s="3">
        <v>37.99</v>
      </c>
      <c r="H200" t="str">
        <f t="shared" si="4"/>
        <v>ACCT#287263291654</v>
      </c>
    </row>
    <row r="201" spans="5:8" x14ac:dyDescent="0.25">
      <c r="E201" t="str">
        <f>""</f>
        <v/>
      </c>
      <c r="F201" t="str">
        <f>""</f>
        <v/>
      </c>
      <c r="G201" s="3">
        <v>75.98</v>
      </c>
      <c r="H201" t="str">
        <f t="shared" si="4"/>
        <v>ACCT#287263291654</v>
      </c>
    </row>
    <row r="202" spans="5:8" x14ac:dyDescent="0.25">
      <c r="E202" t="str">
        <f>""</f>
        <v/>
      </c>
      <c r="F202" t="str">
        <f>""</f>
        <v/>
      </c>
      <c r="G202" s="3">
        <v>37.99</v>
      </c>
      <c r="H202" t="str">
        <f t="shared" si="4"/>
        <v>ACCT#287263291654</v>
      </c>
    </row>
    <row r="203" spans="5:8" x14ac:dyDescent="0.25">
      <c r="E203" t="str">
        <f>""</f>
        <v/>
      </c>
      <c r="F203" t="str">
        <f>""</f>
        <v/>
      </c>
      <c r="G203" s="3">
        <v>37.99</v>
      </c>
      <c r="H203" t="str">
        <f t="shared" si="4"/>
        <v>ACCT#287263291654</v>
      </c>
    </row>
    <row r="204" spans="5:8" x14ac:dyDescent="0.25">
      <c r="E204" t="str">
        <f>""</f>
        <v/>
      </c>
      <c r="F204" t="str">
        <f>""</f>
        <v/>
      </c>
      <c r="G204" s="3">
        <v>38.19</v>
      </c>
      <c r="H204" t="str">
        <f t="shared" si="4"/>
        <v>ACCT#287263291654</v>
      </c>
    </row>
    <row r="205" spans="5:8" x14ac:dyDescent="0.25">
      <c r="E205" t="str">
        <f>""</f>
        <v/>
      </c>
      <c r="F205" t="str">
        <f>""</f>
        <v/>
      </c>
      <c r="G205" s="3">
        <v>37.99</v>
      </c>
      <c r="H205" t="str">
        <f t="shared" si="4"/>
        <v>ACCT#287263291654</v>
      </c>
    </row>
    <row r="206" spans="5:8" x14ac:dyDescent="0.25">
      <c r="E206" t="str">
        <f>""</f>
        <v/>
      </c>
      <c r="F206" t="str">
        <f>""</f>
        <v/>
      </c>
      <c r="G206" s="3">
        <v>165.16</v>
      </c>
      <c r="H206" t="str">
        <f t="shared" si="4"/>
        <v>ACCT#287263291654</v>
      </c>
    </row>
    <row r="207" spans="5:8" x14ac:dyDescent="0.25">
      <c r="E207" t="str">
        <f>"202109075544"</f>
        <v>202109075544</v>
      </c>
      <c r="F207" t="str">
        <f>"ACCT#287290524359"</f>
        <v>ACCT#287290524359</v>
      </c>
      <c r="G207" s="3">
        <v>148</v>
      </c>
      <c r="H207" t="str">
        <f t="shared" ref="H207:H219" si="5">"ACCT#287290524359"</f>
        <v>ACCT#287290524359</v>
      </c>
    </row>
    <row r="208" spans="5:8" x14ac:dyDescent="0.25">
      <c r="E208" t="str">
        <f>""</f>
        <v/>
      </c>
      <c r="F208" t="str">
        <f>""</f>
        <v/>
      </c>
      <c r="G208" s="3">
        <v>259</v>
      </c>
      <c r="H208" t="str">
        <f t="shared" si="5"/>
        <v>ACCT#287290524359</v>
      </c>
    </row>
    <row r="209" spans="1:8" x14ac:dyDescent="0.25">
      <c r="E209" t="str">
        <f>""</f>
        <v/>
      </c>
      <c r="F209" t="str">
        <f>""</f>
        <v/>
      </c>
      <c r="G209" s="3">
        <v>37</v>
      </c>
      <c r="H209" t="str">
        <f t="shared" si="5"/>
        <v>ACCT#287290524359</v>
      </c>
    </row>
    <row r="210" spans="1:8" x14ac:dyDescent="0.25">
      <c r="E210" t="str">
        <f>""</f>
        <v/>
      </c>
      <c r="F210" t="str">
        <f>""</f>
        <v/>
      </c>
      <c r="G210" s="3">
        <v>37</v>
      </c>
      <c r="H210" t="str">
        <f t="shared" si="5"/>
        <v>ACCT#287290524359</v>
      </c>
    </row>
    <row r="211" spans="1:8" x14ac:dyDescent="0.25">
      <c r="E211" t="str">
        <f>""</f>
        <v/>
      </c>
      <c r="F211" t="str">
        <f>""</f>
        <v/>
      </c>
      <c r="G211" s="3">
        <v>185</v>
      </c>
      <c r="H211" t="str">
        <f t="shared" si="5"/>
        <v>ACCT#287290524359</v>
      </c>
    </row>
    <row r="212" spans="1:8" x14ac:dyDescent="0.25">
      <c r="E212" t="str">
        <f>""</f>
        <v/>
      </c>
      <c r="F212" t="str">
        <f>""</f>
        <v/>
      </c>
      <c r="G212" s="3">
        <v>37</v>
      </c>
      <c r="H212" t="str">
        <f t="shared" si="5"/>
        <v>ACCT#287290524359</v>
      </c>
    </row>
    <row r="213" spans="1:8" x14ac:dyDescent="0.25">
      <c r="E213" t="str">
        <f>""</f>
        <v/>
      </c>
      <c r="F213" t="str">
        <f>""</f>
        <v/>
      </c>
      <c r="G213" s="3">
        <v>524</v>
      </c>
      <c r="H213" t="str">
        <f t="shared" si="5"/>
        <v>ACCT#287290524359</v>
      </c>
    </row>
    <row r="214" spans="1:8" x14ac:dyDescent="0.25">
      <c r="E214" t="str">
        <f>""</f>
        <v/>
      </c>
      <c r="F214" t="str">
        <f>""</f>
        <v/>
      </c>
      <c r="G214" s="3">
        <v>185</v>
      </c>
      <c r="H214" t="str">
        <f t="shared" si="5"/>
        <v>ACCT#287290524359</v>
      </c>
    </row>
    <row r="215" spans="1:8" x14ac:dyDescent="0.25">
      <c r="E215" t="str">
        <f>""</f>
        <v/>
      </c>
      <c r="F215" t="str">
        <f>""</f>
        <v/>
      </c>
      <c r="G215" s="3">
        <v>222</v>
      </c>
      <c r="H215" t="str">
        <f t="shared" si="5"/>
        <v>ACCT#287290524359</v>
      </c>
    </row>
    <row r="216" spans="1:8" x14ac:dyDescent="0.25">
      <c r="E216" t="str">
        <f>""</f>
        <v/>
      </c>
      <c r="F216" t="str">
        <f>""</f>
        <v/>
      </c>
      <c r="G216" s="3">
        <v>37</v>
      </c>
      <c r="H216" t="str">
        <f t="shared" si="5"/>
        <v>ACCT#287290524359</v>
      </c>
    </row>
    <row r="217" spans="1:8" x14ac:dyDescent="0.25">
      <c r="E217" t="str">
        <f>""</f>
        <v/>
      </c>
      <c r="F217" t="str">
        <f>""</f>
        <v/>
      </c>
      <c r="G217" s="3">
        <v>2801.66</v>
      </c>
      <c r="H217" t="str">
        <f t="shared" si="5"/>
        <v>ACCT#287290524359</v>
      </c>
    </row>
    <row r="218" spans="1:8" x14ac:dyDescent="0.25">
      <c r="E218" t="str">
        <f>""</f>
        <v/>
      </c>
      <c r="F218" t="str">
        <f>""</f>
        <v/>
      </c>
      <c r="G218" s="3">
        <v>74</v>
      </c>
      <c r="H218" t="str">
        <f t="shared" si="5"/>
        <v>ACCT#287290524359</v>
      </c>
    </row>
    <row r="219" spans="1:8" x14ac:dyDescent="0.25">
      <c r="E219" t="str">
        <f>""</f>
        <v/>
      </c>
      <c r="F219" t="str">
        <f>""</f>
        <v/>
      </c>
      <c r="G219" s="3">
        <v>37</v>
      </c>
      <c r="H219" t="str">
        <f t="shared" si="5"/>
        <v>ACCT#287290524359</v>
      </c>
    </row>
    <row r="220" spans="1:8" x14ac:dyDescent="0.25">
      <c r="E220" t="str">
        <f>"202109075593"</f>
        <v>202109075593</v>
      </c>
      <c r="F220" t="str">
        <f>"INV 287280903541X08202021"</f>
        <v>INV 287280903541X08202021</v>
      </c>
      <c r="G220" s="3">
        <v>265.10000000000002</v>
      </c>
      <c r="H220" t="str">
        <f>"INV 287280903541X08202021"</f>
        <v>INV 287280903541X08202021</v>
      </c>
    </row>
    <row r="221" spans="1:8" x14ac:dyDescent="0.25">
      <c r="A221" t="s">
        <v>33</v>
      </c>
      <c r="B221">
        <v>137053</v>
      </c>
      <c r="C221" s="3">
        <v>2031.04</v>
      </c>
      <c r="D221" s="4">
        <v>44466</v>
      </c>
      <c r="E221" t="str">
        <f>"202109215848"</f>
        <v>202109215848</v>
      </c>
      <c r="F221" t="str">
        <f>"ACCT#287263291654"</f>
        <v>ACCT#287263291654</v>
      </c>
      <c r="G221" s="3">
        <v>75.98</v>
      </c>
      <c r="H221" t="str">
        <f t="shared" ref="H221:H238" si="6">"ACCT#287263291654"</f>
        <v>ACCT#287263291654</v>
      </c>
    </row>
    <row r="222" spans="1:8" x14ac:dyDescent="0.25">
      <c r="E222" t="str">
        <f>""</f>
        <v/>
      </c>
      <c r="F222" t="str">
        <f>""</f>
        <v/>
      </c>
      <c r="G222" s="3">
        <v>75.98</v>
      </c>
      <c r="H222" t="str">
        <f t="shared" si="6"/>
        <v>ACCT#287263291654</v>
      </c>
    </row>
    <row r="223" spans="1:8" x14ac:dyDescent="0.25">
      <c r="E223" t="str">
        <f>""</f>
        <v/>
      </c>
      <c r="F223" t="str">
        <f>""</f>
        <v/>
      </c>
      <c r="G223" s="3">
        <v>37.99</v>
      </c>
      <c r="H223" t="str">
        <f t="shared" si="6"/>
        <v>ACCT#287263291654</v>
      </c>
    </row>
    <row r="224" spans="1:8" x14ac:dyDescent="0.25">
      <c r="E224" t="str">
        <f>""</f>
        <v/>
      </c>
      <c r="F224" t="str">
        <f>""</f>
        <v/>
      </c>
      <c r="G224" s="3">
        <v>189.95</v>
      </c>
      <c r="H224" t="str">
        <f t="shared" si="6"/>
        <v>ACCT#287263291654</v>
      </c>
    </row>
    <row r="225" spans="1:8" x14ac:dyDescent="0.25">
      <c r="E225" t="str">
        <f>""</f>
        <v/>
      </c>
      <c r="F225" t="str">
        <f>""</f>
        <v/>
      </c>
      <c r="G225" s="3">
        <v>75.98</v>
      </c>
      <c r="H225" t="str">
        <f t="shared" si="6"/>
        <v>ACCT#287263291654</v>
      </c>
    </row>
    <row r="226" spans="1:8" x14ac:dyDescent="0.25">
      <c r="E226" t="str">
        <f>""</f>
        <v/>
      </c>
      <c r="F226" t="str">
        <f>""</f>
        <v/>
      </c>
      <c r="G226" s="3">
        <v>37.99</v>
      </c>
      <c r="H226" t="str">
        <f t="shared" si="6"/>
        <v>ACCT#287263291654</v>
      </c>
    </row>
    <row r="227" spans="1:8" x14ac:dyDescent="0.25">
      <c r="E227" t="str">
        <f>""</f>
        <v/>
      </c>
      <c r="F227" t="str">
        <f>""</f>
        <v/>
      </c>
      <c r="G227" s="3">
        <v>351.11</v>
      </c>
      <c r="H227" t="str">
        <f t="shared" si="6"/>
        <v>ACCT#287263291654</v>
      </c>
    </row>
    <row r="228" spans="1:8" x14ac:dyDescent="0.25">
      <c r="E228" t="str">
        <f>""</f>
        <v/>
      </c>
      <c r="F228" t="str">
        <f>""</f>
        <v/>
      </c>
      <c r="G228" s="3">
        <v>75.98</v>
      </c>
      <c r="H228" t="str">
        <f t="shared" si="6"/>
        <v>ACCT#287263291654</v>
      </c>
    </row>
    <row r="229" spans="1:8" x14ac:dyDescent="0.25">
      <c r="E229" t="str">
        <f>""</f>
        <v/>
      </c>
      <c r="F229" t="str">
        <f>""</f>
        <v/>
      </c>
      <c r="G229" s="3">
        <v>151.96</v>
      </c>
      <c r="H229" t="str">
        <f t="shared" si="6"/>
        <v>ACCT#287263291654</v>
      </c>
    </row>
    <row r="230" spans="1:8" x14ac:dyDescent="0.25">
      <c r="E230" t="str">
        <f>""</f>
        <v/>
      </c>
      <c r="F230" t="str">
        <f>""</f>
        <v/>
      </c>
      <c r="G230" s="3">
        <v>189.95</v>
      </c>
      <c r="H230" t="str">
        <f t="shared" si="6"/>
        <v>ACCT#287263291654</v>
      </c>
    </row>
    <row r="231" spans="1:8" x14ac:dyDescent="0.25">
      <c r="E231" t="str">
        <f>""</f>
        <v/>
      </c>
      <c r="F231" t="str">
        <f>""</f>
        <v/>
      </c>
      <c r="G231" s="3">
        <v>75.98</v>
      </c>
      <c r="H231" t="str">
        <f t="shared" si="6"/>
        <v>ACCT#287263291654</v>
      </c>
    </row>
    <row r="232" spans="1:8" x14ac:dyDescent="0.25">
      <c r="E232" t="str">
        <f>""</f>
        <v/>
      </c>
      <c r="F232" t="str">
        <f>""</f>
        <v/>
      </c>
      <c r="G232" s="3">
        <v>37.99</v>
      </c>
      <c r="H232" t="str">
        <f t="shared" si="6"/>
        <v>ACCT#287263291654</v>
      </c>
    </row>
    <row r="233" spans="1:8" x14ac:dyDescent="0.25">
      <c r="E233" t="str">
        <f>""</f>
        <v/>
      </c>
      <c r="F233" t="str">
        <f>""</f>
        <v/>
      </c>
      <c r="G233" s="3">
        <v>75.98</v>
      </c>
      <c r="H233" t="str">
        <f t="shared" si="6"/>
        <v>ACCT#287263291654</v>
      </c>
    </row>
    <row r="234" spans="1:8" x14ac:dyDescent="0.25">
      <c r="E234" t="str">
        <f>""</f>
        <v/>
      </c>
      <c r="F234" t="str">
        <f>""</f>
        <v/>
      </c>
      <c r="G234" s="3">
        <v>37.99</v>
      </c>
      <c r="H234" t="str">
        <f t="shared" si="6"/>
        <v>ACCT#287263291654</v>
      </c>
    </row>
    <row r="235" spans="1:8" x14ac:dyDescent="0.25">
      <c r="E235" t="str">
        <f>""</f>
        <v/>
      </c>
      <c r="F235" t="str">
        <f>""</f>
        <v/>
      </c>
      <c r="G235" s="3">
        <v>37.99</v>
      </c>
      <c r="H235" t="str">
        <f t="shared" si="6"/>
        <v>ACCT#287263291654</v>
      </c>
    </row>
    <row r="236" spans="1:8" x14ac:dyDescent="0.25">
      <c r="E236" t="str">
        <f>""</f>
        <v/>
      </c>
      <c r="F236" t="str">
        <f>""</f>
        <v/>
      </c>
      <c r="G236" s="3">
        <v>37.99</v>
      </c>
      <c r="H236" t="str">
        <f t="shared" si="6"/>
        <v>ACCT#287263291654</v>
      </c>
    </row>
    <row r="237" spans="1:8" x14ac:dyDescent="0.25">
      <c r="E237" t="str">
        <f>""</f>
        <v/>
      </c>
      <c r="F237" t="str">
        <f>""</f>
        <v/>
      </c>
      <c r="G237" s="3">
        <v>37.99</v>
      </c>
      <c r="H237" t="str">
        <f t="shared" si="6"/>
        <v>ACCT#287263291654</v>
      </c>
    </row>
    <row r="238" spans="1:8" x14ac:dyDescent="0.25">
      <c r="E238" t="str">
        <f>""</f>
        <v/>
      </c>
      <c r="F238" t="str">
        <f>""</f>
        <v/>
      </c>
      <c r="G238" s="3">
        <v>161.16</v>
      </c>
      <c r="H238" t="str">
        <f t="shared" si="6"/>
        <v>ACCT#287263291654</v>
      </c>
    </row>
    <row r="239" spans="1:8" x14ac:dyDescent="0.25">
      <c r="E239" t="str">
        <f>"287280903541X92020"</f>
        <v>287280903541X92020</v>
      </c>
      <c r="F239" t="str">
        <f>"INV 287280903541X09202021"</f>
        <v>INV 287280903541X09202021</v>
      </c>
      <c r="G239" s="3">
        <v>265.10000000000002</v>
      </c>
      <c r="H239" t="str">
        <f>"INV 287280903541X09202021"</f>
        <v>INV 287280903541X09202021</v>
      </c>
    </row>
    <row r="240" spans="1:8" x14ac:dyDescent="0.25">
      <c r="A240" t="s">
        <v>34</v>
      </c>
      <c r="B240">
        <v>136860</v>
      </c>
      <c r="C240" s="3">
        <v>377.41</v>
      </c>
      <c r="D240" s="4">
        <v>44452</v>
      </c>
      <c r="E240" t="str">
        <f>"202108245303"</f>
        <v>202108245303</v>
      </c>
      <c r="F240" t="str">
        <f>"REIMBURSE/AUGUST G MEDUNA  JR"</f>
        <v>REIMBURSE/AUGUST G MEDUNA  JR</v>
      </c>
      <c r="G240" s="3">
        <v>377.41</v>
      </c>
      <c r="H240" t="str">
        <f>"REIMBURSE/AUGUST G MEDUNA  JR"</f>
        <v>REIMBURSE/AUGUST G MEDUNA  JR</v>
      </c>
    </row>
    <row r="241" spans="1:8" x14ac:dyDescent="0.25">
      <c r="A241" t="s">
        <v>35</v>
      </c>
      <c r="B241">
        <v>136861</v>
      </c>
      <c r="C241" s="3">
        <v>1350</v>
      </c>
      <c r="D241" s="4">
        <v>44452</v>
      </c>
      <c r="E241" t="str">
        <f>"0826211"</f>
        <v>0826211</v>
      </c>
      <c r="F241" t="str">
        <f>"AIR QUALITY SURVEY - 804 PECAN"</f>
        <v>AIR QUALITY SURVEY - 804 PECAN</v>
      </c>
      <c r="G241" s="3">
        <v>1350</v>
      </c>
      <c r="H241" t="str">
        <f>"AIR QUALITY SURVEY - 804 PECAN"</f>
        <v>AIR QUALITY SURVEY - 804 PECAN</v>
      </c>
    </row>
    <row r="242" spans="1:8" x14ac:dyDescent="0.25">
      <c r="A242" t="s">
        <v>36</v>
      </c>
      <c r="B242">
        <v>137054</v>
      </c>
      <c r="C242" s="3">
        <v>22.99</v>
      </c>
      <c r="D242" s="4">
        <v>44466</v>
      </c>
      <c r="E242" t="str">
        <f>"202109215851"</f>
        <v>202109215851</v>
      </c>
      <c r="F242" t="str">
        <f>"INDIGENT HEALTH"</f>
        <v>INDIGENT HEALTH</v>
      </c>
      <c r="G242" s="3">
        <v>22.99</v>
      </c>
      <c r="H242" t="str">
        <f>"INDIGENT HEALTH"</f>
        <v>INDIGENT HEALTH</v>
      </c>
    </row>
    <row r="243" spans="1:8" x14ac:dyDescent="0.25">
      <c r="A243" t="s">
        <v>37</v>
      </c>
      <c r="B243">
        <v>5016</v>
      </c>
      <c r="C243" s="3">
        <v>100</v>
      </c>
      <c r="D243" s="4">
        <v>44453</v>
      </c>
      <c r="E243" t="str">
        <f>"2197"</f>
        <v>2197</v>
      </c>
      <c r="F243" t="str">
        <f>"CRIM DOCKET"</f>
        <v>CRIM DOCKET</v>
      </c>
      <c r="G243" s="3">
        <v>50</v>
      </c>
      <c r="H243" t="str">
        <f>"CRIM DOCKET"</f>
        <v>CRIM DOCKET</v>
      </c>
    </row>
    <row r="244" spans="1:8" x14ac:dyDescent="0.25">
      <c r="E244" t="str">
        <f>"2198"</f>
        <v>2198</v>
      </c>
      <c r="F244" t="str">
        <f>"CIVIL CASE"</f>
        <v>CIVIL CASE</v>
      </c>
      <c r="G244" s="3">
        <v>50</v>
      </c>
      <c r="H244" t="str">
        <f>"CIVIL CASE"</f>
        <v>CIVIL CASE</v>
      </c>
    </row>
    <row r="245" spans="1:8" x14ac:dyDescent="0.25">
      <c r="A245" t="s">
        <v>38</v>
      </c>
      <c r="B245">
        <v>136862</v>
      </c>
      <c r="C245" s="3">
        <v>23278.3</v>
      </c>
      <c r="D245" s="4">
        <v>44452</v>
      </c>
      <c r="E245" t="str">
        <f>"25277"</f>
        <v>25277</v>
      </c>
      <c r="F245" t="str">
        <f>"Tasers for SO"</f>
        <v>Tasers for SO</v>
      </c>
      <c r="G245" s="3">
        <v>13957.08</v>
      </c>
      <c r="H245" t="str">
        <f>"Yellow CEW Handle"</f>
        <v>Yellow CEW Handle</v>
      </c>
    </row>
    <row r="246" spans="1:8" x14ac:dyDescent="0.25">
      <c r="E246" t="str">
        <f>""</f>
        <v/>
      </c>
      <c r="F246" t="str">
        <f>""</f>
        <v/>
      </c>
      <c r="G246" s="3">
        <v>4338.84</v>
      </c>
      <c r="H246" t="str">
        <f>"Warranty 4 YR"</f>
        <v>Warranty 4 YR</v>
      </c>
    </row>
    <row r="247" spans="1:8" x14ac:dyDescent="0.25">
      <c r="E247" t="str">
        <f>""</f>
        <v/>
      </c>
      <c r="F247" t="str">
        <f>""</f>
        <v/>
      </c>
      <c r="G247" s="3">
        <v>736.7</v>
      </c>
      <c r="H247" t="str">
        <f>"R-Holster X-26P"</f>
        <v>R-Holster X-26P</v>
      </c>
    </row>
    <row r="248" spans="1:8" x14ac:dyDescent="0.25">
      <c r="E248" t="str">
        <f>""</f>
        <v/>
      </c>
      <c r="F248" t="str">
        <f>""</f>
        <v/>
      </c>
      <c r="G248" s="3">
        <v>147.34</v>
      </c>
      <c r="H248" t="str">
        <f>"L Holster X-26P"</f>
        <v>L Holster X-26P</v>
      </c>
    </row>
    <row r="249" spans="1:8" x14ac:dyDescent="0.25">
      <c r="E249" t="str">
        <f>""</f>
        <v/>
      </c>
      <c r="F249" t="str">
        <f>""</f>
        <v/>
      </c>
      <c r="G249" s="3">
        <v>1705.44</v>
      </c>
      <c r="H249" t="str">
        <f>"PPM Standard Battery"</f>
        <v>PPM Standard Battery</v>
      </c>
    </row>
    <row r="250" spans="1:8" x14ac:dyDescent="0.25">
      <c r="E250" t="str">
        <f>""</f>
        <v/>
      </c>
      <c r="F250" t="str">
        <f>""</f>
        <v/>
      </c>
      <c r="G250" s="3">
        <v>2163</v>
      </c>
      <c r="H250" t="str">
        <f>"60ft Cartridge"</f>
        <v>60ft Cartridge</v>
      </c>
    </row>
    <row r="251" spans="1:8" x14ac:dyDescent="0.25">
      <c r="E251" t="str">
        <f>""</f>
        <v/>
      </c>
      <c r="F251" t="str">
        <f>""</f>
        <v/>
      </c>
      <c r="G251" s="3">
        <v>229.9</v>
      </c>
      <c r="H251" t="str">
        <f>"Download Kit"</f>
        <v>Download Kit</v>
      </c>
    </row>
    <row r="252" spans="1:8" x14ac:dyDescent="0.25">
      <c r="A252" t="s">
        <v>39</v>
      </c>
      <c r="B252">
        <v>5046</v>
      </c>
      <c r="C252" s="3">
        <v>3230.4</v>
      </c>
      <c r="D252" s="4">
        <v>44453</v>
      </c>
      <c r="E252" t="str">
        <f>"202109085610"</f>
        <v>202109085610</v>
      </c>
      <c r="F252" t="str">
        <f>"ACCT#0011/PCT#3"</f>
        <v>ACCT#0011/PCT#3</v>
      </c>
      <c r="G252" s="3">
        <v>762.97</v>
      </c>
      <c r="H252" t="str">
        <f>"ACCT#0011/PCT#3"</f>
        <v>ACCT#0011/PCT#3</v>
      </c>
    </row>
    <row r="253" spans="1:8" x14ac:dyDescent="0.25">
      <c r="E253" t="str">
        <f>"202109085613"</f>
        <v>202109085613</v>
      </c>
      <c r="F253" t="str">
        <f>"ACCT#0009/PCT#1"</f>
        <v>ACCT#0009/PCT#1</v>
      </c>
      <c r="G253" s="3">
        <v>2283.94</v>
      </c>
      <c r="H253" t="str">
        <f>"ACCT#0009/PCT#1"</f>
        <v>ACCT#0009/PCT#1</v>
      </c>
    </row>
    <row r="254" spans="1:8" x14ac:dyDescent="0.25">
      <c r="E254" t="str">
        <f>"386424"</f>
        <v>386424</v>
      </c>
      <c r="F254" t="str">
        <f>"CUST#0010/PCT#2"</f>
        <v>CUST#0010/PCT#2</v>
      </c>
      <c r="G254" s="3">
        <v>76</v>
      </c>
      <c r="H254" t="str">
        <f>"CUST#0010/PCT#2"</f>
        <v>CUST#0010/PCT#2</v>
      </c>
    </row>
    <row r="255" spans="1:8" x14ac:dyDescent="0.25">
      <c r="E255" t="str">
        <f>"386699"</f>
        <v>386699</v>
      </c>
      <c r="F255" t="str">
        <f>"ACCT#0009/GENERAL SERVICES"</f>
        <v>ACCT#0009/GENERAL SERVICES</v>
      </c>
      <c r="G255" s="3">
        <v>107.49</v>
      </c>
      <c r="H255" t="str">
        <f>"ACCT#0009/GENERAL SERVICES"</f>
        <v>ACCT#0009/GENERAL SERVICES</v>
      </c>
    </row>
    <row r="256" spans="1:8" x14ac:dyDescent="0.25">
      <c r="A256" t="s">
        <v>40</v>
      </c>
      <c r="B256">
        <v>5105</v>
      </c>
      <c r="C256" s="3">
        <v>5000</v>
      </c>
      <c r="D256" s="4">
        <v>44467</v>
      </c>
      <c r="E256" t="str">
        <f>"1645"</f>
        <v>1645</v>
      </c>
      <c r="F256" t="str">
        <f>"REMOVED CONCRETE SLAB/GEN SVCS"</f>
        <v>REMOVED CONCRETE SLAB/GEN SVCS</v>
      </c>
      <c r="G256" s="3">
        <v>5000</v>
      </c>
      <c r="H256" t="str">
        <f>"REMOVED CONCRETE SLAB/GEN SVCS"</f>
        <v>REMOVED CONCRETE SLAB/GEN SVCS</v>
      </c>
    </row>
    <row r="257" spans="1:8" x14ac:dyDescent="0.25">
      <c r="A257" t="s">
        <v>41</v>
      </c>
      <c r="B257">
        <v>136863</v>
      </c>
      <c r="C257" s="3">
        <v>327</v>
      </c>
      <c r="D257" s="4">
        <v>44452</v>
      </c>
      <c r="E257" t="str">
        <f>"13390 7/27/21"</f>
        <v>13390 7/27/21</v>
      </c>
      <c r="F257" t="str">
        <f t="shared" ref="F257:F262" si="7">"SERVICE"</f>
        <v>SERVICE</v>
      </c>
      <c r="G257" s="3">
        <v>27</v>
      </c>
      <c r="H257" t="str">
        <f t="shared" ref="H257:H262" si="8">"SERVICE"</f>
        <v>SERVICE</v>
      </c>
    </row>
    <row r="258" spans="1:8" x14ac:dyDescent="0.25">
      <c r="E258" t="str">
        <f>"13510 8/3/21"</f>
        <v>13510 8/3/21</v>
      </c>
      <c r="F258" t="str">
        <f t="shared" si="7"/>
        <v>SERVICE</v>
      </c>
      <c r="G258" s="3">
        <v>25</v>
      </c>
      <c r="H258" t="str">
        <f t="shared" si="8"/>
        <v>SERVICE</v>
      </c>
    </row>
    <row r="259" spans="1:8" x14ac:dyDescent="0.25">
      <c r="E259" t="str">
        <f>"13534 8/2/21"</f>
        <v>13534 8/2/21</v>
      </c>
      <c r="F259" t="str">
        <f t="shared" si="7"/>
        <v>SERVICE</v>
      </c>
      <c r="G259" s="3">
        <v>43</v>
      </c>
      <c r="H259" t="str">
        <f t="shared" si="8"/>
        <v>SERVICE</v>
      </c>
    </row>
    <row r="260" spans="1:8" x14ac:dyDescent="0.25">
      <c r="E260" t="str">
        <f>"13582"</f>
        <v>13582</v>
      </c>
      <c r="F260" t="str">
        <f t="shared" si="7"/>
        <v>SERVICE</v>
      </c>
      <c r="G260" s="3">
        <v>17</v>
      </c>
      <c r="H260" t="str">
        <f t="shared" si="8"/>
        <v>SERVICE</v>
      </c>
    </row>
    <row r="261" spans="1:8" x14ac:dyDescent="0.25">
      <c r="E261" t="str">
        <f>"13720"</f>
        <v>13720</v>
      </c>
      <c r="F261" t="str">
        <f t="shared" si="7"/>
        <v>SERVICE</v>
      </c>
      <c r="G261" s="3">
        <v>150</v>
      </c>
      <c r="H261" t="str">
        <f t="shared" si="8"/>
        <v>SERVICE</v>
      </c>
    </row>
    <row r="262" spans="1:8" x14ac:dyDescent="0.25">
      <c r="E262" t="str">
        <f>"13768"</f>
        <v>13768</v>
      </c>
      <c r="F262" t="str">
        <f t="shared" si="7"/>
        <v>SERVICE</v>
      </c>
      <c r="G262" s="3">
        <v>65</v>
      </c>
      <c r="H262" t="str">
        <f t="shared" si="8"/>
        <v>SERVICE</v>
      </c>
    </row>
    <row r="263" spans="1:8" x14ac:dyDescent="0.25">
      <c r="A263" t="s">
        <v>42</v>
      </c>
      <c r="B263">
        <v>5140</v>
      </c>
      <c r="C263" s="3">
        <v>74.3</v>
      </c>
      <c r="D263" s="4">
        <v>44467</v>
      </c>
      <c r="E263" t="str">
        <f>"202109205792"</f>
        <v>202109205792</v>
      </c>
      <c r="F263" t="str">
        <f>"SUPPLIES/BASTROP COPIER"</f>
        <v>SUPPLIES/BASTROP COPIER</v>
      </c>
      <c r="G263" s="3">
        <v>50</v>
      </c>
      <c r="H263" t="str">
        <f>"SUPPLIES/BASTROP COPIER"</f>
        <v>SUPPLIES/BASTROP COPIER</v>
      </c>
    </row>
    <row r="264" spans="1:8" x14ac:dyDescent="0.25">
      <c r="E264" t="str">
        <f>""</f>
        <v/>
      </c>
      <c r="F264" t="str">
        <f>""</f>
        <v/>
      </c>
      <c r="G264" s="3">
        <v>18</v>
      </c>
      <c r="H264" t="str">
        <f>"SUPPLIES/BASTROP COPIER"</f>
        <v>SUPPLIES/BASTROP COPIER</v>
      </c>
    </row>
    <row r="265" spans="1:8" x14ac:dyDescent="0.25">
      <c r="E265" t="str">
        <f>""</f>
        <v/>
      </c>
      <c r="F265" t="str">
        <f>""</f>
        <v/>
      </c>
      <c r="G265" s="3">
        <v>6.3</v>
      </c>
      <c r="H265" t="str">
        <f>"SUPPLIES/BASTROP COPIER"</f>
        <v>SUPPLIES/BASTROP COPIER</v>
      </c>
    </row>
    <row r="266" spans="1:8" x14ac:dyDescent="0.25">
      <c r="A266" t="s">
        <v>43</v>
      </c>
      <c r="B266">
        <v>5033</v>
      </c>
      <c r="C266" s="3">
        <v>54400</v>
      </c>
      <c r="D266" s="4">
        <v>44453</v>
      </c>
      <c r="E266" t="str">
        <f>"202108245306"</f>
        <v>202108245306</v>
      </c>
      <c r="F266" t="str">
        <f>"ST.DAVIDS FOUNDATION/JULY 2021"</f>
        <v>ST.DAVIDS FOUNDATION/JULY 2021</v>
      </c>
      <c r="G266" s="3">
        <v>54400</v>
      </c>
      <c r="H266" t="str">
        <f>"ST.DAVIDS FOUNDATION/JULY 2021"</f>
        <v>ST.DAVIDS FOUNDATION/JULY 2021</v>
      </c>
    </row>
    <row r="267" spans="1:8" x14ac:dyDescent="0.25">
      <c r="A267" t="s">
        <v>44</v>
      </c>
      <c r="B267">
        <v>5060</v>
      </c>
      <c r="C267" s="3">
        <v>54.25</v>
      </c>
      <c r="D267" s="4">
        <v>44453</v>
      </c>
      <c r="E267" t="str">
        <f>"202109015428"</f>
        <v>202109015428</v>
      </c>
      <c r="F267" t="str">
        <f>"VEHICLE REGISTRATIONS"</f>
        <v>VEHICLE REGISTRATIONS</v>
      </c>
      <c r="G267" s="3">
        <v>15</v>
      </c>
      <c r="H267" t="str">
        <f>"VEHICLE REGISTRATIONS"</f>
        <v>VEHICLE REGISTRATIONS</v>
      </c>
    </row>
    <row r="268" spans="1:8" x14ac:dyDescent="0.25">
      <c r="E268" t="str">
        <f>""</f>
        <v/>
      </c>
      <c r="F268" t="str">
        <f>""</f>
        <v/>
      </c>
      <c r="G268" s="3">
        <v>7.5</v>
      </c>
      <c r="H268" t="str">
        <f>"VEHICLE REGISTRATIONS"</f>
        <v>VEHICLE REGISTRATIONS</v>
      </c>
    </row>
    <row r="269" spans="1:8" x14ac:dyDescent="0.25">
      <c r="E269" t="str">
        <f>""</f>
        <v/>
      </c>
      <c r="F269" t="str">
        <f>""</f>
        <v/>
      </c>
      <c r="G269" s="3">
        <v>31.75</v>
      </c>
      <c r="H269" t="str">
        <f>"VEHICLE REGISTRATIONS"</f>
        <v>VEHICLE REGISTRATIONS</v>
      </c>
    </row>
    <row r="270" spans="1:8" x14ac:dyDescent="0.25">
      <c r="A270" t="s">
        <v>43</v>
      </c>
      <c r="B270">
        <v>5129</v>
      </c>
      <c r="C270" s="3">
        <v>20007.3</v>
      </c>
      <c r="D270" s="4">
        <v>44467</v>
      </c>
      <c r="E270" t="str">
        <f>"202109205787"</f>
        <v>202109205787</v>
      </c>
      <c r="F270" t="str">
        <f>"HOGG FOUNDATION/AUGUST"</f>
        <v>HOGG FOUNDATION/AUGUST</v>
      </c>
      <c r="G270" s="3">
        <v>20007.3</v>
      </c>
      <c r="H270" t="str">
        <f>"HOGG FOUNDATION/AUGUST"</f>
        <v>HOGG FOUNDATION/AUGUST</v>
      </c>
    </row>
    <row r="271" spans="1:8" x14ac:dyDescent="0.25">
      <c r="A271" t="s">
        <v>45</v>
      </c>
      <c r="B271">
        <v>137055</v>
      </c>
      <c r="C271" s="3">
        <v>5</v>
      </c>
      <c r="D271" s="4">
        <v>44466</v>
      </c>
      <c r="E271" t="str">
        <f>"202109175731"</f>
        <v>202109175731</v>
      </c>
      <c r="F271" t="str">
        <f>"RESTITUTION/JAHAZIEL GARCIA"</f>
        <v>RESTITUTION/JAHAZIEL GARCIA</v>
      </c>
      <c r="G271" s="3">
        <v>5</v>
      </c>
      <c r="H271" t="str">
        <f>"RESTITUTION/JAHAZIEL GARCIA"</f>
        <v>RESTITUTION/JAHAZIEL GARCIA</v>
      </c>
    </row>
    <row r="272" spans="1:8" x14ac:dyDescent="0.25">
      <c r="A272" t="s">
        <v>46</v>
      </c>
      <c r="B272">
        <v>5010</v>
      </c>
      <c r="C272" s="3">
        <v>8815</v>
      </c>
      <c r="D272" s="4">
        <v>44453</v>
      </c>
      <c r="E272" t="str">
        <f>"20211175"</f>
        <v>20211175</v>
      </c>
      <c r="F272" t="str">
        <f>"TRANSPORT/JOSE CERVANTES-TREJO"</f>
        <v>TRANSPORT/JOSE CERVANTES-TREJO</v>
      </c>
      <c r="G272" s="3">
        <v>695</v>
      </c>
      <c r="H272" t="str">
        <f>"TRANSPORT/JOSE CERVANTES-TREJO"</f>
        <v>TRANSPORT/JOSE CERVANTES-TREJO</v>
      </c>
    </row>
    <row r="273" spans="5:8" x14ac:dyDescent="0.25">
      <c r="E273" t="str">
        <f>"2021134"</f>
        <v>2021134</v>
      </c>
      <c r="F273" t="str">
        <f>"TRANSPORT/TIFFANY DREESE"</f>
        <v>TRANSPORT/TIFFANY DREESE</v>
      </c>
      <c r="G273" s="3">
        <v>640</v>
      </c>
      <c r="H273" t="str">
        <f>"TRANSPORT/TIFFANY DREESE"</f>
        <v>TRANSPORT/TIFFANY DREESE</v>
      </c>
    </row>
    <row r="274" spans="5:8" x14ac:dyDescent="0.25">
      <c r="E274" t="str">
        <f>"2021135"</f>
        <v>2021135</v>
      </c>
      <c r="F274" t="str">
        <f>"TRANSPORT/TERRY LINDER"</f>
        <v>TRANSPORT/TERRY LINDER</v>
      </c>
      <c r="G274" s="3">
        <v>295</v>
      </c>
      <c r="H274" t="str">
        <f>"TRANSPORT/TERRY LINDER"</f>
        <v>TRANSPORT/TERRY LINDER</v>
      </c>
    </row>
    <row r="275" spans="5:8" x14ac:dyDescent="0.25">
      <c r="E275" t="str">
        <f>"2021138"</f>
        <v>2021138</v>
      </c>
      <c r="F275" t="str">
        <f>"TRANSPORT/ROMAN HERNANDEZ"</f>
        <v>TRANSPORT/ROMAN HERNANDEZ</v>
      </c>
      <c r="G275" s="3">
        <v>640</v>
      </c>
      <c r="H275" t="str">
        <f>"TRANSPORT/ROMAN HERNANDEZ"</f>
        <v>TRANSPORT/ROMAN HERNANDEZ</v>
      </c>
    </row>
    <row r="276" spans="5:8" x14ac:dyDescent="0.25">
      <c r="E276" t="str">
        <f>"2021141"</f>
        <v>2021141</v>
      </c>
      <c r="F276" t="str">
        <f>"TRANSPORT/DUSTY JOHNSON"</f>
        <v>TRANSPORT/DUSTY JOHNSON</v>
      </c>
      <c r="G276" s="3">
        <v>640</v>
      </c>
      <c r="H276" t="str">
        <f>"TRANSPORT/DUSTY JOHNSON"</f>
        <v>TRANSPORT/DUSTY JOHNSON</v>
      </c>
    </row>
    <row r="277" spans="5:8" x14ac:dyDescent="0.25">
      <c r="E277" t="str">
        <f>"2021142"</f>
        <v>2021142</v>
      </c>
      <c r="F277" t="str">
        <f>"TRANSPORT/JUNE PACE"</f>
        <v>TRANSPORT/JUNE PACE</v>
      </c>
      <c r="G277" s="3">
        <v>390</v>
      </c>
      <c r="H277" t="str">
        <f>"TRANSPORT/JUNE PACE"</f>
        <v>TRANSPORT/JUNE PACE</v>
      </c>
    </row>
    <row r="278" spans="5:8" x14ac:dyDescent="0.25">
      <c r="E278" t="str">
        <f>"2021148"</f>
        <v>2021148</v>
      </c>
      <c r="F278" t="str">
        <f>"TRANSPORT/DEVON FREEMAN"</f>
        <v>TRANSPORT/DEVON FREEMAN</v>
      </c>
      <c r="G278" s="3">
        <v>640</v>
      </c>
      <c r="H278" t="str">
        <f>"TRANSPORT/DEVON FREEMAN"</f>
        <v>TRANSPORT/DEVON FREEMAN</v>
      </c>
    </row>
    <row r="279" spans="5:8" x14ac:dyDescent="0.25">
      <c r="E279" t="str">
        <f>"2021151"</f>
        <v>2021151</v>
      </c>
      <c r="F279" t="str">
        <f>"TRANSPORT/MARKEES LEWIS"</f>
        <v>TRANSPORT/MARKEES LEWIS</v>
      </c>
      <c r="G279" s="3">
        <v>295</v>
      </c>
      <c r="H279" t="str">
        <f>"TRANSPORT/MARKEES LEWIS"</f>
        <v>TRANSPORT/MARKEES LEWIS</v>
      </c>
    </row>
    <row r="280" spans="5:8" x14ac:dyDescent="0.25">
      <c r="E280" t="str">
        <f>"2021161"</f>
        <v>2021161</v>
      </c>
      <c r="F280" t="str">
        <f>"TRANSPORT - EDWIN EARGLE"</f>
        <v>TRANSPORT - EDWIN EARGLE</v>
      </c>
      <c r="G280" s="3">
        <v>390</v>
      </c>
      <c r="H280" t="str">
        <f>"TRANSPORT - EDWIN EARGLE"</f>
        <v>TRANSPORT - EDWIN EARGLE</v>
      </c>
    </row>
    <row r="281" spans="5:8" x14ac:dyDescent="0.25">
      <c r="E281" t="str">
        <f>"2021164"</f>
        <v>2021164</v>
      </c>
      <c r="F281" t="str">
        <f>"TRANSPORT - MICHAEL REED"</f>
        <v>TRANSPORT - MICHAEL REED</v>
      </c>
      <c r="G281" s="3">
        <v>390</v>
      </c>
      <c r="H281" t="str">
        <f>"TRANSPORT - MICHAEL REED"</f>
        <v>TRANSPORT - MICHAEL REED</v>
      </c>
    </row>
    <row r="282" spans="5:8" x14ac:dyDescent="0.25">
      <c r="E282" t="str">
        <f>"2021166"</f>
        <v>2021166</v>
      </c>
      <c r="F282" t="str">
        <f>"TRANSPORT - KENNETH OLIVEIRA"</f>
        <v>TRANSPORT - KENNETH OLIVEIRA</v>
      </c>
      <c r="G282" s="3">
        <v>640</v>
      </c>
      <c r="H282" t="str">
        <f>"TRANSPORT - KENNETH OLIVEIRA"</f>
        <v>TRANSPORT - KENNETH OLIVEIRA</v>
      </c>
    </row>
    <row r="283" spans="5:8" x14ac:dyDescent="0.25">
      <c r="E283" t="str">
        <f>"2021168"</f>
        <v>2021168</v>
      </c>
      <c r="F283" t="str">
        <f>"TRANSPORT - CAROLYN COLOSKY"</f>
        <v>TRANSPORT - CAROLYN COLOSKY</v>
      </c>
      <c r="G283" s="3">
        <v>295</v>
      </c>
      <c r="H283" t="str">
        <f>"TRANSPORT - CAROLYN COLOSKY"</f>
        <v>TRANSPORT - CAROLYN COLOSKY</v>
      </c>
    </row>
    <row r="284" spans="5:8" x14ac:dyDescent="0.25">
      <c r="E284" t="str">
        <f>"2021169"</f>
        <v>2021169</v>
      </c>
      <c r="F284" t="str">
        <f>"TRANSPORT - JOHN BRADLEY"</f>
        <v>TRANSPORT - JOHN BRADLEY</v>
      </c>
      <c r="G284" s="3">
        <v>295</v>
      </c>
      <c r="H284" t="str">
        <f>"TRANSPORT - JOHN BRADLEY"</f>
        <v>TRANSPORT - JOHN BRADLEY</v>
      </c>
    </row>
    <row r="285" spans="5:8" x14ac:dyDescent="0.25">
      <c r="E285" t="str">
        <f>"2021170"</f>
        <v>2021170</v>
      </c>
      <c r="F285" t="str">
        <f>"TRANSPORT - CAROLINE HOYLE"</f>
        <v>TRANSPORT - CAROLINE HOYLE</v>
      </c>
      <c r="G285" s="3">
        <v>295</v>
      </c>
      <c r="H285" t="str">
        <f>"TRANSPORT - CAROLINE HOYLE"</f>
        <v>TRANSPORT - CAROLINE HOYLE</v>
      </c>
    </row>
    <row r="286" spans="5:8" x14ac:dyDescent="0.25">
      <c r="E286" t="str">
        <f>"2021176"</f>
        <v>2021176</v>
      </c>
      <c r="F286" t="str">
        <f>"TRANSPORT/MATTHEW MARTIN"</f>
        <v>TRANSPORT/MATTHEW MARTIN</v>
      </c>
      <c r="G286" s="3">
        <v>990</v>
      </c>
      <c r="H286" t="str">
        <f>"TRANSPORT/MATTHEW MARTIN"</f>
        <v>TRANSPORT/MATTHEW MARTIN</v>
      </c>
    </row>
    <row r="287" spans="5:8" x14ac:dyDescent="0.25">
      <c r="E287" t="str">
        <f>"2021177"</f>
        <v>2021177</v>
      </c>
      <c r="F287" t="str">
        <f>"TRANSPORT/JUDY SMITH"</f>
        <v>TRANSPORT/JUDY SMITH</v>
      </c>
      <c r="G287" s="3">
        <v>295</v>
      </c>
      <c r="H287" t="str">
        <f>"TRANSPORT/JUDY SMITH"</f>
        <v>TRANSPORT/JUDY SMITH</v>
      </c>
    </row>
    <row r="288" spans="5:8" x14ac:dyDescent="0.25">
      <c r="E288" t="str">
        <f>"2021181"</f>
        <v>2021181</v>
      </c>
      <c r="F288" t="str">
        <f>"TRANSPORT/JUAN GORDILLO"</f>
        <v>TRANSPORT/JUAN GORDILLO</v>
      </c>
      <c r="G288" s="3">
        <v>990</v>
      </c>
      <c r="H288" t="str">
        <f>"TRANSPORT/JUAN GORDILLO"</f>
        <v>TRANSPORT/JUAN GORDILLO</v>
      </c>
    </row>
    <row r="289" spans="1:8" x14ac:dyDescent="0.25">
      <c r="A289" t="s">
        <v>47</v>
      </c>
      <c r="B289">
        <v>137056</v>
      </c>
      <c r="C289" s="3">
        <v>1342.78</v>
      </c>
      <c r="D289" s="4">
        <v>44466</v>
      </c>
      <c r="E289" t="str">
        <f>"1187010"</f>
        <v>1187010</v>
      </c>
      <c r="F289" t="str">
        <f>"INV 1187010"</f>
        <v>INV 1187010</v>
      </c>
      <c r="G289" s="3">
        <v>1342.78</v>
      </c>
      <c r="H289" t="str">
        <f>"INV 1187010"</f>
        <v>INV 1187010</v>
      </c>
    </row>
    <row r="290" spans="1:8" x14ac:dyDescent="0.25">
      <c r="A290" t="s">
        <v>48</v>
      </c>
      <c r="B290">
        <v>5002</v>
      </c>
      <c r="C290" s="3">
        <v>2082.5</v>
      </c>
      <c r="D290" s="4">
        <v>44453</v>
      </c>
      <c r="E290" t="str">
        <f>"202109025505"</f>
        <v>202109025505</v>
      </c>
      <c r="F290" t="str">
        <f>"INVESTIGATIVE SVCS - AUGUST"</f>
        <v>INVESTIGATIVE SVCS - AUGUST</v>
      </c>
      <c r="G290" s="3">
        <v>280</v>
      </c>
      <c r="H290" t="str">
        <f>"INVESTIGATIVE SVCS - AUGUST"</f>
        <v>INVESTIGATIVE SVCS - AUGUST</v>
      </c>
    </row>
    <row r="291" spans="1:8" x14ac:dyDescent="0.25">
      <c r="E291" t="str">
        <f>"202109075589"</f>
        <v>202109075589</v>
      </c>
      <c r="F291" t="str">
        <f>"AUGUST SERVICES"</f>
        <v>AUGUST SERVICES</v>
      </c>
      <c r="G291" s="3">
        <v>1452.5</v>
      </c>
      <c r="H291" t="str">
        <f>"AUGUST SERVICES (JA)"</f>
        <v>AUGUST SERVICES (JA)</v>
      </c>
    </row>
    <row r="292" spans="1:8" x14ac:dyDescent="0.25">
      <c r="E292" t="str">
        <f>""</f>
        <v/>
      </c>
      <c r="F292" t="str">
        <f>""</f>
        <v/>
      </c>
      <c r="G292" s="3">
        <v>350</v>
      </c>
      <c r="H292" t="str">
        <f>"AUGUST SERVICES (LE)"</f>
        <v>AUGUST SERVICES (LE)</v>
      </c>
    </row>
    <row r="293" spans="1:8" x14ac:dyDescent="0.25">
      <c r="A293" t="s">
        <v>49</v>
      </c>
      <c r="B293">
        <v>137057</v>
      </c>
      <c r="C293" s="3">
        <v>1127</v>
      </c>
      <c r="D293" s="4">
        <v>44466</v>
      </c>
      <c r="E293" t="str">
        <f>"4299"</f>
        <v>4299</v>
      </c>
      <c r="F293" t="str">
        <f>"LAB/2107290"</f>
        <v>LAB/2107290</v>
      </c>
      <c r="G293" s="3">
        <v>1127</v>
      </c>
      <c r="H293" t="str">
        <f>"LAB/2107290"</f>
        <v>LAB/2107290</v>
      </c>
    </row>
    <row r="294" spans="1:8" x14ac:dyDescent="0.25">
      <c r="A294" t="s">
        <v>50</v>
      </c>
      <c r="B294">
        <v>136864</v>
      </c>
      <c r="C294" s="3">
        <v>1387.07</v>
      </c>
      <c r="D294" s="4">
        <v>44452</v>
      </c>
      <c r="E294" t="str">
        <f>"76078203"</f>
        <v>76078203</v>
      </c>
      <c r="F294" t="str">
        <f>"INV 76078203  76087604"</f>
        <v>INV 76078203  76087604</v>
      </c>
      <c r="G294" s="3">
        <v>544.09</v>
      </c>
      <c r="H294" t="str">
        <f>"INV 76078203"</f>
        <v>INV 76078203</v>
      </c>
    </row>
    <row r="295" spans="1:8" x14ac:dyDescent="0.25">
      <c r="E295" t="str">
        <f>""</f>
        <v/>
      </c>
      <c r="F295" t="str">
        <f>""</f>
        <v/>
      </c>
      <c r="G295" s="3">
        <v>842.98</v>
      </c>
      <c r="H295" t="str">
        <f>"INV 76087604"</f>
        <v>INV 76087604</v>
      </c>
    </row>
    <row r="296" spans="1:8" x14ac:dyDescent="0.25">
      <c r="A296" t="s">
        <v>50</v>
      </c>
      <c r="B296">
        <v>137058</v>
      </c>
      <c r="C296" s="3">
        <v>2920.2</v>
      </c>
      <c r="D296" s="4">
        <v>44466</v>
      </c>
      <c r="E296" t="str">
        <f>"76096774"</f>
        <v>76096774</v>
      </c>
      <c r="F296" t="str">
        <f>"INV 76096774  76106397  7"</f>
        <v>INV 76096774  76106397  7</v>
      </c>
      <c r="G296" s="3">
        <v>877.46</v>
      </c>
      <c r="H296" t="str">
        <f>"INV 76096774"</f>
        <v>INV 76096774</v>
      </c>
    </row>
    <row r="297" spans="1:8" x14ac:dyDescent="0.25">
      <c r="E297" t="str">
        <f>""</f>
        <v/>
      </c>
      <c r="F297" t="str">
        <f>""</f>
        <v/>
      </c>
      <c r="G297" s="3">
        <v>727.31</v>
      </c>
      <c r="H297" t="str">
        <f>"INV 76106397"</f>
        <v>INV 76106397</v>
      </c>
    </row>
    <row r="298" spans="1:8" x14ac:dyDescent="0.25">
      <c r="E298" t="str">
        <f>""</f>
        <v/>
      </c>
      <c r="F298" t="str">
        <f>""</f>
        <v/>
      </c>
      <c r="G298" s="3">
        <v>1315.43</v>
      </c>
      <c r="H298" t="str">
        <f>"INV 76115083"</f>
        <v>INV 76115083</v>
      </c>
    </row>
    <row r="299" spans="1:8" x14ac:dyDescent="0.25">
      <c r="A299" t="s">
        <v>51</v>
      </c>
      <c r="B299">
        <v>5061</v>
      </c>
      <c r="C299" s="3">
        <v>4090.47</v>
      </c>
      <c r="D299" s="4">
        <v>44453</v>
      </c>
      <c r="E299" t="str">
        <f>"25243"</f>
        <v>25243</v>
      </c>
      <c r="F299" t="str">
        <f>"INV 25243  25316"</f>
        <v>INV 25243  25316</v>
      </c>
      <c r="G299" s="3">
        <v>2066.96</v>
      </c>
      <c r="H299" t="str">
        <f>"INV 25243"</f>
        <v>INV 25243</v>
      </c>
    </row>
    <row r="300" spans="1:8" x14ac:dyDescent="0.25">
      <c r="E300" t="str">
        <f>""</f>
        <v/>
      </c>
      <c r="F300" t="str">
        <f>""</f>
        <v/>
      </c>
      <c r="G300" s="3">
        <v>2023.51</v>
      </c>
      <c r="H300" t="str">
        <f>"INV 25316"</f>
        <v>INV 25316</v>
      </c>
    </row>
    <row r="301" spans="1:8" x14ac:dyDescent="0.25">
      <c r="A301" t="s">
        <v>52</v>
      </c>
      <c r="B301">
        <v>137059</v>
      </c>
      <c r="C301" s="3">
        <v>125.64</v>
      </c>
      <c r="D301" s="4">
        <v>44466</v>
      </c>
      <c r="E301" t="str">
        <f>"S1272641"</f>
        <v>S1272641</v>
      </c>
      <c r="F301" t="str">
        <f>"CUST#C27745/PCT#1"</f>
        <v>CUST#C27745/PCT#1</v>
      </c>
      <c r="G301" s="3">
        <v>125.64</v>
      </c>
      <c r="H301" t="str">
        <f>"CUST#C27745/PCT#1"</f>
        <v>CUST#C27745/PCT#1</v>
      </c>
    </row>
    <row r="302" spans="1:8" x14ac:dyDescent="0.25">
      <c r="A302" t="s">
        <v>53</v>
      </c>
      <c r="B302">
        <v>5025</v>
      </c>
      <c r="C302" s="3">
        <v>1142.6500000000001</v>
      </c>
      <c r="D302" s="4">
        <v>44453</v>
      </c>
      <c r="E302" t="str">
        <f>"6203"</f>
        <v>6203</v>
      </c>
      <c r="F302" t="str">
        <f>"2012 FREIGHTLINER/PCT#4"</f>
        <v>2012 FREIGHTLINER/PCT#4</v>
      </c>
      <c r="G302" s="3">
        <v>1142.6500000000001</v>
      </c>
      <c r="H302" t="str">
        <f>"2012 FREIGHTLINER/PCT#4"</f>
        <v>2012 FREIGHTLINER/PCT#4</v>
      </c>
    </row>
    <row r="303" spans="1:8" x14ac:dyDescent="0.25">
      <c r="A303" t="s">
        <v>53</v>
      </c>
      <c r="B303">
        <v>5116</v>
      </c>
      <c r="C303" s="3">
        <v>3519.86</v>
      </c>
      <c r="D303" s="4">
        <v>44467</v>
      </c>
      <c r="E303" t="str">
        <f>"6240"</f>
        <v>6240</v>
      </c>
      <c r="F303" t="str">
        <f>"ARM BRUSH MOWER/PCT#4"</f>
        <v>ARM BRUSH MOWER/PCT#4</v>
      </c>
      <c r="G303" s="3">
        <v>1965.99</v>
      </c>
      <c r="H303" t="str">
        <f>"ARM BRUSH MOWER/PCT#4"</f>
        <v>ARM BRUSH MOWER/PCT#4</v>
      </c>
    </row>
    <row r="304" spans="1:8" x14ac:dyDescent="0.25">
      <c r="E304" t="str">
        <f>"6298"</f>
        <v>6298</v>
      </c>
      <c r="F304" t="str">
        <f>"2007 FRIGHTLINER/PCT#4"</f>
        <v>2007 FRIGHTLINER/PCT#4</v>
      </c>
      <c r="G304" s="3">
        <v>1553.87</v>
      </c>
      <c r="H304" t="str">
        <f>"2007 FRIGHTLINER/PCT#4"</f>
        <v>2007 FRIGHTLINER/PCT#4</v>
      </c>
    </row>
    <row r="305" spans="1:8" x14ac:dyDescent="0.25">
      <c r="A305" t="s">
        <v>54</v>
      </c>
      <c r="B305">
        <v>5003</v>
      </c>
      <c r="C305" s="3">
        <v>232.78</v>
      </c>
      <c r="D305" s="4">
        <v>44453</v>
      </c>
      <c r="E305" t="str">
        <f>"21071"</f>
        <v>21071</v>
      </c>
      <c r="F305" t="str">
        <f>"INTERPRETING"</f>
        <v>INTERPRETING</v>
      </c>
      <c r="G305" s="3">
        <v>232.78</v>
      </c>
      <c r="H305" t="str">
        <f>"INTERPRETING"</f>
        <v>INTERPRETING</v>
      </c>
    </row>
    <row r="306" spans="1:8" x14ac:dyDescent="0.25">
      <c r="A306" t="s">
        <v>55</v>
      </c>
      <c r="B306">
        <v>136865</v>
      </c>
      <c r="C306" s="3">
        <v>581.48</v>
      </c>
      <c r="D306" s="4">
        <v>44452</v>
      </c>
      <c r="E306" t="str">
        <f>"84048400676"</f>
        <v>84048400676</v>
      </c>
      <c r="F306" t="str">
        <f>"INV 84048400676  84048400"</f>
        <v>INV 84048400676  84048400</v>
      </c>
      <c r="G306" s="3">
        <v>295.95999999999998</v>
      </c>
      <c r="H306" t="str">
        <f>"INV 84048400676"</f>
        <v>INV 84048400676</v>
      </c>
    </row>
    <row r="307" spans="1:8" x14ac:dyDescent="0.25">
      <c r="E307" t="str">
        <f>""</f>
        <v/>
      </c>
      <c r="F307" t="str">
        <f>""</f>
        <v/>
      </c>
      <c r="G307" s="3">
        <v>285.52</v>
      </c>
      <c r="H307" t="str">
        <f>"INV 84048400739"</f>
        <v>INV 84048400739</v>
      </c>
    </row>
    <row r="308" spans="1:8" x14ac:dyDescent="0.25">
      <c r="A308" t="s">
        <v>55</v>
      </c>
      <c r="B308">
        <v>137060</v>
      </c>
      <c r="C308" s="3">
        <v>807.72</v>
      </c>
      <c r="D308" s="4">
        <v>44466</v>
      </c>
      <c r="E308" t="str">
        <f>"84048400798"</f>
        <v>84048400798</v>
      </c>
      <c r="F308" t="str">
        <f>"INV 84048400798  ETC"</f>
        <v>INV 84048400798  ETC</v>
      </c>
      <c r="G308" s="3">
        <v>234</v>
      </c>
      <c r="H308" t="str">
        <f>"INV 84048400798"</f>
        <v>INV 84048400798</v>
      </c>
    </row>
    <row r="309" spans="1:8" x14ac:dyDescent="0.25">
      <c r="E309" t="str">
        <f>""</f>
        <v/>
      </c>
      <c r="F309" t="str">
        <f>""</f>
        <v/>
      </c>
      <c r="G309" s="3">
        <v>107.88</v>
      </c>
      <c r="H309" t="str">
        <f>"INV 84048400812"</f>
        <v>INV 84048400812</v>
      </c>
    </row>
    <row r="310" spans="1:8" x14ac:dyDescent="0.25">
      <c r="E310" t="str">
        <f>""</f>
        <v/>
      </c>
      <c r="F310" t="str">
        <f>""</f>
        <v/>
      </c>
      <c r="G310" s="3">
        <v>205.92</v>
      </c>
      <c r="H310" t="str">
        <f>"INV 84048400857"</f>
        <v>INV 84048400857</v>
      </c>
    </row>
    <row r="311" spans="1:8" x14ac:dyDescent="0.25">
      <c r="E311" t="str">
        <f>""</f>
        <v/>
      </c>
      <c r="F311" t="str">
        <f>""</f>
        <v/>
      </c>
      <c r="G311" s="3">
        <v>259.92</v>
      </c>
      <c r="H311" t="str">
        <f>"INV 84048400917"</f>
        <v>INV 84048400917</v>
      </c>
    </row>
    <row r="312" spans="1:8" x14ac:dyDescent="0.25">
      <c r="A312" t="s">
        <v>56</v>
      </c>
      <c r="B312">
        <v>5020</v>
      </c>
      <c r="C312" s="3">
        <v>500</v>
      </c>
      <c r="D312" s="4">
        <v>44453</v>
      </c>
      <c r="E312" t="str">
        <f>"202109065527"</f>
        <v>202109065527</v>
      </c>
      <c r="F312" t="str">
        <f>"JP10442021A"</f>
        <v>JP10442021A</v>
      </c>
      <c r="G312" s="3">
        <v>250</v>
      </c>
      <c r="H312" t="str">
        <f>"JP10442021A"</f>
        <v>JP10442021A</v>
      </c>
    </row>
    <row r="313" spans="1:8" x14ac:dyDescent="0.25">
      <c r="E313" t="str">
        <f>"202109065528"</f>
        <v>202109065528</v>
      </c>
      <c r="F313" t="str">
        <f>"312202020A"</f>
        <v>312202020A</v>
      </c>
      <c r="G313" s="3">
        <v>250</v>
      </c>
      <c r="H313" t="str">
        <f>"312202020A"</f>
        <v>312202020A</v>
      </c>
    </row>
    <row r="314" spans="1:8" x14ac:dyDescent="0.25">
      <c r="A314" t="s">
        <v>57</v>
      </c>
      <c r="B314">
        <v>136866</v>
      </c>
      <c r="C314" s="3">
        <v>63.75</v>
      </c>
      <c r="D314" s="4">
        <v>44452</v>
      </c>
      <c r="E314" t="str">
        <f>"210614-SF-18452"</f>
        <v>210614-SF-18452</v>
      </c>
      <c r="F314" t="str">
        <f>"ACCT#B100105034348/CON2"</f>
        <v>ACCT#B100105034348/CON2</v>
      </c>
      <c r="G314" s="3">
        <v>63.75</v>
      </c>
      <c r="H314" t="str">
        <f>"ACCT#B100105034348/CON2"</f>
        <v>ACCT#B100105034348/CON2</v>
      </c>
    </row>
    <row r="315" spans="1:8" x14ac:dyDescent="0.25">
      <c r="A315" t="s">
        <v>58</v>
      </c>
      <c r="B315">
        <v>137061</v>
      </c>
      <c r="C315" s="3">
        <v>286.12</v>
      </c>
      <c r="D315" s="4">
        <v>44466</v>
      </c>
      <c r="E315" t="str">
        <f>"202109215841"</f>
        <v>202109215841</v>
      </c>
      <c r="F315" t="str">
        <f>"CRIMESTOPPER FEES/AUG 2021"</f>
        <v>CRIMESTOPPER FEES/AUG 2021</v>
      </c>
      <c r="G315" s="3">
        <v>286.12</v>
      </c>
      <c r="H315" t="str">
        <f>"CRIMESTOPPER FEES/AUG 2021"</f>
        <v>CRIMESTOPPER FEES/AUG 2021</v>
      </c>
    </row>
    <row r="316" spans="1:8" x14ac:dyDescent="0.25">
      <c r="A316" t="s">
        <v>59</v>
      </c>
      <c r="B316">
        <v>136844</v>
      </c>
      <c r="C316" s="3">
        <v>4427.25</v>
      </c>
      <c r="D316" s="4">
        <v>44448</v>
      </c>
      <c r="E316" t="str">
        <f>"202109095638"</f>
        <v>202109095638</v>
      </c>
      <c r="F316" t="str">
        <f>"ACCT#5000057374 / 09012021"</f>
        <v>ACCT#5000057374 / 09012021</v>
      </c>
      <c r="G316" s="3">
        <v>941.03</v>
      </c>
      <c r="H316" t="str">
        <f>"ACCT#5000057374 / 09012021"</f>
        <v>ACCT#5000057374 / 09012021</v>
      </c>
    </row>
    <row r="317" spans="1:8" x14ac:dyDescent="0.25">
      <c r="E317" t="str">
        <f>""</f>
        <v/>
      </c>
      <c r="F317" t="str">
        <f>""</f>
        <v/>
      </c>
      <c r="G317" s="3">
        <v>2106.1</v>
      </c>
      <c r="H317" t="str">
        <f>"ACCT#5000057374 / 09012021"</f>
        <v>ACCT#5000057374 / 09012021</v>
      </c>
    </row>
    <row r="318" spans="1:8" x14ac:dyDescent="0.25">
      <c r="E318" t="str">
        <f>""</f>
        <v/>
      </c>
      <c r="F318" t="str">
        <f>""</f>
        <v/>
      </c>
      <c r="G318" s="3">
        <v>693.76</v>
      </c>
      <c r="H318" t="str">
        <f>"ACCT#5000057374 / 09012021"</f>
        <v>ACCT#5000057374 / 09012021</v>
      </c>
    </row>
    <row r="319" spans="1:8" x14ac:dyDescent="0.25">
      <c r="E319" t="str">
        <f>""</f>
        <v/>
      </c>
      <c r="F319" t="str">
        <f>""</f>
        <v/>
      </c>
      <c r="G319" s="3">
        <v>363.79</v>
      </c>
      <c r="H319" t="str">
        <f>"ACCT#5000057374 / 09012021"</f>
        <v>ACCT#5000057374 / 09012021</v>
      </c>
    </row>
    <row r="320" spans="1:8" x14ac:dyDescent="0.25">
      <c r="E320" t="str">
        <f>"202109095640"</f>
        <v>202109095640</v>
      </c>
      <c r="F320" t="str">
        <f>"ACCT#5500090397 / 09012021"</f>
        <v>ACCT#5500090397 / 09012021</v>
      </c>
      <c r="G320" s="3">
        <v>322.57</v>
      </c>
      <c r="H320" t="str">
        <f>"ACCT#5500090397 / 09012021"</f>
        <v>ACCT#5500090397 / 09012021</v>
      </c>
    </row>
    <row r="321" spans="1:8" x14ac:dyDescent="0.25">
      <c r="A321" t="s">
        <v>60</v>
      </c>
      <c r="B321">
        <v>5159</v>
      </c>
      <c r="C321" s="3">
        <v>2275</v>
      </c>
      <c r="D321" s="4">
        <v>44467</v>
      </c>
      <c r="E321" t="str">
        <f>"25072021"</f>
        <v>25072021</v>
      </c>
      <c r="F321" t="str">
        <f>"INV 25072021  25082021"</f>
        <v>INV 25072021  25082021</v>
      </c>
      <c r="G321" s="3">
        <v>1325</v>
      </c>
      <c r="H321" t="str">
        <f>"INV 25072021"</f>
        <v>INV 25072021</v>
      </c>
    </row>
    <row r="322" spans="1:8" x14ac:dyDescent="0.25">
      <c r="E322" t="str">
        <f>""</f>
        <v/>
      </c>
      <c r="F322" t="str">
        <f>""</f>
        <v/>
      </c>
      <c r="G322" s="3">
        <v>950</v>
      </c>
      <c r="H322" t="str">
        <f>"INV 25082021"</f>
        <v>INV 25082021</v>
      </c>
    </row>
    <row r="323" spans="1:8" x14ac:dyDescent="0.25">
      <c r="A323" t="s">
        <v>61</v>
      </c>
      <c r="B323">
        <v>136867</v>
      </c>
      <c r="C323" s="3">
        <v>107.79</v>
      </c>
      <c r="D323" s="4">
        <v>44452</v>
      </c>
      <c r="E323" t="str">
        <f>"1658748"</f>
        <v>1658748</v>
      </c>
      <c r="F323" t="str">
        <f>"INV1658748"</f>
        <v>INV1658748</v>
      </c>
      <c r="G323" s="3">
        <v>107.79</v>
      </c>
      <c r="H323" t="str">
        <f>"INV1658748"</f>
        <v>INV1658748</v>
      </c>
    </row>
    <row r="324" spans="1:8" x14ac:dyDescent="0.25">
      <c r="A324" t="s">
        <v>62</v>
      </c>
      <c r="B324">
        <v>137062</v>
      </c>
      <c r="C324" s="3">
        <v>432.6</v>
      </c>
      <c r="D324" s="4">
        <v>44466</v>
      </c>
      <c r="E324" t="str">
        <f>"17964"</f>
        <v>17964</v>
      </c>
      <c r="F324" t="str">
        <f>"INV 17964"</f>
        <v>INV 17964</v>
      </c>
      <c r="G324" s="3">
        <v>432.6</v>
      </c>
      <c r="H324" t="str">
        <f>"INV 17964"</f>
        <v>INV 17964</v>
      </c>
    </row>
    <row r="325" spans="1:8" x14ac:dyDescent="0.25">
      <c r="A325" t="s">
        <v>63</v>
      </c>
      <c r="B325">
        <v>136868</v>
      </c>
      <c r="C325" s="3">
        <v>1786.62</v>
      </c>
      <c r="D325" s="4">
        <v>44452</v>
      </c>
      <c r="E325" t="str">
        <f>"202109085627"</f>
        <v>202109085627</v>
      </c>
      <c r="F325" t="str">
        <f>"ACCT#300362/ANIMAL SHELTER"</f>
        <v>ACCT#300362/ANIMAL SHELTER</v>
      </c>
      <c r="G325" s="3">
        <v>1786.62</v>
      </c>
      <c r="H325" t="str">
        <f>"ACCT#300362/ANIMAL SHELTER"</f>
        <v>ACCT#300362/ANIMAL SHELTER</v>
      </c>
    </row>
    <row r="326" spans="1:8" x14ac:dyDescent="0.25">
      <c r="A326" t="s">
        <v>64</v>
      </c>
      <c r="B326">
        <v>136869</v>
      </c>
      <c r="C326" s="3">
        <v>1225</v>
      </c>
      <c r="D326" s="4">
        <v>44452</v>
      </c>
      <c r="E326" t="str">
        <f>"00044603"</f>
        <v>00044603</v>
      </c>
      <c r="F326" t="str">
        <f>"BONS BARRICADES  INC"</f>
        <v>BONS BARRICADES  INC</v>
      </c>
      <c r="G326" s="3">
        <v>1225</v>
      </c>
      <c r="H326" t="str">
        <f>"Traffic Control"</f>
        <v>Traffic Control</v>
      </c>
    </row>
    <row r="327" spans="1:8" x14ac:dyDescent="0.25">
      <c r="A327" t="s">
        <v>65</v>
      </c>
      <c r="B327">
        <v>136870</v>
      </c>
      <c r="C327" s="3">
        <v>81439.09</v>
      </c>
      <c r="D327" s="4">
        <v>44452</v>
      </c>
      <c r="E327" t="str">
        <f>"125310"</f>
        <v>125310</v>
      </c>
      <c r="F327" t="str">
        <f>"ACCT#1267/PCT#2"</f>
        <v>ACCT#1267/PCT#2</v>
      </c>
      <c r="G327" s="3">
        <v>5422.2</v>
      </c>
      <c r="H327" t="str">
        <f>"ACCT#1267/PCT#2"</f>
        <v>ACCT#1267/PCT#2</v>
      </c>
    </row>
    <row r="328" spans="1:8" x14ac:dyDescent="0.25">
      <c r="E328" t="str">
        <f>"125311"</f>
        <v>125311</v>
      </c>
      <c r="F328" t="str">
        <f>"ACCT#1268/PCT#3"</f>
        <v>ACCT#1268/PCT#3</v>
      </c>
      <c r="G328" s="3">
        <v>26406</v>
      </c>
      <c r="H328" t="str">
        <f>"ACCT#1268/PCT#3"</f>
        <v>ACCT#1268/PCT#3</v>
      </c>
    </row>
    <row r="329" spans="1:8" x14ac:dyDescent="0.25">
      <c r="E329" t="str">
        <f>"125313"</f>
        <v>125313</v>
      </c>
      <c r="F329" t="str">
        <f>"ACCT#1268/PCT#3"</f>
        <v>ACCT#1268/PCT#3</v>
      </c>
      <c r="G329" s="3">
        <v>140.41999999999999</v>
      </c>
      <c r="H329" t="str">
        <f>"ACCT#1268/PCT#3"</f>
        <v>ACCT#1268/PCT#3</v>
      </c>
    </row>
    <row r="330" spans="1:8" x14ac:dyDescent="0.25">
      <c r="E330" t="str">
        <f>"126161"</f>
        <v>126161</v>
      </c>
      <c r="F330" t="str">
        <f>"ACCT#1268/PCT#3"</f>
        <v>ACCT#1268/PCT#3</v>
      </c>
      <c r="G330" s="3">
        <v>34498.06</v>
      </c>
      <c r="H330" t="str">
        <f>"ACCT#1268/PCT#3"</f>
        <v>ACCT#1268/PCT#3</v>
      </c>
    </row>
    <row r="331" spans="1:8" x14ac:dyDescent="0.25">
      <c r="E331" t="str">
        <f>"126162"</f>
        <v>126162</v>
      </c>
      <c r="F331" t="str">
        <f>"ACCT#1268/PCT# 3"</f>
        <v>ACCT#1268/PCT# 3</v>
      </c>
      <c r="G331" s="3">
        <v>264.05</v>
      </c>
      <c r="H331" t="str">
        <f>"ACCT#1268/PCT# 3"</f>
        <v>ACCT#1268/PCT# 3</v>
      </c>
    </row>
    <row r="332" spans="1:8" x14ac:dyDescent="0.25">
      <c r="E332" t="str">
        <f>"126454"</f>
        <v>126454</v>
      </c>
      <c r="F332" t="str">
        <f>"ACCT#1267/PCT#2"</f>
        <v>ACCT#1267/PCT#2</v>
      </c>
      <c r="G332" s="3">
        <v>1831.8</v>
      </c>
      <c r="H332" t="str">
        <f>"ACCT#1267/PCT#2"</f>
        <v>ACCT#1267/PCT#2</v>
      </c>
    </row>
    <row r="333" spans="1:8" x14ac:dyDescent="0.25">
      <c r="E333" t="str">
        <f>"126455"</f>
        <v>126455</v>
      </c>
      <c r="F333" t="str">
        <f>"ACCT#1268/PCT#3"</f>
        <v>ACCT#1268/PCT#3</v>
      </c>
      <c r="G333" s="3">
        <v>11204.4</v>
      </c>
      <c r="H333" t="str">
        <f>"ACCT#1268/PCT#3"</f>
        <v>ACCT#1268/PCT#3</v>
      </c>
    </row>
    <row r="334" spans="1:8" x14ac:dyDescent="0.25">
      <c r="E334" t="str">
        <f>"126456"</f>
        <v>126456</v>
      </c>
      <c r="F334" t="str">
        <f>"ACCT#1268/PCT#3"</f>
        <v>ACCT#1268/PCT#3</v>
      </c>
      <c r="G334" s="3">
        <v>1672.16</v>
      </c>
      <c r="H334" t="str">
        <f>"ACCT#1268/PCT#3"</f>
        <v>ACCT#1268/PCT#3</v>
      </c>
    </row>
    <row r="335" spans="1:8" x14ac:dyDescent="0.25">
      <c r="A335" t="s">
        <v>65</v>
      </c>
      <c r="B335">
        <v>137063</v>
      </c>
      <c r="C335" s="3">
        <v>37159.519999999997</v>
      </c>
      <c r="D335" s="4">
        <v>44466</v>
      </c>
      <c r="E335" t="str">
        <f>"123799"</f>
        <v>123799</v>
      </c>
      <c r="F335" t="str">
        <f>"CREDIT/ACCT#1267"</f>
        <v>CREDIT/ACCT#1267</v>
      </c>
      <c r="G335" s="3">
        <v>-2873.4</v>
      </c>
      <c r="H335" t="str">
        <f>"CREDIT/ACCT#1267"</f>
        <v>CREDIT/ACCT#1267</v>
      </c>
    </row>
    <row r="336" spans="1:8" x14ac:dyDescent="0.25">
      <c r="E336" t="str">
        <f>"125225"</f>
        <v>125225</v>
      </c>
      <c r="F336" t="str">
        <f>"ACCT#1267/PCT#2"</f>
        <v>ACCT#1267/PCT#2</v>
      </c>
      <c r="G336" s="3">
        <v>2869.6</v>
      </c>
      <c r="H336" t="str">
        <f>"ACCT#1267/PCT#2"</f>
        <v>ACCT#1267/PCT#2</v>
      </c>
    </row>
    <row r="337" spans="1:8" x14ac:dyDescent="0.25">
      <c r="E337" t="str">
        <f>"12668"</f>
        <v>12668</v>
      </c>
      <c r="F337" t="str">
        <f>"ACCT#1267/PCT#2"</f>
        <v>ACCT#1267/PCT#2</v>
      </c>
      <c r="G337" s="3">
        <v>940.8</v>
      </c>
      <c r="H337" t="str">
        <f>"ACCT#1267/PCT#2"</f>
        <v>ACCT#1267/PCT#2</v>
      </c>
    </row>
    <row r="338" spans="1:8" x14ac:dyDescent="0.25">
      <c r="E338" t="str">
        <f>"126935"</f>
        <v>126935</v>
      </c>
      <c r="F338" t="str">
        <f>"ACCT#1268/PCT#3"</f>
        <v>ACCT#1268/PCT#3</v>
      </c>
      <c r="G338" s="3">
        <v>138.16999999999999</v>
      </c>
      <c r="H338" t="str">
        <f>"ACCT#1268/PCT#3"</f>
        <v>ACCT#1268/PCT#3</v>
      </c>
    </row>
    <row r="339" spans="1:8" x14ac:dyDescent="0.25">
      <c r="E339" t="str">
        <f>"127339"</f>
        <v>127339</v>
      </c>
      <c r="F339" t="str">
        <f>"ACCT#1267/PCT#2"</f>
        <v>ACCT#1267/PCT#2</v>
      </c>
      <c r="G339" s="3">
        <v>590</v>
      </c>
      <c r="H339" t="str">
        <f>"ACCT#1267/PCT#2"</f>
        <v>ACCT#1267/PCT#2</v>
      </c>
    </row>
    <row r="340" spans="1:8" x14ac:dyDescent="0.25">
      <c r="E340" t="str">
        <f>"127340"</f>
        <v>127340</v>
      </c>
      <c r="F340" t="str">
        <f>"ACCT#1268/PCT#3"</f>
        <v>ACCT#1268/PCT#3</v>
      </c>
      <c r="G340" s="3">
        <v>35494.35</v>
      </c>
      <c r="H340" t="str">
        <f>"ACCT#1268/PCT#3"</f>
        <v>ACCT#1268/PCT#3</v>
      </c>
    </row>
    <row r="341" spans="1:8" x14ac:dyDescent="0.25">
      <c r="A341" t="s">
        <v>66</v>
      </c>
      <c r="B341">
        <v>136871</v>
      </c>
      <c r="C341" s="3">
        <v>150</v>
      </c>
      <c r="D341" s="4">
        <v>44452</v>
      </c>
      <c r="E341" t="str">
        <f>"13411"</f>
        <v>13411</v>
      </c>
      <c r="F341" t="str">
        <f>"SERVICE"</f>
        <v>SERVICE</v>
      </c>
      <c r="G341" s="3">
        <v>150</v>
      </c>
      <c r="H341" t="str">
        <f>"SERVICE"</f>
        <v>SERVICE</v>
      </c>
    </row>
    <row r="342" spans="1:8" x14ac:dyDescent="0.25">
      <c r="A342" t="s">
        <v>67</v>
      </c>
      <c r="B342">
        <v>5073</v>
      </c>
      <c r="C342" s="3">
        <v>250</v>
      </c>
      <c r="D342" s="4">
        <v>44453</v>
      </c>
      <c r="E342" t="str">
        <f>"202109075556"</f>
        <v>202109075556</v>
      </c>
      <c r="F342" t="str">
        <f>"4051621-1"</f>
        <v>4051621-1</v>
      </c>
      <c r="G342" s="3">
        <v>250</v>
      </c>
      <c r="H342" t="str">
        <f>"4051621-1"</f>
        <v>4051621-1</v>
      </c>
    </row>
    <row r="343" spans="1:8" x14ac:dyDescent="0.25">
      <c r="A343" t="s">
        <v>68</v>
      </c>
      <c r="B343">
        <v>136872</v>
      </c>
      <c r="C343" s="3">
        <v>15</v>
      </c>
      <c r="D343" s="4">
        <v>44452</v>
      </c>
      <c r="E343" t="str">
        <f>"21-20872"</f>
        <v>21-20872</v>
      </c>
      <c r="F343" t="str">
        <f>"CAR FUND"</f>
        <v>CAR FUND</v>
      </c>
      <c r="G343" s="3">
        <v>15</v>
      </c>
      <c r="H343" t="str">
        <f>"CAR FUND"</f>
        <v>CAR FUND</v>
      </c>
    </row>
    <row r="344" spans="1:8" x14ac:dyDescent="0.25">
      <c r="A344" t="s">
        <v>69</v>
      </c>
      <c r="B344">
        <v>5138</v>
      </c>
      <c r="C344" s="3">
        <v>4850</v>
      </c>
      <c r="D344" s="4">
        <v>44467</v>
      </c>
      <c r="E344" t="str">
        <f>"134"</f>
        <v>134</v>
      </c>
      <c r="F344" t="str">
        <f>"GREENVALLY GUARDRAIL/PCT#1"</f>
        <v>GREENVALLY GUARDRAIL/PCT#1</v>
      </c>
      <c r="G344" s="3">
        <v>4850</v>
      </c>
      <c r="H344" t="str">
        <f>"GREENVALLY GUARDRAIL/PCT#1"</f>
        <v>GREENVALLY GUARDRAIL/PCT#1</v>
      </c>
    </row>
    <row r="345" spans="1:8" x14ac:dyDescent="0.25">
      <c r="A345" t="s">
        <v>70</v>
      </c>
      <c r="B345">
        <v>136873</v>
      </c>
      <c r="C345" s="3">
        <v>472</v>
      </c>
      <c r="D345" s="4">
        <v>44452</v>
      </c>
      <c r="E345" t="str">
        <f>"0281862"</f>
        <v>0281862</v>
      </c>
      <c r="F345" t="str">
        <f>"BCAS Leashes"</f>
        <v>BCAS Leashes</v>
      </c>
      <c r="G345" s="3">
        <v>415</v>
      </c>
      <c r="H345" t="str">
        <f>"BCAS Leashes"</f>
        <v>BCAS Leashes</v>
      </c>
    </row>
    <row r="346" spans="1:8" x14ac:dyDescent="0.25">
      <c r="E346" t="str">
        <f>""</f>
        <v/>
      </c>
      <c r="F346" t="str">
        <f>""</f>
        <v/>
      </c>
      <c r="G346" s="3">
        <v>57</v>
      </c>
      <c r="H346" t="str">
        <f>"FREIGHT"</f>
        <v>FREIGHT</v>
      </c>
    </row>
    <row r="347" spans="1:8" x14ac:dyDescent="0.25">
      <c r="A347" t="s">
        <v>71</v>
      </c>
      <c r="B347">
        <v>136874</v>
      </c>
      <c r="C347" s="3">
        <v>4513.1000000000004</v>
      </c>
      <c r="D347" s="4">
        <v>44452</v>
      </c>
      <c r="E347" t="str">
        <f>"2022M 166"</f>
        <v>2022M 166</v>
      </c>
      <c r="F347" t="str">
        <f>"2022 CAPCOG ANNUAL MEMBERSHIP"</f>
        <v>2022 CAPCOG ANNUAL MEMBERSHIP</v>
      </c>
      <c r="G347" s="3">
        <v>4513.1000000000004</v>
      </c>
      <c r="H347" t="str">
        <f>"2022 CAPCOG ANNUAL MEMBERSHIP"</f>
        <v>2022 CAPCOG ANNUAL MEMBERSHIP</v>
      </c>
    </row>
    <row r="348" spans="1:8" x14ac:dyDescent="0.25">
      <c r="A348" t="s">
        <v>72</v>
      </c>
      <c r="B348">
        <v>1286</v>
      </c>
      <c r="C348" s="3">
        <v>3083.89</v>
      </c>
      <c r="D348" s="4">
        <v>44452</v>
      </c>
      <c r="E348" t="str">
        <f>"202109085603"</f>
        <v>202109085603</v>
      </c>
      <c r="F348" t="str">
        <f>"Statement 2"</f>
        <v>Statement 2</v>
      </c>
      <c r="G348" s="3">
        <v>31.5</v>
      </c>
      <c r="H348" t="str">
        <f>"dickens"</f>
        <v>dickens</v>
      </c>
    </row>
    <row r="349" spans="1:8" x14ac:dyDescent="0.25">
      <c r="E349" t="str">
        <f>""</f>
        <v/>
      </c>
      <c r="F349" t="str">
        <f>""</f>
        <v/>
      </c>
      <c r="G349" s="3">
        <v>15.92</v>
      </c>
      <c r="H349" t="str">
        <f>"walmart"</f>
        <v>walmart</v>
      </c>
    </row>
    <row r="350" spans="1:8" x14ac:dyDescent="0.25">
      <c r="E350" t="str">
        <f>""</f>
        <v/>
      </c>
      <c r="F350" t="str">
        <f>""</f>
        <v/>
      </c>
      <c r="G350" s="3">
        <v>90.41</v>
      </c>
      <c r="H350" t="str">
        <f>"heb"</f>
        <v>heb</v>
      </c>
    </row>
    <row r="351" spans="1:8" x14ac:dyDescent="0.25">
      <c r="E351" t="str">
        <f>""</f>
        <v/>
      </c>
      <c r="F351" t="str">
        <f>""</f>
        <v/>
      </c>
      <c r="G351" s="3">
        <v>37.880000000000003</v>
      </c>
      <c r="H351" t="str">
        <f>"heb"</f>
        <v>heb</v>
      </c>
    </row>
    <row r="352" spans="1:8" x14ac:dyDescent="0.25">
      <c r="E352" t="str">
        <f>""</f>
        <v/>
      </c>
      <c r="F352" t="str">
        <f>""</f>
        <v/>
      </c>
      <c r="G352" s="3">
        <v>159.37</v>
      </c>
      <c r="H352" t="str">
        <f>"cisco"</f>
        <v>cisco</v>
      </c>
    </row>
    <row r="353" spans="5:8" x14ac:dyDescent="0.25">
      <c r="E353" t="str">
        <f>""</f>
        <v/>
      </c>
      <c r="F353" t="str">
        <f>""</f>
        <v/>
      </c>
      <c r="G353" s="3">
        <v>12.79</v>
      </c>
      <c r="H353" t="str">
        <f>"google"</f>
        <v>google</v>
      </c>
    </row>
    <row r="354" spans="5:8" x14ac:dyDescent="0.25">
      <c r="E354" t="str">
        <f>""</f>
        <v/>
      </c>
      <c r="F354" t="str">
        <f>""</f>
        <v/>
      </c>
      <c r="G354" s="3">
        <v>12.44</v>
      </c>
      <c r="H354" t="str">
        <f>"ups store"</f>
        <v>ups store</v>
      </c>
    </row>
    <row r="355" spans="5:8" x14ac:dyDescent="0.25">
      <c r="E355" t="str">
        <f>""</f>
        <v/>
      </c>
      <c r="F355" t="str">
        <f>""</f>
        <v/>
      </c>
      <c r="G355" s="3">
        <v>13.89</v>
      </c>
      <c r="H355" t="str">
        <f>"sonic"</f>
        <v>sonic</v>
      </c>
    </row>
    <row r="356" spans="5:8" x14ac:dyDescent="0.25">
      <c r="E356" t="str">
        <f>""</f>
        <v/>
      </c>
      <c r="F356" t="str">
        <f>""</f>
        <v/>
      </c>
      <c r="G356" s="3">
        <v>32.15</v>
      </c>
      <c r="H356" t="str">
        <f>"sunnys"</f>
        <v>sunnys</v>
      </c>
    </row>
    <row r="357" spans="5:8" x14ac:dyDescent="0.25">
      <c r="E357" t="str">
        <f>""</f>
        <v/>
      </c>
      <c r="F357" t="str">
        <f>""</f>
        <v/>
      </c>
      <c r="G357" s="3">
        <v>18</v>
      </c>
      <c r="H357" t="str">
        <f>"jasons deli"</f>
        <v>jasons deli</v>
      </c>
    </row>
    <row r="358" spans="5:8" x14ac:dyDescent="0.25">
      <c r="E358" t="str">
        <f>""</f>
        <v/>
      </c>
      <c r="F358" t="str">
        <f>""</f>
        <v/>
      </c>
      <c r="G358" s="3">
        <v>18</v>
      </c>
      <c r="H358" t="str">
        <f>"lubys"</f>
        <v>lubys</v>
      </c>
    </row>
    <row r="359" spans="5:8" x14ac:dyDescent="0.25">
      <c r="E359" t="str">
        <f>""</f>
        <v/>
      </c>
      <c r="F359" t="str">
        <f>""</f>
        <v/>
      </c>
      <c r="G359" s="3">
        <v>17.3</v>
      </c>
      <c r="H359" t="str">
        <f>"olive garden"</f>
        <v>olive garden</v>
      </c>
    </row>
    <row r="360" spans="5:8" x14ac:dyDescent="0.25">
      <c r="E360" t="str">
        <f>""</f>
        <v/>
      </c>
      <c r="F360" t="str">
        <f>""</f>
        <v/>
      </c>
      <c r="G360" s="3">
        <v>18</v>
      </c>
      <c r="H360" t="str">
        <f>"pokejos"</f>
        <v>pokejos</v>
      </c>
    </row>
    <row r="361" spans="5:8" x14ac:dyDescent="0.25">
      <c r="E361" t="str">
        <f>""</f>
        <v/>
      </c>
      <c r="F361" t="str">
        <f>""</f>
        <v/>
      </c>
      <c r="G361" s="3">
        <v>20</v>
      </c>
      <c r="H361" t="str">
        <f>"poke bowl"</f>
        <v>poke bowl</v>
      </c>
    </row>
    <row r="362" spans="5:8" x14ac:dyDescent="0.25">
      <c r="E362" t="str">
        <f>""</f>
        <v/>
      </c>
      <c r="F362" t="str">
        <f>""</f>
        <v/>
      </c>
      <c r="G362" s="3">
        <v>18</v>
      </c>
      <c r="H362" t="str">
        <f>"juan in a million"</f>
        <v>juan in a million</v>
      </c>
    </row>
    <row r="363" spans="5:8" x14ac:dyDescent="0.25">
      <c r="E363" t="str">
        <f>""</f>
        <v/>
      </c>
      <c r="F363" t="str">
        <f>""</f>
        <v/>
      </c>
      <c r="G363" s="3">
        <v>18.38</v>
      </c>
      <c r="H363" t="str">
        <f>"royal blue"</f>
        <v>royal blue</v>
      </c>
    </row>
    <row r="364" spans="5:8" x14ac:dyDescent="0.25">
      <c r="E364" t="str">
        <f>""</f>
        <v/>
      </c>
      <c r="F364" t="str">
        <f>""</f>
        <v/>
      </c>
      <c r="G364" s="3">
        <v>218.4</v>
      </c>
      <c r="H364" t="str">
        <f t="shared" ref="H364:H374" si="9">"holiday inn"</f>
        <v>holiday inn</v>
      </c>
    </row>
    <row r="365" spans="5:8" x14ac:dyDescent="0.25">
      <c r="E365" t="str">
        <f>""</f>
        <v/>
      </c>
      <c r="F365" t="str">
        <f>""</f>
        <v/>
      </c>
      <c r="G365" s="3">
        <v>109.2</v>
      </c>
      <c r="H365" t="str">
        <f t="shared" si="9"/>
        <v>holiday inn</v>
      </c>
    </row>
    <row r="366" spans="5:8" x14ac:dyDescent="0.25">
      <c r="E366" t="str">
        <f>""</f>
        <v/>
      </c>
      <c r="F366" t="str">
        <f>""</f>
        <v/>
      </c>
      <c r="G366" s="3">
        <v>109.2</v>
      </c>
      <c r="H366" t="str">
        <f t="shared" si="9"/>
        <v>holiday inn</v>
      </c>
    </row>
    <row r="367" spans="5:8" x14ac:dyDescent="0.25">
      <c r="E367" t="str">
        <f>""</f>
        <v/>
      </c>
      <c r="F367" t="str">
        <f>""</f>
        <v/>
      </c>
      <c r="G367" s="3">
        <v>218.4</v>
      </c>
      <c r="H367" t="str">
        <f t="shared" si="9"/>
        <v>holiday inn</v>
      </c>
    </row>
    <row r="368" spans="5:8" x14ac:dyDescent="0.25">
      <c r="E368" t="str">
        <f>""</f>
        <v/>
      </c>
      <c r="F368" t="str">
        <f>""</f>
        <v/>
      </c>
      <c r="G368" s="3">
        <v>149.01</v>
      </c>
      <c r="H368" t="str">
        <f t="shared" si="9"/>
        <v>holiday inn</v>
      </c>
    </row>
    <row r="369" spans="1:8" x14ac:dyDescent="0.25">
      <c r="E369" t="str">
        <f>""</f>
        <v/>
      </c>
      <c r="F369" t="str">
        <f>""</f>
        <v/>
      </c>
      <c r="G369" s="3">
        <v>218.4</v>
      </c>
      <c r="H369" t="str">
        <f t="shared" si="9"/>
        <v>holiday inn</v>
      </c>
    </row>
    <row r="370" spans="1:8" x14ac:dyDescent="0.25">
      <c r="E370" t="str">
        <f>""</f>
        <v/>
      </c>
      <c r="F370" t="str">
        <f>""</f>
        <v/>
      </c>
      <c r="G370" s="3">
        <v>218.4</v>
      </c>
      <c r="H370" t="str">
        <f t="shared" si="9"/>
        <v>holiday inn</v>
      </c>
    </row>
    <row r="371" spans="1:8" x14ac:dyDescent="0.25">
      <c r="E371" t="str">
        <f>""</f>
        <v/>
      </c>
      <c r="F371" t="str">
        <f>""</f>
        <v/>
      </c>
      <c r="G371" s="3">
        <v>218.4</v>
      </c>
      <c r="H371" t="str">
        <f t="shared" si="9"/>
        <v>holiday inn</v>
      </c>
    </row>
    <row r="372" spans="1:8" x14ac:dyDescent="0.25">
      <c r="E372" t="str">
        <f>""</f>
        <v/>
      </c>
      <c r="F372" t="str">
        <f>""</f>
        <v/>
      </c>
      <c r="G372" s="3">
        <v>109.2</v>
      </c>
      <c r="H372" t="str">
        <f t="shared" si="9"/>
        <v>holiday inn</v>
      </c>
    </row>
    <row r="373" spans="1:8" x14ac:dyDescent="0.25">
      <c r="E373" t="str">
        <f>""</f>
        <v/>
      </c>
      <c r="F373" t="str">
        <f>""</f>
        <v/>
      </c>
      <c r="G373" s="3">
        <v>109.2</v>
      </c>
      <c r="H373" t="str">
        <f t="shared" si="9"/>
        <v>holiday inn</v>
      </c>
    </row>
    <row r="374" spans="1:8" x14ac:dyDescent="0.25">
      <c r="E374" t="str">
        <f>""</f>
        <v/>
      </c>
      <c r="F374" t="str">
        <f>""</f>
        <v/>
      </c>
      <c r="G374" s="3">
        <v>625.95000000000005</v>
      </c>
      <c r="H374" t="str">
        <f t="shared" si="9"/>
        <v>holiday inn</v>
      </c>
    </row>
    <row r="375" spans="1:8" x14ac:dyDescent="0.25">
      <c r="E375" t="str">
        <f>""</f>
        <v/>
      </c>
      <c r="F375" t="str">
        <f>""</f>
        <v/>
      </c>
      <c r="G375" s="3">
        <v>37.89</v>
      </c>
      <c r="H375" t="str">
        <f>"sling"</f>
        <v>sling</v>
      </c>
    </row>
    <row r="376" spans="1:8" x14ac:dyDescent="0.25">
      <c r="E376" t="str">
        <f>""</f>
        <v/>
      </c>
      <c r="F376" t="str">
        <f>""</f>
        <v/>
      </c>
      <c r="G376" s="3">
        <v>29.94</v>
      </c>
      <c r="H376" t="str">
        <f>"walmart"</f>
        <v>walmart</v>
      </c>
    </row>
    <row r="377" spans="1:8" x14ac:dyDescent="0.25">
      <c r="E377" t="str">
        <f>""</f>
        <v/>
      </c>
      <c r="F377" t="str">
        <f>""</f>
        <v/>
      </c>
      <c r="G377" s="3">
        <v>14.95</v>
      </c>
      <c r="H377" t="str">
        <f>"heb"</f>
        <v>heb</v>
      </c>
    </row>
    <row r="378" spans="1:8" x14ac:dyDescent="0.25">
      <c r="E378" t="str">
        <f>""</f>
        <v/>
      </c>
      <c r="F378" t="str">
        <f>""</f>
        <v/>
      </c>
      <c r="G378" s="3">
        <v>163.32</v>
      </c>
      <c r="H378" t="str">
        <f>"walmart"</f>
        <v>walmart</v>
      </c>
    </row>
    <row r="379" spans="1:8" x14ac:dyDescent="0.25">
      <c r="A379" t="s">
        <v>72</v>
      </c>
      <c r="B379">
        <v>1287</v>
      </c>
      <c r="C379" s="3">
        <v>4153.8599999999997</v>
      </c>
      <c r="D379" s="4">
        <v>44452</v>
      </c>
      <c r="E379" t="str">
        <f>"202109085604"</f>
        <v>202109085604</v>
      </c>
      <c r="F379" t="str">
        <f>"STATEMENT 0574"</f>
        <v>STATEMENT 0574</v>
      </c>
      <c r="G379" s="3">
        <v>222.3</v>
      </c>
      <c r="H379" t="str">
        <f>"HOLIDAY INN - EADES"</f>
        <v>HOLIDAY INN - EADES</v>
      </c>
    </row>
    <row r="380" spans="1:8" x14ac:dyDescent="0.25">
      <c r="E380" t="str">
        <f>""</f>
        <v/>
      </c>
      <c r="F380" t="str">
        <f>""</f>
        <v/>
      </c>
      <c r="G380" s="3">
        <v>222.3</v>
      </c>
      <c r="H380" t="str">
        <f>"HOLIDAY INN - PLOCIC"</f>
        <v>HOLIDAY INN - PLOCIC</v>
      </c>
    </row>
    <row r="381" spans="1:8" x14ac:dyDescent="0.25">
      <c r="E381" t="str">
        <f>""</f>
        <v/>
      </c>
      <c r="F381" t="str">
        <f>""</f>
        <v/>
      </c>
      <c r="G381" s="3">
        <v>905.64</v>
      </c>
      <c r="H381" t="str">
        <f>"GRAND HYATT - COLE"</f>
        <v>GRAND HYATT - COLE</v>
      </c>
    </row>
    <row r="382" spans="1:8" x14ac:dyDescent="0.25">
      <c r="E382" t="str">
        <f>""</f>
        <v/>
      </c>
      <c r="F382" t="str">
        <f>""</f>
        <v/>
      </c>
      <c r="G382" s="3">
        <v>150</v>
      </c>
      <c r="H382" t="str">
        <f>"TEX DIST. &amp; CO. ATTO"</f>
        <v>TEX DIST. &amp; CO. ATTO</v>
      </c>
    </row>
    <row r="383" spans="1:8" x14ac:dyDescent="0.25">
      <c r="E383" t="str">
        <f>""</f>
        <v/>
      </c>
      <c r="F383" t="str">
        <f>""</f>
        <v/>
      </c>
      <c r="G383" s="3">
        <v>519.97</v>
      </c>
      <c r="H383" t="str">
        <f>"BEST BUY"</f>
        <v>BEST BUY</v>
      </c>
    </row>
    <row r="384" spans="1:8" x14ac:dyDescent="0.25">
      <c r="E384" t="str">
        <f>""</f>
        <v/>
      </c>
      <c r="F384" t="str">
        <f>""</f>
        <v/>
      </c>
      <c r="G384" s="3">
        <v>468.55</v>
      </c>
      <c r="H384" t="str">
        <f>"LA QUINTA - HANNA"</f>
        <v>LA QUINTA - HANNA</v>
      </c>
    </row>
    <row r="385" spans="1:8" x14ac:dyDescent="0.25">
      <c r="E385" t="str">
        <f>""</f>
        <v/>
      </c>
      <c r="F385" t="str">
        <f>""</f>
        <v/>
      </c>
      <c r="G385" s="3">
        <v>1048.5999999999999</v>
      </c>
      <c r="H385" t="str">
        <f>"GRAND HYATT - COOK"</f>
        <v>GRAND HYATT - COOK</v>
      </c>
    </row>
    <row r="386" spans="1:8" x14ac:dyDescent="0.25">
      <c r="E386" t="str">
        <f>""</f>
        <v/>
      </c>
      <c r="F386" t="str">
        <f>""</f>
        <v/>
      </c>
      <c r="G386" s="3">
        <v>117.52</v>
      </c>
      <c r="H386" t="str">
        <f>"HAMPTON INN - ROCKWA"</f>
        <v>HAMPTON INN - ROCKWA</v>
      </c>
    </row>
    <row r="387" spans="1:8" x14ac:dyDescent="0.25">
      <c r="E387" t="str">
        <f>""</f>
        <v/>
      </c>
      <c r="F387" t="str">
        <f>""</f>
        <v/>
      </c>
      <c r="G387" s="3">
        <v>35.479999999999997</v>
      </c>
      <c r="H387" t="str">
        <f>"HEB"</f>
        <v>HEB</v>
      </c>
    </row>
    <row r="388" spans="1:8" x14ac:dyDescent="0.25">
      <c r="E388" t="str">
        <f>""</f>
        <v/>
      </c>
      <c r="F388" t="str">
        <f>""</f>
        <v/>
      </c>
      <c r="G388" s="3">
        <v>463.5</v>
      </c>
      <c r="H388" t="str">
        <f>"ROBERTSON INNOVATIVE"</f>
        <v>ROBERTSON INNOVATIVE</v>
      </c>
    </row>
    <row r="389" spans="1:8" x14ac:dyDescent="0.25">
      <c r="A389" t="s">
        <v>73</v>
      </c>
      <c r="B389">
        <v>137064</v>
      </c>
      <c r="C389" s="3">
        <v>4218.75</v>
      </c>
      <c r="D389" s="4">
        <v>44466</v>
      </c>
      <c r="E389" t="str">
        <f>"2"</f>
        <v>2</v>
      </c>
      <c r="F389" t="str">
        <f>"CAROLYN DILL"</f>
        <v>CAROLYN DILL</v>
      </c>
      <c r="G389" s="3">
        <v>4218.75</v>
      </c>
      <c r="H389" t="str">
        <f>"CAROLYN DILL"</f>
        <v>CAROLYN DILL</v>
      </c>
    </row>
    <row r="390" spans="1:8" x14ac:dyDescent="0.25">
      <c r="A390" t="s">
        <v>74</v>
      </c>
      <c r="B390">
        <v>136837</v>
      </c>
      <c r="C390" s="3">
        <v>1517.99</v>
      </c>
      <c r="D390" s="4">
        <v>44441</v>
      </c>
      <c r="E390" t="str">
        <f>"202109025504"</f>
        <v>202109025504</v>
      </c>
      <c r="F390" t="str">
        <f>"ACCT#8000081165-5/07272021"</f>
        <v>ACCT#8000081165-5/07272021</v>
      </c>
      <c r="G390" s="3">
        <v>1287.08</v>
      </c>
      <c r="H390" t="str">
        <f>"ACCT#8000081165-5/07272021"</f>
        <v>ACCT#8000081165-5/07272021</v>
      </c>
    </row>
    <row r="391" spans="1:8" x14ac:dyDescent="0.25">
      <c r="E391" t="str">
        <f>""</f>
        <v/>
      </c>
      <c r="F391" t="str">
        <f>""</f>
        <v/>
      </c>
      <c r="G391" s="3">
        <v>230.91</v>
      </c>
      <c r="H391" t="str">
        <f>"ACCT#8000081165-5/07272021"</f>
        <v>ACCT#8000081165-5/07272021</v>
      </c>
    </row>
    <row r="392" spans="1:8" x14ac:dyDescent="0.25">
      <c r="A392" t="s">
        <v>75</v>
      </c>
      <c r="B392">
        <v>137065</v>
      </c>
      <c r="C392" s="3">
        <v>2003.04</v>
      </c>
      <c r="D392" s="4">
        <v>44466</v>
      </c>
      <c r="E392" t="str">
        <f>"CID2753885"</f>
        <v>CID2753885</v>
      </c>
      <c r="F392" t="str">
        <f>"ACCT#509314860/TOURISM"</f>
        <v>ACCT#509314860/TOURISM</v>
      </c>
      <c r="G392" s="3">
        <v>2003.04</v>
      </c>
      <c r="H392" t="str">
        <f>"ACCT#509314860/TOURISM"</f>
        <v>ACCT#509314860/TOURISM</v>
      </c>
    </row>
    <row r="393" spans="1:8" x14ac:dyDescent="0.25">
      <c r="A393" t="s">
        <v>76</v>
      </c>
      <c r="B393">
        <v>136875</v>
      </c>
      <c r="C393" s="3">
        <v>95</v>
      </c>
      <c r="D393" s="4">
        <v>44452</v>
      </c>
      <c r="E393" t="str">
        <f>"202109075599"</f>
        <v>202109075599</v>
      </c>
      <c r="F393" t="str">
        <f>"TIMOTHY LYLE HENNING"</f>
        <v>TIMOTHY LYLE HENNING</v>
      </c>
      <c r="G393" s="3">
        <v>95</v>
      </c>
      <c r="H393" t="str">
        <f>"Shredding"</f>
        <v>Shredding</v>
      </c>
    </row>
    <row r="394" spans="1:8" x14ac:dyDescent="0.25">
      <c r="A394" t="s">
        <v>77</v>
      </c>
      <c r="B394">
        <v>5152</v>
      </c>
      <c r="C394" s="3">
        <v>1070.58</v>
      </c>
      <c r="D394" s="4">
        <v>44467</v>
      </c>
      <c r="E394" t="str">
        <f>"0244998"</f>
        <v>0244998</v>
      </c>
      <c r="F394" t="str">
        <f>"INV 0244998-IN  0247295-I"</f>
        <v>INV 0244998-IN  0247295-I</v>
      </c>
      <c r="G394" s="3">
        <v>828.66</v>
      </c>
      <c r="H394" t="str">
        <f>"INV 0244998-IN"</f>
        <v>INV 0244998-IN</v>
      </c>
    </row>
    <row r="395" spans="1:8" x14ac:dyDescent="0.25">
      <c r="E395" t="str">
        <f>""</f>
        <v/>
      </c>
      <c r="F395" t="str">
        <f>""</f>
        <v/>
      </c>
      <c r="G395" s="3">
        <v>241.92</v>
      </c>
      <c r="H395" t="str">
        <f>"INV 0247295-IN"</f>
        <v>INV 0247295-IN</v>
      </c>
    </row>
    <row r="396" spans="1:8" x14ac:dyDescent="0.25">
      <c r="A396" t="s">
        <v>78</v>
      </c>
      <c r="B396">
        <v>136876</v>
      </c>
      <c r="C396" s="3">
        <v>3000</v>
      </c>
      <c r="D396" s="4">
        <v>44452</v>
      </c>
      <c r="E396" t="str">
        <f>"202109065529"</f>
        <v>202109065529</v>
      </c>
      <c r="F396" t="str">
        <f>"16667"</f>
        <v>16667</v>
      </c>
      <c r="G396" s="3">
        <v>3000</v>
      </c>
      <c r="H396" t="str">
        <f>"16667"</f>
        <v>16667</v>
      </c>
    </row>
    <row r="397" spans="1:8" x14ac:dyDescent="0.25">
      <c r="A397" t="s">
        <v>79</v>
      </c>
      <c r="B397">
        <v>5072</v>
      </c>
      <c r="C397" s="3">
        <v>3700</v>
      </c>
      <c r="D397" s="4">
        <v>44453</v>
      </c>
      <c r="E397" t="str">
        <f>"202108265334"</f>
        <v>202108265334</v>
      </c>
      <c r="F397" t="str">
        <f>"02-0314-1"</f>
        <v>02-0314-1</v>
      </c>
      <c r="G397" s="3">
        <v>400</v>
      </c>
      <c r="H397" t="str">
        <f>"02-0314-1"</f>
        <v>02-0314-1</v>
      </c>
    </row>
    <row r="398" spans="1:8" x14ac:dyDescent="0.25">
      <c r="E398" t="str">
        <f>"202108265335"</f>
        <v>202108265335</v>
      </c>
      <c r="F398" t="str">
        <f>"17-402"</f>
        <v>17-402</v>
      </c>
      <c r="G398" s="3">
        <v>400</v>
      </c>
      <c r="H398" t="str">
        <f>"17-402"</f>
        <v>17-402</v>
      </c>
    </row>
    <row r="399" spans="1:8" x14ac:dyDescent="0.25">
      <c r="E399" t="str">
        <f>"202108265344"</f>
        <v>202108265344</v>
      </c>
      <c r="F399" t="str">
        <f>"02-0304.4"</f>
        <v>02-0304.4</v>
      </c>
      <c r="G399" s="3">
        <v>400</v>
      </c>
      <c r="H399" t="str">
        <f>"02-0304.4"</f>
        <v>02-0304.4</v>
      </c>
    </row>
    <row r="400" spans="1:8" x14ac:dyDescent="0.25">
      <c r="E400" t="str">
        <f>"202108265345"</f>
        <v>202108265345</v>
      </c>
      <c r="F400" t="str">
        <f>"02-1208-3"</f>
        <v>02-1208-3</v>
      </c>
      <c r="G400" s="3">
        <v>400</v>
      </c>
      <c r="H400" t="str">
        <f>"02-1208-3"</f>
        <v>02-1208-3</v>
      </c>
    </row>
    <row r="401" spans="1:8" x14ac:dyDescent="0.25">
      <c r="E401" t="str">
        <f>"202108265346"</f>
        <v>202108265346</v>
      </c>
      <c r="F401" t="str">
        <f>"17372"</f>
        <v>17372</v>
      </c>
      <c r="G401" s="3">
        <v>400</v>
      </c>
      <c r="H401" t="str">
        <f>"17372"</f>
        <v>17372</v>
      </c>
    </row>
    <row r="402" spans="1:8" x14ac:dyDescent="0.25">
      <c r="E402" t="str">
        <f>"202108265347"</f>
        <v>202108265347</v>
      </c>
      <c r="F402" t="str">
        <f>"17105"</f>
        <v>17105</v>
      </c>
      <c r="G402" s="3">
        <v>400</v>
      </c>
      <c r="H402" t="str">
        <f>"17105"</f>
        <v>17105</v>
      </c>
    </row>
    <row r="403" spans="1:8" x14ac:dyDescent="0.25">
      <c r="E403" t="str">
        <f>"202108265348"</f>
        <v>202108265348</v>
      </c>
      <c r="F403" t="str">
        <f>"16475"</f>
        <v>16475</v>
      </c>
      <c r="G403" s="3">
        <v>400</v>
      </c>
      <c r="H403" t="str">
        <f>"16475"</f>
        <v>16475</v>
      </c>
    </row>
    <row r="404" spans="1:8" x14ac:dyDescent="0.25">
      <c r="E404" t="str">
        <f>"202108265350"</f>
        <v>202108265350</v>
      </c>
      <c r="F404" t="str">
        <f>"57956"</f>
        <v>57956</v>
      </c>
      <c r="G404" s="3">
        <v>250</v>
      </c>
      <c r="H404" t="str">
        <f>"57956"</f>
        <v>57956</v>
      </c>
    </row>
    <row r="405" spans="1:8" x14ac:dyDescent="0.25">
      <c r="E405" t="str">
        <f>"202108265351"</f>
        <v>202108265351</v>
      </c>
      <c r="F405" t="str">
        <f>"303012019B"</f>
        <v>303012019B</v>
      </c>
      <c r="G405" s="3">
        <v>250</v>
      </c>
      <c r="H405" t="str">
        <f>"303012019B"</f>
        <v>303012019B</v>
      </c>
    </row>
    <row r="406" spans="1:8" x14ac:dyDescent="0.25">
      <c r="E406" t="str">
        <f>"202108315408"</f>
        <v>202108315408</v>
      </c>
      <c r="F406" t="str">
        <f>"4020698.11"</f>
        <v>4020698.11</v>
      </c>
      <c r="G406" s="3">
        <v>400</v>
      </c>
      <c r="H406" t="str">
        <f>"4020698.11"</f>
        <v>4020698.11</v>
      </c>
    </row>
    <row r="407" spans="1:8" x14ac:dyDescent="0.25">
      <c r="A407" t="s">
        <v>79</v>
      </c>
      <c r="B407">
        <v>5163</v>
      </c>
      <c r="C407" s="3">
        <v>1500</v>
      </c>
      <c r="D407" s="4">
        <v>44467</v>
      </c>
      <c r="E407" t="str">
        <f>"202109175763"</f>
        <v>202109175763</v>
      </c>
      <c r="F407" t="str">
        <f>"15-254"</f>
        <v>15-254</v>
      </c>
      <c r="G407" s="3">
        <v>400</v>
      </c>
      <c r="H407" t="str">
        <f>"15-254"</f>
        <v>15-254</v>
      </c>
    </row>
    <row r="408" spans="1:8" x14ac:dyDescent="0.25">
      <c r="E408" t="str">
        <f>"202109175764"</f>
        <v>202109175764</v>
      </c>
      <c r="F408" t="str">
        <f>"1883-335"</f>
        <v>1883-335</v>
      </c>
      <c r="G408" s="3">
        <v>150</v>
      </c>
      <c r="H408" t="str">
        <f>"1883-335"</f>
        <v>1883-335</v>
      </c>
    </row>
    <row r="409" spans="1:8" x14ac:dyDescent="0.25">
      <c r="E409" t="str">
        <f>"202109175765"</f>
        <v>202109175765</v>
      </c>
      <c r="F409" t="str">
        <f>"17-134"</f>
        <v>17-134</v>
      </c>
      <c r="G409" s="3">
        <v>400</v>
      </c>
      <c r="H409" t="str">
        <f>"17-134"</f>
        <v>17-134</v>
      </c>
    </row>
    <row r="410" spans="1:8" x14ac:dyDescent="0.25">
      <c r="E410" t="str">
        <f>"202109175766"</f>
        <v>202109175766</v>
      </c>
      <c r="F410" t="str">
        <f>"1901-21"</f>
        <v>1901-21</v>
      </c>
      <c r="G410" s="3">
        <v>150</v>
      </c>
      <c r="H410" t="str">
        <f>"1901-21"</f>
        <v>1901-21</v>
      </c>
    </row>
    <row r="411" spans="1:8" x14ac:dyDescent="0.25">
      <c r="E411" t="str">
        <f>"202109175767"</f>
        <v>202109175767</v>
      </c>
      <c r="F411" t="str">
        <f>"17413"</f>
        <v>17413</v>
      </c>
      <c r="G411" s="3">
        <v>400</v>
      </c>
      <c r="H411" t="str">
        <f>"17413"</f>
        <v>17413</v>
      </c>
    </row>
    <row r="412" spans="1:8" x14ac:dyDescent="0.25">
      <c r="A412" t="s">
        <v>80</v>
      </c>
      <c r="B412">
        <v>5042</v>
      </c>
      <c r="C412" s="3">
        <v>200</v>
      </c>
      <c r="D412" s="4">
        <v>44453</v>
      </c>
      <c r="E412" t="str">
        <f>"202108315415"</f>
        <v>202108315415</v>
      </c>
      <c r="F412" t="str">
        <f>"REIMBURSE TRAINING COURSE FEE"</f>
        <v>REIMBURSE TRAINING COURSE FEE</v>
      </c>
      <c r="G412" s="3">
        <v>200</v>
      </c>
      <c r="H412" t="str">
        <f>"REIMBURSE TRAINING COURSE FEE"</f>
        <v>REIMBURSE TRAINING COURSE FEE</v>
      </c>
    </row>
    <row r="413" spans="1:8" x14ac:dyDescent="0.25">
      <c r="A413" t="s">
        <v>80</v>
      </c>
      <c r="B413">
        <v>5137</v>
      </c>
      <c r="C413" s="3">
        <v>42.22</v>
      </c>
      <c r="D413" s="4">
        <v>44467</v>
      </c>
      <c r="E413" t="str">
        <f>"202109205782"</f>
        <v>202109205782</v>
      </c>
      <c r="F413" t="str">
        <f>"REIMBURSE/CHRISTINE FILES"</f>
        <v>REIMBURSE/CHRISTINE FILES</v>
      </c>
      <c r="G413" s="3">
        <v>42.22</v>
      </c>
      <c r="H413" t="str">
        <f>"REIMBURSE/CHRISTINE FILES"</f>
        <v>REIMBURSE/CHRISTINE FILES</v>
      </c>
    </row>
    <row r="414" spans="1:8" x14ac:dyDescent="0.25">
      <c r="A414" t="s">
        <v>81</v>
      </c>
      <c r="B414">
        <v>136877</v>
      </c>
      <c r="C414" s="3">
        <v>237.4</v>
      </c>
      <c r="D414" s="4">
        <v>44452</v>
      </c>
      <c r="E414" t="str">
        <f>"5074903361"</f>
        <v>5074903361</v>
      </c>
      <c r="F414" t="str">
        <f>"CUST#11167190/PCT#1"</f>
        <v>CUST#11167190/PCT#1</v>
      </c>
      <c r="G414" s="3">
        <v>137.4</v>
      </c>
      <c r="H414" t="str">
        <f>"CUST#11167190/PCT#1"</f>
        <v>CUST#11167190/PCT#1</v>
      </c>
    </row>
    <row r="415" spans="1:8" x14ac:dyDescent="0.25">
      <c r="E415" t="str">
        <f>"9144841504"</f>
        <v>9144841504</v>
      </c>
      <c r="F415" t="str">
        <f>"INV 9144841504"</f>
        <v>INV 9144841504</v>
      </c>
      <c r="G415" s="3">
        <v>100</v>
      </c>
      <c r="H415" t="str">
        <f>"INV 9144841504"</f>
        <v>INV 9144841504</v>
      </c>
    </row>
    <row r="416" spans="1:8" x14ac:dyDescent="0.25">
      <c r="A416" t="s">
        <v>81</v>
      </c>
      <c r="B416">
        <v>137066</v>
      </c>
      <c r="C416" s="3">
        <v>50</v>
      </c>
      <c r="D416" s="4">
        <v>44466</v>
      </c>
      <c r="E416" t="str">
        <f>"9144841505"</f>
        <v>9144841505</v>
      </c>
      <c r="F416" t="str">
        <f>"INV 9144841505"</f>
        <v>INV 9144841505</v>
      </c>
      <c r="G416" s="3">
        <v>50</v>
      </c>
      <c r="H416" t="str">
        <f>"INV 9144841505"</f>
        <v>INV 9144841505</v>
      </c>
    </row>
    <row r="417" spans="1:8" x14ac:dyDescent="0.25">
      <c r="A417" t="s">
        <v>82</v>
      </c>
      <c r="B417">
        <v>136878</v>
      </c>
      <c r="C417" s="3">
        <v>1033.8800000000001</v>
      </c>
      <c r="D417" s="4">
        <v>44452</v>
      </c>
      <c r="E417" t="str">
        <f>"202109075545"</f>
        <v>202109075545</v>
      </c>
      <c r="F417" t="str">
        <f>"PAYER#14108367/PCT#2"</f>
        <v>PAYER#14108367/PCT#2</v>
      </c>
      <c r="G417" s="3">
        <v>672.28</v>
      </c>
      <c r="H417" t="str">
        <f>"PAYER#14108367/PCT#2"</f>
        <v>PAYER#14108367/PCT#2</v>
      </c>
    </row>
    <row r="418" spans="1:8" x14ac:dyDescent="0.25">
      <c r="E418" t="str">
        <f>"202109085624"</f>
        <v>202109085624</v>
      </c>
      <c r="F418" t="str">
        <f>"PAYER#14108463/ANIMAL SHELTER"</f>
        <v>PAYER#14108463/ANIMAL SHELTER</v>
      </c>
      <c r="G418" s="3">
        <v>361.6</v>
      </c>
      <c r="H418" t="str">
        <f>"PAYER#14108463/ANIMAL SHELTER"</f>
        <v>PAYER#14108463/ANIMAL SHELTER</v>
      </c>
    </row>
    <row r="419" spans="1:8" x14ac:dyDescent="0.25">
      <c r="A419" t="s">
        <v>82</v>
      </c>
      <c r="B419">
        <v>136879</v>
      </c>
      <c r="C419" s="3">
        <v>697.11</v>
      </c>
      <c r="D419" s="4">
        <v>44452</v>
      </c>
      <c r="E419" t="str">
        <f>"8405276498"</f>
        <v>8405276498</v>
      </c>
      <c r="F419" t="str">
        <f>"CUST#10377368/PCT#3"</f>
        <v>CUST#10377368/PCT#3</v>
      </c>
      <c r="G419" s="3">
        <v>529.41</v>
      </c>
      <c r="H419" t="str">
        <f>"CUST#10377368/PCT#3"</f>
        <v>CUST#10377368/PCT#3</v>
      </c>
    </row>
    <row r="420" spans="1:8" x14ac:dyDescent="0.25">
      <c r="E420" t="str">
        <f>"8405290372"</f>
        <v>8405290372</v>
      </c>
      <c r="F420" t="str">
        <f>"CUST#10377368/PCT#3"</f>
        <v>CUST#10377368/PCT#3</v>
      </c>
      <c r="G420" s="3">
        <v>167.7</v>
      </c>
      <c r="H420" t="str">
        <f>"CUST#10377368/PCT#3"</f>
        <v>CUST#10377368/PCT#3</v>
      </c>
    </row>
    <row r="421" spans="1:8" x14ac:dyDescent="0.25">
      <c r="A421" t="s">
        <v>82</v>
      </c>
      <c r="B421">
        <v>137067</v>
      </c>
      <c r="C421" s="3">
        <v>4869.38</v>
      </c>
      <c r="D421" s="4">
        <v>44466</v>
      </c>
      <c r="E421" t="str">
        <f>"202109155714"</f>
        <v>202109155714</v>
      </c>
      <c r="F421" t="str">
        <f>"PAYER#14108375/GENERAL SVCS"</f>
        <v>PAYER#14108375/GENERAL SVCS</v>
      </c>
      <c r="G421" s="3">
        <v>2347.4</v>
      </c>
      <c r="H421" t="str">
        <f>"PAYER#14108375/GENERAL SVCS"</f>
        <v>PAYER#14108375/GENERAL SVCS</v>
      </c>
    </row>
    <row r="422" spans="1:8" x14ac:dyDescent="0.25">
      <c r="E422" t="str">
        <f>"202109155716"</f>
        <v>202109155716</v>
      </c>
      <c r="F422" t="str">
        <f>"PAYER#14108431/SIGN SHOP"</f>
        <v>PAYER#14108431/SIGN SHOP</v>
      </c>
      <c r="G422" s="3">
        <v>74.400000000000006</v>
      </c>
      <c r="H422" t="str">
        <f>"PAYER#14108431/SIGN SHOP"</f>
        <v>PAYER#14108431/SIGN SHOP</v>
      </c>
    </row>
    <row r="423" spans="1:8" x14ac:dyDescent="0.25">
      <c r="E423" t="str">
        <f>"202109155720"</f>
        <v>202109155720</v>
      </c>
      <c r="F423" t="str">
        <f>"PAYER#14108431/PCT#1"</f>
        <v>PAYER#14108431/PCT#1</v>
      </c>
      <c r="G423" s="3">
        <v>1042.9000000000001</v>
      </c>
      <c r="H423" t="str">
        <f>"PAYER#14108431/PCT#1"</f>
        <v>PAYER#14108431/PCT#1</v>
      </c>
    </row>
    <row r="424" spans="1:8" x14ac:dyDescent="0.25">
      <c r="E424" t="str">
        <f>"202109175778"</f>
        <v>202109175778</v>
      </c>
      <c r="F424" t="str">
        <f>"PAYER#14108430/PCT#4"</f>
        <v>PAYER#14108430/PCT#4</v>
      </c>
      <c r="G424" s="3">
        <v>1404.68</v>
      </c>
      <c r="H424" t="str">
        <f>"PAYER#14108430/PCT#4"</f>
        <v>PAYER#14108430/PCT#4</v>
      </c>
    </row>
    <row r="425" spans="1:8" x14ac:dyDescent="0.25">
      <c r="A425" t="s">
        <v>82</v>
      </c>
      <c r="B425">
        <v>137068</v>
      </c>
      <c r="C425" s="3">
        <v>245.35</v>
      </c>
      <c r="D425" s="4">
        <v>44466</v>
      </c>
      <c r="E425" t="str">
        <f>"8405308655"</f>
        <v>8405308655</v>
      </c>
      <c r="F425" t="str">
        <f>"CUST#10377368/PCT#2"</f>
        <v>CUST#10377368/PCT#2</v>
      </c>
      <c r="G425" s="3">
        <v>87.36</v>
      </c>
      <c r="H425" t="str">
        <f>"CUST#10377368/PCT#2"</f>
        <v>CUST#10377368/PCT#2</v>
      </c>
    </row>
    <row r="426" spans="1:8" x14ac:dyDescent="0.25">
      <c r="E426" t="str">
        <f>"8405318554"</f>
        <v>8405318554</v>
      </c>
      <c r="F426" t="str">
        <f>"CUST#10377368/PCT#3"</f>
        <v>CUST#10377368/PCT#3</v>
      </c>
      <c r="G426" s="3">
        <v>157.99</v>
      </c>
      <c r="H426" t="str">
        <f>"CUST#10377368/PCT#3"</f>
        <v>CUST#10377368/PCT#3</v>
      </c>
    </row>
    <row r="427" spans="1:8" x14ac:dyDescent="0.25">
      <c r="A427" t="s">
        <v>83</v>
      </c>
      <c r="B427">
        <v>1323</v>
      </c>
      <c r="C427" s="3">
        <v>12279.34</v>
      </c>
      <c r="D427" s="4">
        <v>44453</v>
      </c>
      <c r="E427" t="str">
        <f>"202109145689"</f>
        <v>202109145689</v>
      </c>
      <c r="F427" t="str">
        <f>"ACCT#72-5613 / 09032021"</f>
        <v>ACCT#72-5613 / 09032021</v>
      </c>
      <c r="G427" s="3">
        <v>12279.34</v>
      </c>
      <c r="H427" t="str">
        <f>"ACCT#72-5613 / 09032021"</f>
        <v>ACCT#72-5613 / 09032021</v>
      </c>
    </row>
    <row r="428" spans="1:8" x14ac:dyDescent="0.25">
      <c r="A428" t="s">
        <v>84</v>
      </c>
      <c r="B428">
        <v>136845</v>
      </c>
      <c r="C428" s="3">
        <v>59333.120000000003</v>
      </c>
      <c r="D428" s="4">
        <v>44448</v>
      </c>
      <c r="E428" t="str">
        <f>"202109095644"</f>
        <v>202109095644</v>
      </c>
      <c r="F428" t="str">
        <f>"ACCT#02-2083-04 / 08292021"</f>
        <v>ACCT#02-2083-04 / 08292021</v>
      </c>
      <c r="G428" s="3">
        <v>7908.44</v>
      </c>
      <c r="H428" t="str">
        <f>"ACCT#02-2083-04 / 08292021"</f>
        <v>ACCT#02-2083-04 / 08292021</v>
      </c>
    </row>
    <row r="429" spans="1:8" x14ac:dyDescent="0.25">
      <c r="E429" t="str">
        <f>"202109095645"</f>
        <v>202109095645</v>
      </c>
      <c r="F429" t="str">
        <f>"COUNTY DEV CENTER / 08292021"</f>
        <v>COUNTY DEV CENTER / 08292021</v>
      </c>
      <c r="G429" s="3">
        <v>2290.85</v>
      </c>
      <c r="H429" t="str">
        <f>"CITY OF BASTROP"</f>
        <v>CITY OF BASTROP</v>
      </c>
    </row>
    <row r="430" spans="1:8" x14ac:dyDescent="0.25">
      <c r="E430" t="str">
        <f>"202109095646"</f>
        <v>202109095646</v>
      </c>
      <c r="F430" t="str">
        <f>"COUNTY LAW CENTER / 08292021"</f>
        <v>COUNTY LAW CENTER / 08292021</v>
      </c>
      <c r="G430" s="3">
        <v>32203.21</v>
      </c>
      <c r="H430" t="str">
        <f>"COUNTY LAW CENTER / 08292021"</f>
        <v>COUNTY LAW CENTER / 08292021</v>
      </c>
    </row>
    <row r="431" spans="1:8" x14ac:dyDescent="0.25">
      <c r="E431" t="str">
        <f>"202109095647"</f>
        <v>202109095647</v>
      </c>
      <c r="F431" t="str">
        <f>"BASTROP COURTHOUSE / 08292021"</f>
        <v>BASTROP COURTHOUSE / 08292021</v>
      </c>
      <c r="G431" s="3">
        <v>16930.62</v>
      </c>
      <c r="H431" t="str">
        <f>"BASTROP COURTHOUSE / 08292021"</f>
        <v>BASTROP COURTHOUSE / 08292021</v>
      </c>
    </row>
    <row r="432" spans="1:8" x14ac:dyDescent="0.25">
      <c r="A432" t="s">
        <v>84</v>
      </c>
      <c r="B432">
        <v>137069</v>
      </c>
      <c r="C432" s="3">
        <v>750</v>
      </c>
      <c r="D432" s="4">
        <v>44466</v>
      </c>
      <c r="E432" t="str">
        <f>"202109205828"</f>
        <v>202109205828</v>
      </c>
      <c r="F432" t="str">
        <f>"RENTAL-PARKING LOT"</f>
        <v>RENTAL-PARKING LOT</v>
      </c>
      <c r="G432" s="3">
        <v>750</v>
      </c>
      <c r="H432" t="str">
        <f>"RENTAL-PARKING LOT"</f>
        <v>RENTAL-PARKING LOT</v>
      </c>
    </row>
    <row r="433" spans="1:8" x14ac:dyDescent="0.25">
      <c r="A433" t="s">
        <v>85</v>
      </c>
      <c r="B433">
        <v>136838</v>
      </c>
      <c r="C433" s="3">
        <v>2380.1</v>
      </c>
      <c r="D433" s="4">
        <v>44441</v>
      </c>
      <c r="E433" t="str">
        <f>"202109025498"</f>
        <v>202109025498</v>
      </c>
      <c r="F433" t="str">
        <f>"ACCT#007-0000388-000/08272021"</f>
        <v>ACCT#007-0000388-000/08272021</v>
      </c>
      <c r="G433" s="3">
        <v>663.12</v>
      </c>
      <c r="H433" t="str">
        <f t="shared" ref="H433:H438" si="10">"CITY OF SMITHVILLE"</f>
        <v>CITY OF SMITHVILLE</v>
      </c>
    </row>
    <row r="434" spans="1:8" x14ac:dyDescent="0.25">
      <c r="E434" t="str">
        <f>"202109025499"</f>
        <v>202109025499</v>
      </c>
      <c r="F434" t="str">
        <f>"ACCT#007-0000389-000/08272021"</f>
        <v>ACCT#007-0000389-000/08272021</v>
      </c>
      <c r="G434" s="3">
        <v>59.41</v>
      </c>
      <c r="H434" t="str">
        <f t="shared" si="10"/>
        <v>CITY OF SMITHVILLE</v>
      </c>
    </row>
    <row r="435" spans="1:8" x14ac:dyDescent="0.25">
      <c r="E435" t="str">
        <f>"202109025500"</f>
        <v>202109025500</v>
      </c>
      <c r="F435" t="str">
        <f>"ACCT#044-0001240-000/08272021"</f>
        <v>ACCT#044-0001240-000/08272021</v>
      </c>
      <c r="G435" s="3">
        <v>399.51</v>
      </c>
      <c r="H435" t="str">
        <f t="shared" si="10"/>
        <v>CITY OF SMITHVILLE</v>
      </c>
    </row>
    <row r="436" spans="1:8" x14ac:dyDescent="0.25">
      <c r="E436" t="str">
        <f>"202109025501"</f>
        <v>202109025501</v>
      </c>
      <c r="F436" t="str">
        <f>"ACCT#044-0001250-000/08272021"</f>
        <v>ACCT#044-0001250-000/08272021</v>
      </c>
      <c r="G436" s="3">
        <v>69.48</v>
      </c>
      <c r="H436" t="str">
        <f t="shared" si="10"/>
        <v>CITY OF SMITHVILLE</v>
      </c>
    </row>
    <row r="437" spans="1:8" x14ac:dyDescent="0.25">
      <c r="E437" t="str">
        <f>"202109025502"</f>
        <v>202109025502</v>
      </c>
      <c r="F437" t="str">
        <f>"ACCT#044-0001252-000/08272021"</f>
        <v>ACCT#044-0001252-000/08272021</v>
      </c>
      <c r="G437" s="3">
        <v>1085.3499999999999</v>
      </c>
      <c r="H437" t="str">
        <f t="shared" si="10"/>
        <v>CITY OF SMITHVILLE</v>
      </c>
    </row>
    <row r="438" spans="1:8" x14ac:dyDescent="0.25">
      <c r="E438" t="str">
        <f>"202109025503"</f>
        <v>202109025503</v>
      </c>
      <c r="F438" t="str">
        <f>"ACCT#044-0001253-000/08272021"</f>
        <v>ACCT#044-0001253-000/08272021</v>
      </c>
      <c r="G438" s="3">
        <v>103.23</v>
      </c>
      <c r="H438" t="str">
        <f t="shared" si="10"/>
        <v>CITY OF SMITHVILLE</v>
      </c>
    </row>
    <row r="439" spans="1:8" x14ac:dyDescent="0.25">
      <c r="A439" t="s">
        <v>86</v>
      </c>
      <c r="B439">
        <v>5142</v>
      </c>
      <c r="C439" s="3">
        <v>52.62</v>
      </c>
      <c r="D439" s="4">
        <v>44467</v>
      </c>
      <c r="E439" t="str">
        <f>"202109215852"</f>
        <v>202109215852</v>
      </c>
      <c r="F439" t="str">
        <f>"INDIGENT HEALTH"</f>
        <v>INDIGENT HEALTH</v>
      </c>
      <c r="G439" s="3">
        <v>47.57</v>
      </c>
      <c r="H439" t="str">
        <f>"INDIGENT HEALTH"</f>
        <v>INDIGENT HEALTH</v>
      </c>
    </row>
    <row r="440" spans="1:8" x14ac:dyDescent="0.25">
      <c r="E440" t="str">
        <f>""</f>
        <v/>
      </c>
      <c r="F440" t="str">
        <f>""</f>
        <v/>
      </c>
      <c r="G440" s="3">
        <v>5.05</v>
      </c>
      <c r="H440" t="str">
        <f>"INDIGENT HEALTH"</f>
        <v>INDIGENT HEALTH</v>
      </c>
    </row>
    <row r="441" spans="1:8" x14ac:dyDescent="0.25">
      <c r="A441" t="s">
        <v>87</v>
      </c>
      <c r="B441">
        <v>5112</v>
      </c>
      <c r="C441" s="3">
        <v>143.88</v>
      </c>
      <c r="D441" s="4">
        <v>44467</v>
      </c>
      <c r="E441" t="str">
        <f>"202109215853"</f>
        <v>202109215853</v>
      </c>
      <c r="F441" t="str">
        <f>"INDIGENT HEALTH"</f>
        <v>INDIGENT HEALTH</v>
      </c>
      <c r="G441" s="3">
        <v>113.27</v>
      </c>
      <c r="H441" t="str">
        <f>"INDIGENT HEALTH"</f>
        <v>INDIGENT HEALTH</v>
      </c>
    </row>
    <row r="442" spans="1:8" x14ac:dyDescent="0.25">
      <c r="E442" t="str">
        <f>""</f>
        <v/>
      </c>
      <c r="F442" t="str">
        <f>""</f>
        <v/>
      </c>
      <c r="G442" s="3">
        <v>30.61</v>
      </c>
      <c r="H442" t="str">
        <f>"INDIGENT HEALTH"</f>
        <v>INDIGENT HEALTH</v>
      </c>
    </row>
    <row r="443" spans="1:8" x14ac:dyDescent="0.25">
      <c r="A443" t="s">
        <v>88</v>
      </c>
      <c r="B443">
        <v>136880</v>
      </c>
      <c r="C443" s="3">
        <v>675</v>
      </c>
      <c r="D443" s="4">
        <v>44452</v>
      </c>
      <c r="E443" t="str">
        <f>"751"</f>
        <v>751</v>
      </c>
      <c r="F443" t="str">
        <f>"AUGUST 2021 SERVICES"</f>
        <v>AUGUST 2021 SERVICES</v>
      </c>
      <c r="G443" s="3">
        <v>675</v>
      </c>
      <c r="H443" t="str">
        <f>"AUGUST 2021 SERVICES"</f>
        <v>AUGUST 2021 SERVICES</v>
      </c>
    </row>
    <row r="444" spans="1:8" x14ac:dyDescent="0.25">
      <c r="A444" t="s">
        <v>89</v>
      </c>
      <c r="B444">
        <v>136881</v>
      </c>
      <c r="C444" s="3">
        <v>514.49</v>
      </c>
      <c r="D444" s="4">
        <v>44452</v>
      </c>
      <c r="E444" t="str">
        <f>"202108265319"</f>
        <v>202108265319</v>
      </c>
      <c r="F444" t="str">
        <f>"REIMBURSE/CONNIE CAMERON RABEL"</f>
        <v>REIMBURSE/CONNIE CAMERON RABEL</v>
      </c>
      <c r="G444" s="3">
        <v>514.49</v>
      </c>
      <c r="H444" t="str">
        <f>"REIMBURSE/CONNIE CAMERON RABEL"</f>
        <v>REIMBURSE/CONNIE CAMERON RABEL</v>
      </c>
    </row>
    <row r="445" spans="1:8" x14ac:dyDescent="0.25">
      <c r="A445" t="s">
        <v>90</v>
      </c>
      <c r="B445">
        <v>137070</v>
      </c>
      <c r="C445" s="3">
        <v>35</v>
      </c>
      <c r="D445" s="4">
        <v>44466</v>
      </c>
      <c r="E445" t="str">
        <f>"202109175734"</f>
        <v>202109175734</v>
      </c>
      <c r="F445" t="str">
        <f>"RESTITUTION/KATHY PURCELL"</f>
        <v>RESTITUTION/KATHY PURCELL</v>
      </c>
      <c r="G445" s="3">
        <v>35</v>
      </c>
      <c r="H445" t="str">
        <f>"RESTITUTION/KATHY PURCELL"</f>
        <v>RESTITUTION/KATHY PURCELL</v>
      </c>
    </row>
    <row r="446" spans="1:8" x14ac:dyDescent="0.25">
      <c r="A446" t="s">
        <v>91</v>
      </c>
      <c r="B446">
        <v>137071</v>
      </c>
      <c r="C446" s="3">
        <v>115</v>
      </c>
      <c r="D446" s="4">
        <v>44466</v>
      </c>
      <c r="E446" t="str">
        <f>"202109215877"</f>
        <v>202109215877</v>
      </c>
      <c r="F446" t="str">
        <f>"PER DIEM"</f>
        <v>PER DIEM</v>
      </c>
      <c r="G446" s="3">
        <v>115</v>
      </c>
      <c r="H446" t="str">
        <f>"PER DIEM"</f>
        <v>PER DIEM</v>
      </c>
    </row>
    <row r="447" spans="1:8" x14ac:dyDescent="0.25">
      <c r="A447" t="s">
        <v>92</v>
      </c>
      <c r="B447">
        <v>5047</v>
      </c>
      <c r="C447" s="3">
        <v>3693.98</v>
      </c>
      <c r="D447" s="4">
        <v>44453</v>
      </c>
      <c r="E447" t="str">
        <f>"IG00882"</f>
        <v>IG00882</v>
      </c>
      <c r="F447" t="str">
        <f>"ACCT#603/PCT#3"</f>
        <v>ACCT#603/PCT#3</v>
      </c>
      <c r="G447" s="3">
        <v>881.87</v>
      </c>
      <c r="H447" t="str">
        <f>"ACCT#603/PCT#3"</f>
        <v>ACCT#603/PCT#3</v>
      </c>
    </row>
    <row r="448" spans="1:8" x14ac:dyDescent="0.25">
      <c r="E448" t="str">
        <f>"IG00890"</f>
        <v>IG00890</v>
      </c>
      <c r="F448" t="str">
        <f>"ACCT#063/PCT#1"</f>
        <v>ACCT#063/PCT#1</v>
      </c>
      <c r="G448" s="3">
        <v>389.47</v>
      </c>
      <c r="H448" t="str">
        <f>"ACCT#063/PCT#1"</f>
        <v>ACCT#063/PCT#1</v>
      </c>
    </row>
    <row r="449" spans="1:8" x14ac:dyDescent="0.25">
      <c r="E449" t="str">
        <f>"IG00892"</f>
        <v>IG00892</v>
      </c>
      <c r="F449" t="str">
        <f>"ACCT#063/PCT#2"</f>
        <v>ACCT#063/PCT#2</v>
      </c>
      <c r="G449" s="3">
        <v>112.86</v>
      </c>
      <c r="H449" t="str">
        <f>"ACCT#063/PCT#2"</f>
        <v>ACCT#063/PCT#2</v>
      </c>
    </row>
    <row r="450" spans="1:8" x14ac:dyDescent="0.25">
      <c r="E450" t="str">
        <f>"IG00895"</f>
        <v>IG00895</v>
      </c>
      <c r="F450" t="str">
        <f>"ACCT#063/PCT#3"</f>
        <v>ACCT#063/PCT#3</v>
      </c>
      <c r="G450" s="3">
        <v>378.5</v>
      </c>
      <c r="H450" t="str">
        <f>"ACCT#063/PCT#3"</f>
        <v>ACCT#063/PCT#3</v>
      </c>
    </row>
    <row r="451" spans="1:8" x14ac:dyDescent="0.25">
      <c r="E451" t="str">
        <f>"IG00905"</f>
        <v>IG00905</v>
      </c>
      <c r="F451" t="str">
        <f>"ACCT#063/PCT#2"</f>
        <v>ACCT#063/PCT#2</v>
      </c>
      <c r="G451" s="3">
        <v>870</v>
      </c>
      <c r="H451" t="str">
        <f>"ACCT#063/PCT#2"</f>
        <v>ACCT#063/PCT#2</v>
      </c>
    </row>
    <row r="452" spans="1:8" x14ac:dyDescent="0.25">
      <c r="E452" t="str">
        <f>"IG00916"</f>
        <v>IG00916</v>
      </c>
      <c r="F452" t="str">
        <f>"ACCT#063/PCT#1"</f>
        <v>ACCT#063/PCT#1</v>
      </c>
      <c r="G452" s="3">
        <v>32.799999999999997</v>
      </c>
      <c r="H452" t="str">
        <f>"ACCT#063/PCT#1"</f>
        <v>ACCT#063/PCT#1</v>
      </c>
    </row>
    <row r="453" spans="1:8" x14ac:dyDescent="0.25">
      <c r="E453" t="str">
        <f>"WS21250"</f>
        <v>WS21250</v>
      </c>
      <c r="F453" t="str">
        <f>"ACCT#063/PCT#2"</f>
        <v>ACCT#063/PCT#2</v>
      </c>
      <c r="G453" s="3">
        <v>1028.48</v>
      </c>
      <c r="H453" t="str">
        <f>"ACCT#063/PCT#2"</f>
        <v>ACCT#063/PCT#2</v>
      </c>
    </row>
    <row r="454" spans="1:8" x14ac:dyDescent="0.25">
      <c r="A454" t="s">
        <v>92</v>
      </c>
      <c r="B454">
        <v>5141</v>
      </c>
      <c r="C454" s="3">
        <v>483.12</v>
      </c>
      <c r="D454" s="4">
        <v>44467</v>
      </c>
      <c r="E454" t="str">
        <f>"IG00936"</f>
        <v>IG00936</v>
      </c>
      <c r="F454" t="str">
        <f>"ACCT#063/PCT#2"</f>
        <v>ACCT#063/PCT#2</v>
      </c>
      <c r="G454" s="3">
        <v>483.12</v>
      </c>
      <c r="H454" t="str">
        <f>"ACCT#063/PCT#2"</f>
        <v>ACCT#063/PCT#2</v>
      </c>
    </row>
    <row r="455" spans="1:8" x14ac:dyDescent="0.25">
      <c r="A455" t="s">
        <v>93</v>
      </c>
      <c r="B455">
        <v>136882</v>
      </c>
      <c r="C455" s="3">
        <v>2520</v>
      </c>
      <c r="D455" s="4">
        <v>44452</v>
      </c>
      <c r="E455" t="str">
        <f>"25923"</f>
        <v>25923</v>
      </c>
      <c r="F455" t="str">
        <f>"CovertTrack Renewal SO"</f>
        <v>CovertTrack Renewal SO</v>
      </c>
      <c r="G455" s="3">
        <v>720</v>
      </c>
      <c r="H455" t="str">
        <f>"A854511370"</f>
        <v>A854511370</v>
      </c>
    </row>
    <row r="456" spans="1:8" x14ac:dyDescent="0.25">
      <c r="E456" t="str">
        <f>""</f>
        <v/>
      </c>
      <c r="F456" t="str">
        <f>""</f>
        <v/>
      </c>
      <c r="G456" s="3">
        <v>600</v>
      </c>
      <c r="H456" t="str">
        <f>"353863115102380"</f>
        <v>353863115102380</v>
      </c>
    </row>
    <row r="457" spans="1:8" x14ac:dyDescent="0.25">
      <c r="E457" t="str">
        <f>""</f>
        <v/>
      </c>
      <c r="F457" t="str">
        <f>""</f>
        <v/>
      </c>
      <c r="G457" s="3">
        <v>600</v>
      </c>
      <c r="H457" t="str">
        <f>"353650077295892"</f>
        <v>353650077295892</v>
      </c>
    </row>
    <row r="458" spans="1:8" x14ac:dyDescent="0.25">
      <c r="E458" t="str">
        <f>""</f>
        <v/>
      </c>
      <c r="F458" t="str">
        <f>""</f>
        <v/>
      </c>
      <c r="G458" s="3">
        <v>600</v>
      </c>
      <c r="H458" t="str">
        <f>"353863115117925"</f>
        <v>353863115117925</v>
      </c>
    </row>
    <row r="459" spans="1:8" x14ac:dyDescent="0.25">
      <c r="A459" t="s">
        <v>94</v>
      </c>
      <c r="B459">
        <v>136883</v>
      </c>
      <c r="C459" s="3">
        <v>4733.51</v>
      </c>
      <c r="D459" s="4">
        <v>44452</v>
      </c>
      <c r="E459" t="str">
        <f>"VD19565"</f>
        <v>VD19565</v>
      </c>
      <c r="F459" t="str">
        <f t="shared" ref="F459:F465" si="11">"ACCT#68930-000/ANIMAL SHELTER"</f>
        <v>ACCT#68930-000/ANIMAL SHELTER</v>
      </c>
      <c r="G459" s="3">
        <v>-13.16</v>
      </c>
      <c r="H459" t="str">
        <f t="shared" ref="H459:H467" si="12">"ACCT#68930-000/ANIMAL SHELTER"</f>
        <v>ACCT#68930-000/ANIMAL SHELTER</v>
      </c>
    </row>
    <row r="460" spans="1:8" x14ac:dyDescent="0.25">
      <c r="E460" t="str">
        <f>"VA64032"</f>
        <v>VA64032</v>
      </c>
      <c r="F460" t="str">
        <f t="shared" si="11"/>
        <v>ACCT#68930-000/ANIMAL SHELTER</v>
      </c>
      <c r="G460" s="3">
        <v>2037.44</v>
      </c>
      <c r="H460" t="str">
        <f t="shared" si="12"/>
        <v>ACCT#68930-000/ANIMAL SHELTER</v>
      </c>
    </row>
    <row r="461" spans="1:8" x14ac:dyDescent="0.25">
      <c r="E461" t="str">
        <f>"VD76672"</f>
        <v>VD76672</v>
      </c>
      <c r="F461" t="str">
        <f t="shared" si="11"/>
        <v>ACCT#68930-000/ANIMAL SHELTER</v>
      </c>
      <c r="G461" s="3">
        <v>120.53</v>
      </c>
      <c r="H461" t="str">
        <f t="shared" si="12"/>
        <v>ACCT#68930-000/ANIMAL SHELTER</v>
      </c>
    </row>
    <row r="462" spans="1:8" x14ac:dyDescent="0.25">
      <c r="E462" t="str">
        <f>"VE38164"</f>
        <v>VE38164</v>
      </c>
      <c r="F462" t="str">
        <f t="shared" si="11"/>
        <v>ACCT#68930-000/ANIMAL SHELTER</v>
      </c>
      <c r="G462" s="3">
        <v>314.25</v>
      </c>
      <c r="H462" t="str">
        <f t="shared" si="12"/>
        <v>ACCT#68930-000/ANIMAL SHELTER</v>
      </c>
    </row>
    <row r="463" spans="1:8" x14ac:dyDescent="0.25">
      <c r="E463" t="str">
        <f>"VE59320"</f>
        <v>VE59320</v>
      </c>
      <c r="F463" t="str">
        <f t="shared" si="11"/>
        <v>ACCT#68930-000/ANIMAL SHELTER</v>
      </c>
      <c r="G463" s="3">
        <v>525</v>
      </c>
      <c r="H463" t="str">
        <f t="shared" si="12"/>
        <v>ACCT#68930-000/ANIMAL SHELTER</v>
      </c>
    </row>
    <row r="464" spans="1:8" x14ac:dyDescent="0.25">
      <c r="E464" t="str">
        <f>"VE82760"</f>
        <v>VE82760</v>
      </c>
      <c r="F464" t="str">
        <f t="shared" si="11"/>
        <v>ACCT#68930-000/ANIMAL SHELTER</v>
      </c>
      <c r="G464" s="3">
        <v>96.84</v>
      </c>
      <c r="H464" t="str">
        <f t="shared" si="12"/>
        <v>ACCT#68930-000/ANIMAL SHELTER</v>
      </c>
    </row>
    <row r="465" spans="1:8" x14ac:dyDescent="0.25">
      <c r="E465" t="str">
        <f>"VE82878"</f>
        <v>VE82878</v>
      </c>
      <c r="F465" t="str">
        <f t="shared" si="11"/>
        <v>ACCT#68930-000/ANIMAL SHELTER</v>
      </c>
      <c r="G465" s="3">
        <v>1536.62</v>
      </c>
      <c r="H465" t="str">
        <f t="shared" si="12"/>
        <v>ACCT#68930-000/ANIMAL SHELTER</v>
      </c>
    </row>
    <row r="466" spans="1:8" x14ac:dyDescent="0.25">
      <c r="E466" t="str">
        <f>""</f>
        <v/>
      </c>
      <c r="F466" t="str">
        <f>""</f>
        <v/>
      </c>
      <c r="G466" s="3">
        <v>101.63</v>
      </c>
      <c r="H466" t="str">
        <f t="shared" si="12"/>
        <v>ACCT#68930-000/ANIMAL SHELTER</v>
      </c>
    </row>
    <row r="467" spans="1:8" x14ac:dyDescent="0.25">
      <c r="E467" t="str">
        <f>"VE84897"</f>
        <v>VE84897</v>
      </c>
      <c r="F467" t="str">
        <f>"ACCT#68930-000/ANIMAL SHELTER"</f>
        <v>ACCT#68930-000/ANIMAL SHELTER</v>
      </c>
      <c r="G467" s="3">
        <v>14.36</v>
      </c>
      <c r="H467" t="str">
        <f t="shared" si="12"/>
        <v>ACCT#68930-000/ANIMAL SHELTER</v>
      </c>
    </row>
    <row r="468" spans="1:8" x14ac:dyDescent="0.25">
      <c r="A468" t="s">
        <v>94</v>
      </c>
      <c r="B468">
        <v>137072</v>
      </c>
      <c r="C468" s="3">
        <v>1172.5</v>
      </c>
      <c r="D468" s="4">
        <v>44466</v>
      </c>
      <c r="E468" t="str">
        <f>"VF39016"</f>
        <v>VF39016</v>
      </c>
      <c r="F468" t="str">
        <f>"ACCT#68930/ANIMAL SHELTER"</f>
        <v>ACCT#68930/ANIMAL SHELTER</v>
      </c>
      <c r="G468" s="3">
        <v>212.1</v>
      </c>
      <c r="H468" t="str">
        <f>"ACCT#68930/ANIMAL SHELTER"</f>
        <v>ACCT#68930/ANIMAL SHELTER</v>
      </c>
    </row>
    <row r="469" spans="1:8" x14ac:dyDescent="0.25">
      <c r="E469" t="str">
        <f>"VG42474"</f>
        <v>VG42474</v>
      </c>
      <c r="F469" t="str">
        <f>"ACCT#68930/ANIMAL SHELTER"</f>
        <v>ACCT#68930/ANIMAL SHELTER</v>
      </c>
      <c r="G469" s="3">
        <v>458.5</v>
      </c>
      <c r="H469" t="str">
        <f>"ACCT#68930/ANIMAL SHELTER"</f>
        <v>ACCT#68930/ANIMAL SHELTER</v>
      </c>
    </row>
    <row r="470" spans="1:8" x14ac:dyDescent="0.25">
      <c r="E470" t="str">
        <f>"VG50698"</f>
        <v>VG50698</v>
      </c>
      <c r="F470" t="str">
        <f>"ACCT#68930/ANIMAL SHELTER"</f>
        <v>ACCT#68930/ANIMAL SHELTER</v>
      </c>
      <c r="G470" s="3">
        <v>501.9</v>
      </c>
      <c r="H470" t="str">
        <f>"ACCT#68930/ANIMAL SHELTER"</f>
        <v>ACCT#68930/ANIMAL SHELTER</v>
      </c>
    </row>
    <row r="471" spans="1:8" x14ac:dyDescent="0.25">
      <c r="A471" t="s">
        <v>95</v>
      </c>
      <c r="B471">
        <v>137073</v>
      </c>
      <c r="C471" s="3">
        <v>50</v>
      </c>
      <c r="D471" s="4">
        <v>44466</v>
      </c>
      <c r="E471" t="str">
        <f>"202109175739"</f>
        <v>202109175739</v>
      </c>
      <c r="F471" t="str">
        <f>"RESTITUTION/MARCUS MANZANARES"</f>
        <v>RESTITUTION/MARCUS MANZANARES</v>
      </c>
      <c r="G471" s="3">
        <v>50</v>
      </c>
      <c r="H471" t="str">
        <f>"RESTITUTION/MARCUS MANZANARES"</f>
        <v>RESTITUTION/MARCUS MANZANARES</v>
      </c>
    </row>
    <row r="472" spans="1:8" x14ac:dyDescent="0.25">
      <c r="A472" t="s">
        <v>96</v>
      </c>
      <c r="B472">
        <v>137074</v>
      </c>
      <c r="C472" s="3">
        <v>500</v>
      </c>
      <c r="D472" s="4">
        <v>44466</v>
      </c>
      <c r="E472" t="str">
        <f>"202109205785"</f>
        <v>202109205785</v>
      </c>
      <c r="F472" t="str">
        <f>"PSYCH EVAL/COMMUNICATIONS"</f>
        <v>PSYCH EVAL/COMMUNICATIONS</v>
      </c>
      <c r="G472" s="3">
        <v>250</v>
      </c>
      <c r="H472" t="str">
        <f>"PSYCH EVAL/COMMUNICATIONS"</f>
        <v>PSYCH EVAL/COMMUNICATIONS</v>
      </c>
    </row>
    <row r="473" spans="1:8" x14ac:dyDescent="0.25">
      <c r="E473" t="str">
        <f>"202109215888"</f>
        <v>202109215888</v>
      </c>
      <c r="F473" t="str">
        <f>"AUGUST EXAMS"</f>
        <v>AUGUST EXAMS</v>
      </c>
      <c r="G473" s="3">
        <v>250</v>
      </c>
      <c r="H473" t="str">
        <f>"AUGUST EXAMS"</f>
        <v>AUGUST EXAMS</v>
      </c>
    </row>
    <row r="474" spans="1:8" x14ac:dyDescent="0.25">
      <c r="A474" t="s">
        <v>97</v>
      </c>
      <c r="B474">
        <v>136884</v>
      </c>
      <c r="C474" s="3">
        <v>342</v>
      </c>
      <c r="D474" s="4">
        <v>44452</v>
      </c>
      <c r="E474" t="str">
        <f>"6297863"</f>
        <v>6297863</v>
      </c>
      <c r="F474" t="str">
        <f>"CUST#23813"</f>
        <v>CUST#23813</v>
      </c>
      <c r="G474" s="3">
        <v>342</v>
      </c>
      <c r="H474" t="str">
        <f>"CUST#23813"</f>
        <v>CUST#23813</v>
      </c>
    </row>
    <row r="475" spans="1:8" x14ac:dyDescent="0.25">
      <c r="A475" t="s">
        <v>98</v>
      </c>
      <c r="B475">
        <v>136885</v>
      </c>
      <c r="C475" s="3">
        <v>80</v>
      </c>
      <c r="D475" s="4">
        <v>44452</v>
      </c>
      <c r="E475" t="str">
        <f>"13720"</f>
        <v>13720</v>
      </c>
      <c r="F475" t="str">
        <f>"SERVICE"</f>
        <v>SERVICE</v>
      </c>
      <c r="G475" s="3">
        <v>80</v>
      </c>
      <c r="H475" t="str">
        <f>"SERVICE"</f>
        <v>SERVICE</v>
      </c>
    </row>
    <row r="476" spans="1:8" x14ac:dyDescent="0.25">
      <c r="A476" t="s">
        <v>99</v>
      </c>
      <c r="B476">
        <v>136886</v>
      </c>
      <c r="C476" s="3">
        <v>587.92999999999995</v>
      </c>
      <c r="D476" s="4">
        <v>44452</v>
      </c>
      <c r="E476" t="str">
        <f>"202108265320"</f>
        <v>202108265320</v>
      </c>
      <c r="F476" t="str">
        <f>"REIMBURSE/JOHN DAVID LEWIS"</f>
        <v>REIMBURSE/JOHN DAVID LEWIS</v>
      </c>
      <c r="G476" s="3">
        <v>587.92999999999995</v>
      </c>
      <c r="H476" t="str">
        <f>"REIMBURSE/JOHN DAVID LEWIS"</f>
        <v>REIMBURSE/JOHN DAVID LEWIS</v>
      </c>
    </row>
    <row r="477" spans="1:8" x14ac:dyDescent="0.25">
      <c r="A477" t="s">
        <v>100</v>
      </c>
      <c r="B477">
        <v>5018</v>
      </c>
      <c r="C477" s="3">
        <v>952.5</v>
      </c>
      <c r="D477" s="4">
        <v>44453</v>
      </c>
      <c r="E477" t="str">
        <f>"202109075562"</f>
        <v>202109075562</v>
      </c>
      <c r="F477" t="str">
        <f>"20-20030"</f>
        <v>20-20030</v>
      </c>
      <c r="G477" s="3">
        <v>210</v>
      </c>
      <c r="H477" t="str">
        <f>"20-20030"</f>
        <v>20-20030</v>
      </c>
    </row>
    <row r="478" spans="1:8" x14ac:dyDescent="0.25">
      <c r="E478" t="str">
        <f>"202109075563"</f>
        <v>202109075563</v>
      </c>
      <c r="F478" t="str">
        <f>"21-20839"</f>
        <v>21-20839</v>
      </c>
      <c r="G478" s="3">
        <v>150</v>
      </c>
      <c r="H478" t="str">
        <f>"21-20839"</f>
        <v>21-20839</v>
      </c>
    </row>
    <row r="479" spans="1:8" x14ac:dyDescent="0.25">
      <c r="E479" t="str">
        <f>"202109075564"</f>
        <v>202109075564</v>
      </c>
      <c r="F479" t="str">
        <f>"21-20813"</f>
        <v>21-20813</v>
      </c>
      <c r="G479" s="3">
        <v>75</v>
      </c>
      <c r="H479" t="str">
        <f>"21-20813"</f>
        <v>21-20813</v>
      </c>
    </row>
    <row r="480" spans="1:8" x14ac:dyDescent="0.25">
      <c r="E480" t="str">
        <f>"202109075565"</f>
        <v>202109075565</v>
      </c>
      <c r="F480" t="str">
        <f>"20-20394"</f>
        <v>20-20394</v>
      </c>
      <c r="G480" s="3">
        <v>390</v>
      </c>
      <c r="H480" t="str">
        <f>"20-20394"</f>
        <v>20-20394</v>
      </c>
    </row>
    <row r="481" spans="1:8" x14ac:dyDescent="0.25">
      <c r="E481" t="str">
        <f>"202109075566"</f>
        <v>202109075566</v>
      </c>
      <c r="F481" t="str">
        <f>"20-20207"</f>
        <v>20-20207</v>
      </c>
      <c r="G481" s="3">
        <v>67.5</v>
      </c>
      <c r="H481" t="str">
        <f>"20-20207"</f>
        <v>20-20207</v>
      </c>
    </row>
    <row r="482" spans="1:8" x14ac:dyDescent="0.25">
      <c r="E482" t="str">
        <f>"202109075567"</f>
        <v>202109075567</v>
      </c>
      <c r="F482" t="str">
        <f>"19-19931"</f>
        <v>19-19931</v>
      </c>
      <c r="G482" s="3">
        <v>60</v>
      </c>
      <c r="H482" t="str">
        <f>"19-19931"</f>
        <v>19-19931</v>
      </c>
    </row>
    <row r="483" spans="1:8" x14ac:dyDescent="0.25">
      <c r="A483" t="s">
        <v>100</v>
      </c>
      <c r="B483">
        <v>5110</v>
      </c>
      <c r="C483" s="3">
        <v>250</v>
      </c>
      <c r="D483" s="4">
        <v>44467</v>
      </c>
      <c r="E483" t="str">
        <f>"202109205806"</f>
        <v>202109205806</v>
      </c>
      <c r="F483" t="str">
        <f>"J-3247"</f>
        <v>J-3247</v>
      </c>
      <c r="G483" s="3">
        <v>250</v>
      </c>
      <c r="H483" t="str">
        <f>"J-3247"</f>
        <v>J-3247</v>
      </c>
    </row>
    <row r="484" spans="1:8" x14ac:dyDescent="0.25">
      <c r="A484" t="s">
        <v>101</v>
      </c>
      <c r="B484">
        <v>136887</v>
      </c>
      <c r="C484" s="3">
        <v>1115.08</v>
      </c>
      <c r="D484" s="4">
        <v>44452</v>
      </c>
      <c r="E484" t="str">
        <f>"2272533"</f>
        <v>2272533</v>
      </c>
      <c r="F484" t="str">
        <f>"INV 2272533  2278276"</f>
        <v>INV 2272533  2278276</v>
      </c>
      <c r="G484" s="3">
        <v>593.13</v>
      </c>
      <c r="H484" t="str">
        <f>"INV 2272533"</f>
        <v>INV 2272533</v>
      </c>
    </row>
    <row r="485" spans="1:8" x14ac:dyDescent="0.25">
      <c r="E485" t="str">
        <f>""</f>
        <v/>
      </c>
      <c r="F485" t="str">
        <f>""</f>
        <v/>
      </c>
      <c r="G485" s="3">
        <v>521.95000000000005</v>
      </c>
      <c r="H485" t="str">
        <f>"INV 2278276"</f>
        <v>INV 2278276</v>
      </c>
    </row>
    <row r="486" spans="1:8" x14ac:dyDescent="0.25">
      <c r="A486" t="s">
        <v>101</v>
      </c>
      <c r="B486">
        <v>137075</v>
      </c>
      <c r="C486" s="3">
        <v>1921.74</v>
      </c>
      <c r="D486" s="4">
        <v>44466</v>
      </c>
      <c r="E486" t="str">
        <f>"2284138"</f>
        <v>2284138</v>
      </c>
      <c r="F486" t="str">
        <f>"INV 2284138  2289699  229"</f>
        <v>INV 2284138  2289699  229</v>
      </c>
      <c r="G486" s="3">
        <v>688.03</v>
      </c>
      <c r="H486" t="str">
        <f>"INV 2284138"</f>
        <v>INV 2284138</v>
      </c>
    </row>
    <row r="487" spans="1:8" x14ac:dyDescent="0.25">
      <c r="E487" t="str">
        <f>""</f>
        <v/>
      </c>
      <c r="F487" t="str">
        <f>""</f>
        <v/>
      </c>
      <c r="G487" s="3">
        <v>688.03</v>
      </c>
      <c r="H487" t="str">
        <f>"INV 2289699"</f>
        <v>INV 2289699</v>
      </c>
    </row>
    <row r="488" spans="1:8" x14ac:dyDescent="0.25">
      <c r="E488" t="str">
        <f>""</f>
        <v/>
      </c>
      <c r="F488" t="str">
        <f>""</f>
        <v/>
      </c>
      <c r="G488" s="3">
        <v>545.67999999999995</v>
      </c>
      <c r="H488" t="str">
        <f>"INV 2295705"</f>
        <v>INV 2295705</v>
      </c>
    </row>
    <row r="489" spans="1:8" x14ac:dyDescent="0.25">
      <c r="A489" t="s">
        <v>102</v>
      </c>
      <c r="B489">
        <v>5027</v>
      </c>
      <c r="C489" s="3">
        <v>2285</v>
      </c>
      <c r="D489" s="4">
        <v>44453</v>
      </c>
      <c r="E489" t="str">
        <f>"202109065533"</f>
        <v>202109065533</v>
      </c>
      <c r="F489" t="str">
        <f>"DEBRA A DENNY"</f>
        <v>DEBRA A DENNY</v>
      </c>
      <c r="G489" s="3">
        <v>2285</v>
      </c>
      <c r="H489" t="str">
        <f>"Marketing Plan"</f>
        <v>Marketing Plan</v>
      </c>
    </row>
    <row r="490" spans="1:8" x14ac:dyDescent="0.25">
      <c r="A490" t="s">
        <v>103</v>
      </c>
      <c r="B490">
        <v>136888</v>
      </c>
      <c r="C490" s="3">
        <v>1677.52</v>
      </c>
      <c r="D490" s="4">
        <v>44452</v>
      </c>
      <c r="E490" t="str">
        <f>"10512146591"</f>
        <v>10512146591</v>
      </c>
      <c r="F490" t="str">
        <f>"DELL"</f>
        <v>DELL</v>
      </c>
      <c r="G490" s="3">
        <v>1277.56</v>
      </c>
      <c r="H490" t="str">
        <f>"Dell Latitude"</f>
        <v>Dell Latitude</v>
      </c>
    </row>
    <row r="491" spans="1:8" x14ac:dyDescent="0.25">
      <c r="E491" t="str">
        <f>"202109065535"</f>
        <v>202109065535</v>
      </c>
      <c r="F491" t="str">
        <f>"2 Monitors PCT 2"</f>
        <v>2 Monitors PCT 2</v>
      </c>
      <c r="G491" s="3">
        <v>679.98</v>
      </c>
      <c r="H491" t="str">
        <f>"2 Monitors PCT 2"</f>
        <v>2 Monitors PCT 2</v>
      </c>
    </row>
    <row r="492" spans="1:8" x14ac:dyDescent="0.25">
      <c r="E492" t="str">
        <f>""</f>
        <v/>
      </c>
      <c r="F492" t="str">
        <f>""</f>
        <v/>
      </c>
      <c r="G492" s="3">
        <v>-280.02</v>
      </c>
      <c r="H492" t="str">
        <f>"Premier Discount"</f>
        <v>Premier Discount</v>
      </c>
    </row>
    <row r="493" spans="1:8" x14ac:dyDescent="0.25">
      <c r="A493" t="s">
        <v>103</v>
      </c>
      <c r="B493">
        <v>137076</v>
      </c>
      <c r="C493" s="3">
        <v>59.84</v>
      </c>
      <c r="D493" s="4">
        <v>44466</v>
      </c>
      <c r="E493" t="str">
        <f>"25910"</f>
        <v>25910</v>
      </c>
      <c r="F493" t="str">
        <f>"Laptop Charger for Shawn"</f>
        <v>Laptop Charger for Shawn</v>
      </c>
      <c r="G493" s="3">
        <v>69.989999999999995</v>
      </c>
      <c r="H493" t="str">
        <f>"Laptop Charger for Shawn"</f>
        <v>Laptop Charger for Shawn</v>
      </c>
    </row>
    <row r="494" spans="1:8" x14ac:dyDescent="0.25">
      <c r="E494" t="str">
        <f>""</f>
        <v/>
      </c>
      <c r="F494" t="str">
        <f>""</f>
        <v/>
      </c>
      <c r="G494" s="3">
        <v>-10.15</v>
      </c>
      <c r="H494" t="str">
        <f>"Premier Discount"</f>
        <v>Premier Discount</v>
      </c>
    </row>
    <row r="495" spans="1:8" x14ac:dyDescent="0.25">
      <c r="A495" t="s">
        <v>104</v>
      </c>
      <c r="B495">
        <v>5143</v>
      </c>
      <c r="C495" s="3">
        <v>2295</v>
      </c>
      <c r="D495" s="4">
        <v>44467</v>
      </c>
      <c r="E495" t="str">
        <f>"BATX017513"</f>
        <v>BATX017513</v>
      </c>
      <c r="F495" t="str">
        <f>"INV BATX017513"</f>
        <v>INV BATX017513</v>
      </c>
      <c r="G495" s="3">
        <v>2295</v>
      </c>
      <c r="H495" t="str">
        <f>"INV BATX017513"</f>
        <v>INV BATX017513</v>
      </c>
    </row>
    <row r="496" spans="1:8" x14ac:dyDescent="0.25">
      <c r="A496" t="s">
        <v>105</v>
      </c>
      <c r="B496">
        <v>136889</v>
      </c>
      <c r="C496" s="3">
        <v>75</v>
      </c>
      <c r="D496" s="4">
        <v>44452</v>
      </c>
      <c r="E496" t="str">
        <f>"202109085620"</f>
        <v>202109085620</v>
      </c>
      <c r="F496" t="str">
        <f>"ACO TRAINING COURSE/ANIMAL"</f>
        <v>ACO TRAINING COURSE/ANIMAL</v>
      </c>
      <c r="G496" s="3">
        <v>75</v>
      </c>
      <c r="H496" t="str">
        <f>"ACO TRAINING COURSE/ANIMAL"</f>
        <v>ACO TRAINING COURSE/ANIMAL</v>
      </c>
    </row>
    <row r="497" spans="1:8" x14ac:dyDescent="0.25">
      <c r="A497" t="s">
        <v>105</v>
      </c>
      <c r="B497">
        <v>136890</v>
      </c>
      <c r="C497" s="3">
        <v>75</v>
      </c>
      <c r="D497" s="4">
        <v>44452</v>
      </c>
      <c r="E497" t="str">
        <f>"202109085621"</f>
        <v>202109085621</v>
      </c>
      <c r="F497" t="str">
        <f>"ACO TRAINING COURSE/T. LAHAYE"</f>
        <v>ACO TRAINING COURSE/T. LAHAYE</v>
      </c>
      <c r="G497" s="3">
        <v>75</v>
      </c>
      <c r="H497" t="str">
        <f>"ACO TRAINING COURSE/T. LAHAYE"</f>
        <v>ACO TRAINING COURSE/T. LAHAYE</v>
      </c>
    </row>
    <row r="498" spans="1:8" x14ac:dyDescent="0.25">
      <c r="A498" t="s">
        <v>106</v>
      </c>
      <c r="B498">
        <v>136891</v>
      </c>
      <c r="C498" s="3">
        <v>400</v>
      </c>
      <c r="D498" s="4">
        <v>44452</v>
      </c>
      <c r="E498" t="str">
        <f>"083121"</f>
        <v>083121</v>
      </c>
      <c r="F498" t="str">
        <f>"423-7277"</f>
        <v>423-7277</v>
      </c>
      <c r="G498" s="3">
        <v>400</v>
      </c>
      <c r="H498" t="str">
        <f>"423-7277"</f>
        <v>423-7277</v>
      </c>
    </row>
    <row r="499" spans="1:8" x14ac:dyDescent="0.25">
      <c r="A499" t="s">
        <v>107</v>
      </c>
      <c r="B499">
        <v>136892</v>
      </c>
      <c r="C499" s="3">
        <v>561</v>
      </c>
      <c r="D499" s="4">
        <v>44452</v>
      </c>
      <c r="E499" t="str">
        <f>"28157"</f>
        <v>28157</v>
      </c>
      <c r="F499" t="str">
        <f>"DUPLICATE KEYS/GENERAL SVCS"</f>
        <v>DUPLICATE KEYS/GENERAL SVCS</v>
      </c>
      <c r="G499" s="3">
        <v>515.5</v>
      </c>
      <c r="H499" t="str">
        <f>"DUPLICATE KEYS/GENERAL SVCS"</f>
        <v>DUPLICATE KEYS/GENERAL SVCS</v>
      </c>
    </row>
    <row r="500" spans="1:8" x14ac:dyDescent="0.25">
      <c r="E500" t="str">
        <f>"28356"</f>
        <v>28356</v>
      </c>
      <c r="F500" t="str">
        <f>"LOCKSMITH SVCS/PCT#1"</f>
        <v>LOCKSMITH SVCS/PCT#1</v>
      </c>
      <c r="G500" s="3">
        <v>45.5</v>
      </c>
      <c r="H500" t="str">
        <f>"LOCKSMITH SVCS/PCT#1"</f>
        <v>LOCKSMITH SVCS/PCT#1</v>
      </c>
    </row>
    <row r="501" spans="1:8" x14ac:dyDescent="0.25">
      <c r="A501" t="s">
        <v>108</v>
      </c>
      <c r="B501">
        <v>136893</v>
      </c>
      <c r="C501" s="3">
        <v>19405.900000000001</v>
      </c>
      <c r="D501" s="4">
        <v>44452</v>
      </c>
      <c r="E501" t="str">
        <f>"21070007N"</f>
        <v>21070007N</v>
      </c>
      <c r="F501" t="str">
        <f>"CUST#PKE5000"</f>
        <v>CUST#PKE5000</v>
      </c>
      <c r="G501" s="3">
        <v>-66</v>
      </c>
      <c r="H501" t="str">
        <f>"CUST#PKE5000"</f>
        <v>CUST#PKE5000</v>
      </c>
    </row>
    <row r="502" spans="1:8" x14ac:dyDescent="0.25">
      <c r="E502" t="str">
        <f>""</f>
        <v/>
      </c>
      <c r="F502" t="str">
        <f>""</f>
        <v/>
      </c>
      <c r="G502" s="3">
        <v>19471.900000000001</v>
      </c>
      <c r="H502" t="str">
        <f>"CUST#PKE5000"</f>
        <v>CUST#PKE5000</v>
      </c>
    </row>
    <row r="503" spans="1:8" x14ac:dyDescent="0.25">
      <c r="A503" t="s">
        <v>108</v>
      </c>
      <c r="B503">
        <v>137077</v>
      </c>
      <c r="C503" s="3">
        <v>19346.07</v>
      </c>
      <c r="D503" s="4">
        <v>44466</v>
      </c>
      <c r="E503" t="str">
        <f>"21081107N"</f>
        <v>21081107N</v>
      </c>
      <c r="F503" t="str">
        <f>"CUST#PKE5000/AUGUST"</f>
        <v>CUST#PKE5000/AUGUST</v>
      </c>
      <c r="G503" s="3">
        <v>19346.07</v>
      </c>
      <c r="H503" t="str">
        <f>"CUST#PKE5000/AUGUST"</f>
        <v>CUST#PKE5000/AUGUST</v>
      </c>
    </row>
    <row r="504" spans="1:8" x14ac:dyDescent="0.25">
      <c r="A504" t="s">
        <v>109</v>
      </c>
      <c r="B504">
        <v>136894</v>
      </c>
      <c r="C504" s="3">
        <v>590.15</v>
      </c>
      <c r="D504" s="4">
        <v>44452</v>
      </c>
      <c r="E504" t="str">
        <f>"33097"</f>
        <v>33097</v>
      </c>
      <c r="F504" t="str">
        <f>"SUPPLIES/PCT#3"</f>
        <v>SUPPLIES/PCT#3</v>
      </c>
      <c r="G504" s="3">
        <v>590.15</v>
      </c>
      <c r="H504" t="str">
        <f>"SUPPLIES/PCT#3"</f>
        <v>SUPPLIES/PCT#3</v>
      </c>
    </row>
    <row r="505" spans="1:8" x14ac:dyDescent="0.25">
      <c r="A505" t="s">
        <v>110</v>
      </c>
      <c r="B505">
        <v>136895</v>
      </c>
      <c r="C505" s="3">
        <v>249.59</v>
      </c>
      <c r="D505" s="4">
        <v>44452</v>
      </c>
      <c r="E505" t="str">
        <f>"1753"</f>
        <v>1753</v>
      </c>
      <c r="F505" t="str">
        <f>"INV 1753"</f>
        <v>INV 1753</v>
      </c>
      <c r="G505" s="3">
        <v>204.09</v>
      </c>
      <c r="H505" t="str">
        <f>"INV 1753"</f>
        <v>INV 1753</v>
      </c>
    </row>
    <row r="506" spans="1:8" x14ac:dyDescent="0.25">
      <c r="E506" t="str">
        <f>""</f>
        <v/>
      </c>
      <c r="F506" t="str">
        <f>""</f>
        <v/>
      </c>
      <c r="G506" s="3">
        <v>45.5</v>
      </c>
      <c r="H506" t="str">
        <f>"INV 1753"</f>
        <v>INV 1753</v>
      </c>
    </row>
    <row r="507" spans="1:8" x14ac:dyDescent="0.25">
      <c r="A507" t="s">
        <v>111</v>
      </c>
      <c r="B507">
        <v>136896</v>
      </c>
      <c r="C507" s="3">
        <v>40.25</v>
      </c>
      <c r="D507" s="4">
        <v>44452</v>
      </c>
      <c r="E507" t="str">
        <f>"2930742"</f>
        <v>2930742</v>
      </c>
      <c r="F507" t="str">
        <f>"ACCT#27917/PCT#1"</f>
        <v>ACCT#27917/PCT#1</v>
      </c>
      <c r="G507" s="3">
        <v>40.25</v>
      </c>
      <c r="H507" t="str">
        <f>"ACCT#27917/PCT#1"</f>
        <v>ACCT#27917/PCT#1</v>
      </c>
    </row>
    <row r="508" spans="1:8" x14ac:dyDescent="0.25">
      <c r="A508" t="s">
        <v>112</v>
      </c>
      <c r="B508">
        <v>136897</v>
      </c>
      <c r="C508" s="3">
        <v>49.17</v>
      </c>
      <c r="D508" s="4">
        <v>44452</v>
      </c>
      <c r="E508" t="str">
        <f>"202108265342"</f>
        <v>202108265342</v>
      </c>
      <c r="F508" t="str">
        <f>"CASE NO.423-7922"</f>
        <v>CASE NO.423-7922</v>
      </c>
      <c r="G508" s="3">
        <v>49.17</v>
      </c>
      <c r="H508" t="str">
        <f>"CASE NO.423-7922"</f>
        <v>CASE NO.423-7922</v>
      </c>
    </row>
    <row r="509" spans="1:8" x14ac:dyDescent="0.25">
      <c r="A509" t="s">
        <v>113</v>
      </c>
      <c r="B509">
        <v>137040</v>
      </c>
      <c r="C509" s="3">
        <v>749.4</v>
      </c>
      <c r="D509" s="4">
        <v>44461</v>
      </c>
      <c r="E509" t="str">
        <f>"202109225899"</f>
        <v>202109225899</v>
      </c>
      <c r="F509" t="str">
        <f>"ID#405900029213 / 10/01-10/31"</f>
        <v>ID#405900029213 / 10/01-10/31</v>
      </c>
      <c r="G509" s="3">
        <v>374.7</v>
      </c>
      <c r="H509" t="str">
        <f>"ID#405900028789 / 10/01-10/31"</f>
        <v>ID#405900028789 / 10/01-10/31</v>
      </c>
    </row>
    <row r="510" spans="1:8" x14ac:dyDescent="0.25">
      <c r="E510" t="str">
        <f>"202109225900"</f>
        <v>202109225900</v>
      </c>
      <c r="F510" t="str">
        <f>"ID#405900029225 / 10/01-10/31"</f>
        <v>ID#405900029225 / 10/01-10/31</v>
      </c>
      <c r="G510" s="3">
        <v>187.35</v>
      </c>
      <c r="H510" t="str">
        <f>"ID#405900029225 / 10/01-10/31"</f>
        <v>ID#405900029225 / 10/01-10/31</v>
      </c>
    </row>
    <row r="511" spans="1:8" x14ac:dyDescent="0.25">
      <c r="E511" t="str">
        <f>"202109225901"</f>
        <v>202109225901</v>
      </c>
      <c r="F511" t="str">
        <f>"ID#405900028789 / 10/01-10/31"</f>
        <v>ID#405900028789 / 10/01-10/31</v>
      </c>
      <c r="G511" s="3">
        <v>187.35</v>
      </c>
      <c r="H511" t="str">
        <f>"ID#405900028789 / 10/01-10/31"</f>
        <v>ID#405900028789 / 10/01-10/31</v>
      </c>
    </row>
    <row r="512" spans="1:8" x14ac:dyDescent="0.25">
      <c r="A512" t="s">
        <v>114</v>
      </c>
      <c r="B512">
        <v>137078</v>
      </c>
      <c r="C512" s="3">
        <v>50</v>
      </c>
      <c r="D512" s="4">
        <v>44466</v>
      </c>
      <c r="E512" t="str">
        <f>"202109175740"</f>
        <v>202109175740</v>
      </c>
      <c r="F512" t="str">
        <f>"RESTITUTION/MARCUS MANZANARES"</f>
        <v>RESTITUTION/MARCUS MANZANARES</v>
      </c>
      <c r="G512" s="3">
        <v>50</v>
      </c>
      <c r="H512" t="str">
        <f>"RESTITUTION/MARCUS MANZANARES"</f>
        <v>RESTITUTION/MARCUS MANZANARES</v>
      </c>
    </row>
    <row r="513" spans="1:8" x14ac:dyDescent="0.25">
      <c r="A513" t="s">
        <v>115</v>
      </c>
      <c r="B513">
        <v>5031</v>
      </c>
      <c r="C513" s="3">
        <v>3174.13</v>
      </c>
      <c r="D513" s="4">
        <v>44453</v>
      </c>
      <c r="E513" t="str">
        <f>"30051B"</f>
        <v>30051B</v>
      </c>
      <c r="F513" t="str">
        <f>"INV 30051B"</f>
        <v>INV 30051B</v>
      </c>
      <c r="G513" s="3">
        <v>3174.13</v>
      </c>
      <c r="H513" t="str">
        <f>"INV 30051B"</f>
        <v>INV 30051B</v>
      </c>
    </row>
    <row r="514" spans="1:8" x14ac:dyDescent="0.25">
      <c r="A514" t="s">
        <v>115</v>
      </c>
      <c r="B514">
        <v>5128</v>
      </c>
      <c r="C514" s="3">
        <v>3194.84</v>
      </c>
      <c r="D514" s="4">
        <v>44467</v>
      </c>
      <c r="E514" t="str">
        <f>"30083B"</f>
        <v>30083B</v>
      </c>
      <c r="F514" t="str">
        <f>"INV 30083B"</f>
        <v>INV 30083B</v>
      </c>
      <c r="G514" s="3">
        <v>3194.84</v>
      </c>
      <c r="H514" t="str">
        <f>"INV 30083B"</f>
        <v>INV 30083B</v>
      </c>
    </row>
    <row r="515" spans="1:8" x14ac:dyDescent="0.25">
      <c r="A515" t="s">
        <v>116</v>
      </c>
      <c r="B515">
        <v>136898</v>
      </c>
      <c r="C515" s="3">
        <v>5550</v>
      </c>
      <c r="D515" s="4">
        <v>44452</v>
      </c>
      <c r="E515" t="str">
        <f>"2108042"</f>
        <v>2108042</v>
      </c>
      <c r="F515" t="str">
        <f>"INDIAN LAKE SPILLWAY/PCT#2"</f>
        <v>INDIAN LAKE SPILLWAY/PCT#2</v>
      </c>
      <c r="G515" s="3">
        <v>1950</v>
      </c>
      <c r="H515" t="str">
        <f>"CONTRACT#20-065-139/PCT#2"</f>
        <v>CONTRACT#20-065-139/PCT#2</v>
      </c>
    </row>
    <row r="516" spans="1:8" x14ac:dyDescent="0.25">
      <c r="E516" t="str">
        <f>"2108043"</f>
        <v>2108043</v>
      </c>
      <c r="F516" t="str">
        <f>"R336-003-02/SHILOH RD"</f>
        <v>R336-003-02/SHILOH RD</v>
      </c>
      <c r="G516" s="3">
        <v>3600</v>
      </c>
      <c r="H516" t="str">
        <f>"R336-003-02/SHILOH RD"</f>
        <v>R336-003-02/SHILOH RD</v>
      </c>
    </row>
    <row r="517" spans="1:8" x14ac:dyDescent="0.25">
      <c r="A517" t="s">
        <v>117</v>
      </c>
      <c r="B517">
        <v>136899</v>
      </c>
      <c r="C517" s="3">
        <v>300</v>
      </c>
      <c r="D517" s="4">
        <v>44452</v>
      </c>
      <c r="E517" t="str">
        <f>"202109065511"</f>
        <v>202109065511</v>
      </c>
      <c r="F517" t="str">
        <f>"INTERPRETING"</f>
        <v>INTERPRETING</v>
      </c>
      <c r="G517" s="3">
        <v>300</v>
      </c>
      <c r="H517" t="str">
        <f>"INTERPRETING"</f>
        <v>INTERPRETING</v>
      </c>
    </row>
    <row r="518" spans="1:8" x14ac:dyDescent="0.25">
      <c r="A518" t="s">
        <v>118</v>
      </c>
      <c r="B518">
        <v>5074</v>
      </c>
      <c r="C518" s="3">
        <v>4437.5</v>
      </c>
      <c r="D518" s="4">
        <v>44453</v>
      </c>
      <c r="E518" t="str">
        <f>"202108265327"</f>
        <v>202108265327</v>
      </c>
      <c r="F518" t="str">
        <f>"20-20060"</f>
        <v>20-20060</v>
      </c>
      <c r="G518" s="3">
        <v>337.5</v>
      </c>
      <c r="H518" t="str">
        <f>"20-20060"</f>
        <v>20-20060</v>
      </c>
    </row>
    <row r="519" spans="1:8" x14ac:dyDescent="0.25">
      <c r="E519" t="str">
        <f>"202108265341"</f>
        <v>202108265341</v>
      </c>
      <c r="F519" t="str">
        <f>"02-0725-6"</f>
        <v>02-0725-6</v>
      </c>
      <c r="G519" s="3">
        <v>250</v>
      </c>
      <c r="H519" t="str">
        <f>"02-0725-6"</f>
        <v>02-0725-6</v>
      </c>
    </row>
    <row r="520" spans="1:8" x14ac:dyDescent="0.25">
      <c r="E520" t="str">
        <f>"202108265358"</f>
        <v>202108265358</v>
      </c>
      <c r="F520" t="str">
        <f>"17376"</f>
        <v>17376</v>
      </c>
      <c r="G520" s="3">
        <v>400</v>
      </c>
      <c r="H520" t="str">
        <f>"17376"</f>
        <v>17376</v>
      </c>
    </row>
    <row r="521" spans="1:8" x14ac:dyDescent="0.25">
      <c r="E521" t="str">
        <f>"202108265359"</f>
        <v>202108265359</v>
      </c>
      <c r="F521" t="str">
        <f>"17387"</f>
        <v>17387</v>
      </c>
      <c r="G521" s="3">
        <v>800</v>
      </c>
      <c r="H521" t="str">
        <f>"17387"</f>
        <v>17387</v>
      </c>
    </row>
    <row r="522" spans="1:8" x14ac:dyDescent="0.25">
      <c r="E522" t="str">
        <f>"202108315391"</f>
        <v>202108315391</v>
      </c>
      <c r="F522" t="str">
        <f>"57850"</f>
        <v>57850</v>
      </c>
      <c r="G522" s="3">
        <v>250</v>
      </c>
      <c r="H522" t="str">
        <f>"57850"</f>
        <v>57850</v>
      </c>
    </row>
    <row r="523" spans="1:8" x14ac:dyDescent="0.25">
      <c r="E523" t="str">
        <f>"202108315392"</f>
        <v>202108315392</v>
      </c>
      <c r="F523" t="str">
        <f>"54961"</f>
        <v>54961</v>
      </c>
      <c r="G523" s="3">
        <v>500</v>
      </c>
      <c r="H523" t="str">
        <f>"54961"</f>
        <v>54961</v>
      </c>
    </row>
    <row r="524" spans="1:8" x14ac:dyDescent="0.25">
      <c r="E524" t="str">
        <f>"202108315405"</f>
        <v>202108315405</v>
      </c>
      <c r="F524" t="str">
        <f>"02-0810-13"</f>
        <v>02-0810-13</v>
      </c>
      <c r="G524" s="3">
        <v>250</v>
      </c>
      <c r="H524" t="str">
        <f>"02-0810-13"</f>
        <v>02-0810-13</v>
      </c>
    </row>
    <row r="525" spans="1:8" x14ac:dyDescent="0.25">
      <c r="E525" t="str">
        <f>"202109065510"</f>
        <v>202109065510</v>
      </c>
      <c r="F525" t="str">
        <f>"17262 / 17408"</f>
        <v>17262 / 17408</v>
      </c>
      <c r="G525" s="3">
        <v>1250</v>
      </c>
      <c r="H525" t="str">
        <f>"17262 / 17408"</f>
        <v>17262 / 17408</v>
      </c>
    </row>
    <row r="526" spans="1:8" x14ac:dyDescent="0.25">
      <c r="E526" t="str">
        <f>"202109075568"</f>
        <v>202109075568</v>
      </c>
      <c r="F526" t="str">
        <f>"21-20890"</f>
        <v>21-20890</v>
      </c>
      <c r="G526" s="3">
        <v>100</v>
      </c>
      <c r="H526" t="str">
        <f>"21-20890"</f>
        <v>21-20890</v>
      </c>
    </row>
    <row r="527" spans="1:8" x14ac:dyDescent="0.25">
      <c r="E527" t="str">
        <f>"202109075571"</f>
        <v>202109075571</v>
      </c>
      <c r="F527" t="str">
        <f>"423-8061"</f>
        <v>423-8061</v>
      </c>
      <c r="G527" s="3">
        <v>300</v>
      </c>
      <c r="H527" t="str">
        <f>"423-8061"</f>
        <v>423-8061</v>
      </c>
    </row>
    <row r="528" spans="1:8" x14ac:dyDescent="0.25">
      <c r="A528" t="s">
        <v>118</v>
      </c>
      <c r="B528">
        <v>5164</v>
      </c>
      <c r="C528" s="3">
        <v>814</v>
      </c>
      <c r="D528" s="4">
        <v>44467</v>
      </c>
      <c r="E528" t="str">
        <f>"202109155695"</f>
        <v>202109155695</v>
      </c>
      <c r="F528" t="str">
        <f>"17462"</f>
        <v>17462</v>
      </c>
      <c r="G528" s="3">
        <v>600</v>
      </c>
      <c r="H528" t="str">
        <f>"17462"</f>
        <v>17462</v>
      </c>
    </row>
    <row r="529" spans="1:8" x14ac:dyDescent="0.25">
      <c r="E529" t="str">
        <f>"202109175771"</f>
        <v>202109175771</v>
      </c>
      <c r="F529" t="str">
        <f>"20-20216"</f>
        <v>20-20216</v>
      </c>
      <c r="G529" s="3">
        <v>214</v>
      </c>
      <c r="H529" t="str">
        <f>"20-20216"</f>
        <v>20-20216</v>
      </c>
    </row>
    <row r="530" spans="1:8" x14ac:dyDescent="0.25">
      <c r="A530" t="s">
        <v>119</v>
      </c>
      <c r="B530">
        <v>137079</v>
      </c>
      <c r="C530" s="3">
        <v>3250</v>
      </c>
      <c r="D530" s="4">
        <v>44466</v>
      </c>
      <c r="E530" t="str">
        <f>"033"</f>
        <v>033</v>
      </c>
      <c r="F530" t="str">
        <f>"HAULLING/PCT#3"</f>
        <v>HAULLING/PCT#3</v>
      </c>
      <c r="G530" s="3">
        <v>3250</v>
      </c>
      <c r="H530" t="str">
        <f>"HAULLING/PCT#3"</f>
        <v>HAULLING/PCT#3</v>
      </c>
    </row>
    <row r="531" spans="1:8" x14ac:dyDescent="0.25">
      <c r="A531" t="s">
        <v>120</v>
      </c>
      <c r="B531">
        <v>5127</v>
      </c>
      <c r="C531" s="3">
        <v>6075</v>
      </c>
      <c r="D531" s="4">
        <v>44467</v>
      </c>
      <c r="E531" t="str">
        <f>"INV-21246"</f>
        <v>INV-21246</v>
      </c>
      <c r="F531" t="str">
        <f>"EASY CAMPAIGN FINANCE/ELECTION"</f>
        <v>EASY CAMPAIGN FINANCE/ELECTION</v>
      </c>
      <c r="G531" s="3">
        <v>6075</v>
      </c>
      <c r="H531" t="str">
        <f>"EASY CAMPAIGN FINANCE/ELECTION"</f>
        <v>EASY CAMPAIGN FINANCE/ELECTION</v>
      </c>
    </row>
    <row r="532" spans="1:8" x14ac:dyDescent="0.25">
      <c r="A532" t="s">
        <v>121</v>
      </c>
      <c r="B532">
        <v>5144</v>
      </c>
      <c r="C532" s="3">
        <v>2080</v>
      </c>
      <c r="D532" s="4">
        <v>44467</v>
      </c>
      <c r="E532" t="str">
        <f>"6263511875"</f>
        <v>6263511875</v>
      </c>
      <c r="F532" t="str">
        <f>"INV 6263511875"</f>
        <v>INV 6263511875</v>
      </c>
      <c r="G532" s="3">
        <v>2080</v>
      </c>
      <c r="H532" t="str">
        <f>"INV 6263511875"</f>
        <v>INV 6263511875</v>
      </c>
    </row>
    <row r="533" spans="1:8" x14ac:dyDescent="0.25">
      <c r="A533" t="s">
        <v>122</v>
      </c>
      <c r="B533">
        <v>136900</v>
      </c>
      <c r="C533" s="3">
        <v>54.09</v>
      </c>
      <c r="D533" s="4">
        <v>44452</v>
      </c>
      <c r="E533" t="str">
        <f>"202108245301"</f>
        <v>202108245301</v>
      </c>
      <c r="F533" t="str">
        <f>"REIMBURSE/EDDIE THOMAS"</f>
        <v>REIMBURSE/EDDIE THOMAS</v>
      </c>
      <c r="G533" s="3">
        <v>54.09</v>
      </c>
      <c r="H533" t="str">
        <f>"REIMBURSE/EDDIE THOMAS"</f>
        <v>REIMBURSE/EDDIE THOMAS</v>
      </c>
    </row>
    <row r="534" spans="1:8" x14ac:dyDescent="0.25">
      <c r="A534" t="s">
        <v>123</v>
      </c>
      <c r="B534">
        <v>137080</v>
      </c>
      <c r="C534" s="3">
        <v>174</v>
      </c>
      <c r="D534" s="4">
        <v>44466</v>
      </c>
      <c r="E534" t="str">
        <f>"2518"</f>
        <v>2518</v>
      </c>
      <c r="F534" t="str">
        <f>"INV 2518"</f>
        <v>INV 2518</v>
      </c>
      <c r="G534" s="3">
        <v>174</v>
      </c>
      <c r="H534" t="str">
        <f>"INV 2518"</f>
        <v>INV 2518</v>
      </c>
    </row>
    <row r="535" spans="1:8" x14ac:dyDescent="0.25">
      <c r="A535" t="s">
        <v>124</v>
      </c>
      <c r="B535">
        <v>136901</v>
      </c>
      <c r="C535" s="3">
        <v>353.11</v>
      </c>
      <c r="D535" s="4">
        <v>44452</v>
      </c>
      <c r="E535" t="str">
        <f>"6000575117"</f>
        <v>6000575117</v>
      </c>
      <c r="F535" t="str">
        <f>"ACCT#3422853/SHELTER"</f>
        <v>ACCT#3422853/SHELTER</v>
      </c>
      <c r="G535" s="3">
        <v>353.11</v>
      </c>
      <c r="H535" t="str">
        <f>"ACCT#3422853/SHELTER"</f>
        <v>ACCT#3422853/SHELTER</v>
      </c>
    </row>
    <row r="536" spans="1:8" x14ac:dyDescent="0.25">
      <c r="A536" t="s">
        <v>125</v>
      </c>
      <c r="B536">
        <v>136902</v>
      </c>
      <c r="C536" s="3">
        <v>223.93</v>
      </c>
      <c r="D536" s="4">
        <v>44452</v>
      </c>
      <c r="E536" t="str">
        <f>"CD2006696"</f>
        <v>CD2006696</v>
      </c>
      <c r="F536" t="str">
        <f>"CUST#30344/ELECTIONS"</f>
        <v>CUST#30344/ELECTIONS</v>
      </c>
      <c r="G536" s="3">
        <v>223.93</v>
      </c>
      <c r="H536" t="str">
        <f>"CUST#30344/ELECTIONS"</f>
        <v>CUST#30344/ELECTIONS</v>
      </c>
    </row>
    <row r="537" spans="1:8" x14ac:dyDescent="0.25">
      <c r="A537" t="s">
        <v>125</v>
      </c>
      <c r="B537">
        <v>137081</v>
      </c>
      <c r="C537" s="3">
        <v>5422.16</v>
      </c>
      <c r="D537" s="4">
        <v>44466</v>
      </c>
      <c r="E537" t="str">
        <f>"CD2007284"</f>
        <v>CD2007284</v>
      </c>
      <c r="F537" t="str">
        <f>"CUST#30344"</f>
        <v>CUST#30344</v>
      </c>
      <c r="G537" s="3">
        <v>2655.8</v>
      </c>
      <c r="H537" t="str">
        <f>"CUST#30344"</f>
        <v>CUST#30344</v>
      </c>
    </row>
    <row r="538" spans="1:8" x14ac:dyDescent="0.25">
      <c r="E538" t="str">
        <f>"CD2007292"</f>
        <v>CD2007292</v>
      </c>
      <c r="F538" t="str">
        <f>"CUST#30344"</f>
        <v>CUST#30344</v>
      </c>
      <c r="G538" s="3">
        <v>308.8</v>
      </c>
      <c r="H538" t="str">
        <f>"CUST#30344"</f>
        <v>CUST#30344</v>
      </c>
    </row>
    <row r="539" spans="1:8" x14ac:dyDescent="0.25">
      <c r="E539" t="str">
        <f>"CD2007671"</f>
        <v>CD2007671</v>
      </c>
      <c r="F539" t="str">
        <f>"CUST#30344/ELECTIONS"</f>
        <v>CUST#30344/ELECTIONS</v>
      </c>
      <c r="G539" s="3">
        <v>2457.56</v>
      </c>
      <c r="H539" t="str">
        <f>"CUST#30344/ELECTIONS"</f>
        <v>CUST#30344/ELECTIONS</v>
      </c>
    </row>
    <row r="540" spans="1:8" x14ac:dyDescent="0.25">
      <c r="A540" t="s">
        <v>126</v>
      </c>
      <c r="B540">
        <v>137082</v>
      </c>
      <c r="C540" s="3">
        <v>3828.96</v>
      </c>
      <c r="D540" s="4">
        <v>44466</v>
      </c>
      <c r="E540" t="str">
        <f>"202109215865"</f>
        <v>202109215865</v>
      </c>
      <c r="F540" t="str">
        <f>"Flags"</f>
        <v>Flags</v>
      </c>
      <c r="G540" s="3">
        <v>3550</v>
      </c>
      <c r="H540" t="str">
        <f>"Flags"</f>
        <v>Flags</v>
      </c>
    </row>
    <row r="541" spans="1:8" x14ac:dyDescent="0.25">
      <c r="E541" t="str">
        <f>""</f>
        <v/>
      </c>
      <c r="F541" t="str">
        <f>""</f>
        <v/>
      </c>
      <c r="G541" s="3">
        <v>278.95999999999998</v>
      </c>
      <c r="H541" t="str">
        <f>"Shipping"</f>
        <v>Shipping</v>
      </c>
    </row>
    <row r="542" spans="1:8" x14ac:dyDescent="0.25">
      <c r="A542" t="s">
        <v>127</v>
      </c>
      <c r="B542">
        <v>136903</v>
      </c>
      <c r="C542" s="3">
        <v>56.97</v>
      </c>
      <c r="D542" s="4">
        <v>44452</v>
      </c>
      <c r="E542" t="str">
        <f>"202108265376"</f>
        <v>202108265376</v>
      </c>
      <c r="F542" t="str">
        <f>"CUST#10000937/PCT#4"</f>
        <v>CUST#10000937/PCT#4</v>
      </c>
      <c r="G542" s="3">
        <v>56.97</v>
      </c>
      <c r="H542" t="str">
        <f>"CUST#10000937/PCT#4"</f>
        <v>CUST#10000937/PCT#4</v>
      </c>
    </row>
    <row r="543" spans="1:8" x14ac:dyDescent="0.25">
      <c r="A543" t="s">
        <v>128</v>
      </c>
      <c r="B543">
        <v>137083</v>
      </c>
      <c r="C543" s="3">
        <v>30</v>
      </c>
      <c r="D543" s="4">
        <v>44466</v>
      </c>
      <c r="E543" t="str">
        <f>"202109175735"</f>
        <v>202109175735</v>
      </c>
      <c r="F543" t="str">
        <f>"RESTITUTION/STEVEN MENDEZ"</f>
        <v>RESTITUTION/STEVEN MENDEZ</v>
      </c>
      <c r="G543" s="3">
        <v>30</v>
      </c>
      <c r="H543" t="str">
        <f>"RESTITUTION/STEVEN MENDEZ"</f>
        <v>RESTITUTION/STEVEN MENDEZ</v>
      </c>
    </row>
    <row r="544" spans="1:8" x14ac:dyDescent="0.25">
      <c r="A544" t="s">
        <v>129</v>
      </c>
      <c r="B544">
        <v>136839</v>
      </c>
      <c r="C544" s="3">
        <v>1217.83</v>
      </c>
      <c r="D544" s="4">
        <v>44441</v>
      </c>
      <c r="E544" t="str">
        <f>"202109025491"</f>
        <v>202109025491</v>
      </c>
      <c r="F544" t="str">
        <f>"ACCT#007-0008410-002/08312021"</f>
        <v>ACCT#007-0008410-002/08312021</v>
      </c>
      <c r="G544" s="3">
        <v>230.79</v>
      </c>
      <c r="H544" t="str">
        <f>"CITY OF ELGIN UTILITIES"</f>
        <v>CITY OF ELGIN UTILITIES</v>
      </c>
    </row>
    <row r="545" spans="1:8" x14ac:dyDescent="0.25">
      <c r="E545" t="str">
        <f>"202109025492"</f>
        <v>202109025492</v>
      </c>
      <c r="F545" t="str">
        <f>"ACCT#007-001501-000/08312021"</f>
        <v>ACCT#007-001501-000/08312021</v>
      </c>
      <c r="G545" s="3">
        <v>36.58</v>
      </c>
      <c r="H545" t="str">
        <f>"CITY OF ELGIN UTILITIES"</f>
        <v>CITY OF ELGIN UTILITIES</v>
      </c>
    </row>
    <row r="546" spans="1:8" x14ac:dyDescent="0.25">
      <c r="E546" t="str">
        <f>"202109025493"</f>
        <v>202109025493</v>
      </c>
      <c r="F546" t="str">
        <f>"ACCT#007-0011510-000/08312021"</f>
        <v>ACCT#007-0011510-000/08312021</v>
      </c>
      <c r="G546" s="3">
        <v>245.49</v>
      </c>
      <c r="H546" t="str">
        <f>"CITY OF ELGIN UTILITIES"</f>
        <v>CITY OF ELGIN UTILITIES</v>
      </c>
    </row>
    <row r="547" spans="1:8" x14ac:dyDescent="0.25">
      <c r="E547" t="str">
        <f>"202109025494"</f>
        <v>202109025494</v>
      </c>
      <c r="F547" t="str">
        <f>"ACCT#007-0011530-000/08312021"</f>
        <v>ACCT#007-0011530-000/08312021</v>
      </c>
      <c r="G547" s="3">
        <v>99.65</v>
      </c>
      <c r="H547" t="str">
        <f>"CITY OF ELGIN UTILITIES"</f>
        <v>CITY OF ELGIN UTILITIES</v>
      </c>
    </row>
    <row r="548" spans="1:8" x14ac:dyDescent="0.25">
      <c r="E548" t="str">
        <f>"202109025495"</f>
        <v>202109025495</v>
      </c>
      <c r="F548" t="str">
        <f>"ACCT#007-001534-001/08312021"</f>
        <v>ACCT#007-001534-001/08312021</v>
      </c>
      <c r="G548" s="3">
        <v>172.7</v>
      </c>
      <c r="H548" t="str">
        <f>"ACCT#007-001534-001/08312021"</f>
        <v>ACCT#007-001534-001/08312021</v>
      </c>
    </row>
    <row r="549" spans="1:8" x14ac:dyDescent="0.25">
      <c r="E549" t="str">
        <f>"202109025496"</f>
        <v>202109025496</v>
      </c>
      <c r="F549" t="str">
        <f>"ACCT#007-0011535-000/08312021"</f>
        <v>ACCT#007-0011535-000/08312021</v>
      </c>
      <c r="G549" s="3">
        <v>297.83</v>
      </c>
      <c r="H549" t="str">
        <f>"ACCT#007-0011535-000/08312021"</f>
        <v>ACCT#007-0011535-000/08312021</v>
      </c>
    </row>
    <row r="550" spans="1:8" x14ac:dyDescent="0.25">
      <c r="E550" t="str">
        <f>"202109025497"</f>
        <v>202109025497</v>
      </c>
      <c r="F550" t="str">
        <f>"ACCT#007-0011544-001/08312021"</f>
        <v>ACCT#007-0011544-001/08312021</v>
      </c>
      <c r="G550" s="3">
        <v>134.79</v>
      </c>
      <c r="H550" t="str">
        <f>"CITY OF ELGIN UTILITIES"</f>
        <v>CITY OF ELGIN UTILITIES</v>
      </c>
    </row>
    <row r="551" spans="1:8" x14ac:dyDescent="0.25">
      <c r="A551" t="s">
        <v>130</v>
      </c>
      <c r="B551">
        <v>136904</v>
      </c>
      <c r="C551" s="3">
        <v>4105.5</v>
      </c>
      <c r="D551" s="4">
        <v>44452</v>
      </c>
      <c r="E551" t="str">
        <f>"9402539312"</f>
        <v>9402539312</v>
      </c>
      <c r="F551" t="str">
        <f>"ACCT#912897/CREDIT"</f>
        <v>ACCT#912897/CREDIT</v>
      </c>
      <c r="G551" s="3">
        <v>-14883.96</v>
      </c>
      <c r="H551" t="str">
        <f>"ACCT#912897/CREDIT"</f>
        <v>ACCT#912897/CREDIT</v>
      </c>
    </row>
    <row r="552" spans="1:8" x14ac:dyDescent="0.25">
      <c r="E552" t="str">
        <f>"9402537905"</f>
        <v>9402537905</v>
      </c>
      <c r="F552" t="str">
        <f>"ACCT#912922/PCT#1"</f>
        <v>ACCT#912922/PCT#1</v>
      </c>
      <c r="G552" s="3">
        <v>4105.5</v>
      </c>
      <c r="H552" t="str">
        <f>"ACCT#912922/PCT#1"</f>
        <v>ACCT#912922/PCT#1</v>
      </c>
    </row>
    <row r="553" spans="1:8" x14ac:dyDescent="0.25">
      <c r="E553" t="str">
        <f>"9402540014"</f>
        <v>9402540014</v>
      </c>
      <c r="F553" t="str">
        <f>"ACCT#912897/PCT#3"</f>
        <v>ACCT#912897/PCT#3</v>
      </c>
      <c r="G553" s="3">
        <v>14883.96</v>
      </c>
      <c r="H553" t="str">
        <f>"ACCT#912897/PCT#3"</f>
        <v>ACCT#912897/PCT#3</v>
      </c>
    </row>
    <row r="554" spans="1:8" x14ac:dyDescent="0.25">
      <c r="A554" t="s">
        <v>131</v>
      </c>
      <c r="B554">
        <v>5156</v>
      </c>
      <c r="C554" s="3">
        <v>640.70000000000005</v>
      </c>
      <c r="D554" s="4">
        <v>44467</v>
      </c>
      <c r="E554" t="str">
        <f>"3435099"</f>
        <v>3435099</v>
      </c>
      <c r="F554" t="str">
        <f>"ACCT#00405/PCT#2"</f>
        <v>ACCT#00405/PCT#2</v>
      </c>
      <c r="G554" s="3">
        <v>640.70000000000005</v>
      </c>
      <c r="H554" t="str">
        <f>"ACCT#00405/PCT#2"</f>
        <v>ACCT#00405/PCT#2</v>
      </c>
    </row>
    <row r="555" spans="1:8" x14ac:dyDescent="0.25">
      <c r="A555" t="s">
        <v>132</v>
      </c>
      <c r="B555">
        <v>137084</v>
      </c>
      <c r="C555" s="3">
        <v>149.5</v>
      </c>
      <c r="D555" s="4">
        <v>44466</v>
      </c>
      <c r="E555" t="str">
        <f>"202109215886"</f>
        <v>202109215886</v>
      </c>
      <c r="F555" t="str">
        <f>"VISITING JUDGE MILEAGE"</f>
        <v>VISITING JUDGE MILEAGE</v>
      </c>
      <c r="G555" s="3">
        <v>149.5</v>
      </c>
      <c r="H555" t="str">
        <f>"VISITING JUDGE MILEAGE"</f>
        <v>VISITING JUDGE MILEAGE</v>
      </c>
    </row>
    <row r="556" spans="1:8" x14ac:dyDescent="0.25">
      <c r="A556" t="s">
        <v>133</v>
      </c>
      <c r="B556">
        <v>5048</v>
      </c>
      <c r="C556" s="3">
        <v>8882.26</v>
      </c>
      <c r="D556" s="4">
        <v>44453</v>
      </c>
      <c r="E556" t="str">
        <f>"202108245302"</f>
        <v>202108245302</v>
      </c>
      <c r="F556" t="str">
        <f>"FAMILY CRISIS CENTER/JUNE 21"</f>
        <v>FAMILY CRISIS CENTER/JUNE 21</v>
      </c>
      <c r="G556" s="3">
        <v>8882.26</v>
      </c>
      <c r="H556" t="str">
        <f>"FAMILY CRISIS CENTER/JUNE 21"</f>
        <v>FAMILY CRISIS CENTER/JUNE 21</v>
      </c>
    </row>
    <row r="557" spans="1:8" x14ac:dyDescent="0.25">
      <c r="A557" t="s">
        <v>133</v>
      </c>
      <c r="B557">
        <v>5145</v>
      </c>
      <c r="C557" s="3">
        <v>12722.69</v>
      </c>
      <c r="D557" s="4">
        <v>44467</v>
      </c>
      <c r="E557" t="str">
        <f>"202109215893"</f>
        <v>202109215893</v>
      </c>
      <c r="F557" t="str">
        <f>"GRANT REIMBURSEMENT"</f>
        <v>GRANT REIMBURSEMENT</v>
      </c>
      <c r="G557" s="3">
        <v>12722.69</v>
      </c>
      <c r="H557" t="str">
        <f>"GRANT REIMBURSEMENT"</f>
        <v>GRANT REIMBURSEMENT</v>
      </c>
    </row>
    <row r="558" spans="1:8" x14ac:dyDescent="0.25">
      <c r="A558" t="s">
        <v>134</v>
      </c>
      <c r="B558">
        <v>137085</v>
      </c>
      <c r="C558" s="3">
        <v>42.96</v>
      </c>
      <c r="D558" s="4">
        <v>44466</v>
      </c>
      <c r="E558" t="str">
        <f>"7-480-94098"</f>
        <v>7-480-94098</v>
      </c>
      <c r="F558" t="str">
        <f>"ACCT#1230-5243-9/ELECTIONS"</f>
        <v>ACCT#1230-5243-9/ELECTIONS</v>
      </c>
      <c r="G558" s="3">
        <v>42.96</v>
      </c>
      <c r="H558" t="str">
        <f>"ACCT#1230-5243-9/ELECTIONS"</f>
        <v>ACCT#1230-5243-9/ELECTIONS</v>
      </c>
    </row>
    <row r="559" spans="1:8" x14ac:dyDescent="0.25">
      <c r="A559" t="s">
        <v>135</v>
      </c>
      <c r="B559">
        <v>136905</v>
      </c>
      <c r="C559" s="3">
        <v>26.56</v>
      </c>
      <c r="D559" s="4">
        <v>44452</v>
      </c>
      <c r="E559" t="str">
        <f>"7-488-38617"</f>
        <v>7-488-38617</v>
      </c>
      <c r="F559" t="str">
        <f>"INV 7-488-38617"</f>
        <v>INV 7-488-38617</v>
      </c>
      <c r="G559" s="3">
        <v>26.56</v>
      </c>
      <c r="H559" t="str">
        <f>"INV 7-488-38617"</f>
        <v>INV 7-488-38617</v>
      </c>
    </row>
    <row r="560" spans="1:8" x14ac:dyDescent="0.25">
      <c r="A560" t="s">
        <v>136</v>
      </c>
      <c r="B560">
        <v>137086</v>
      </c>
      <c r="C560" s="3">
        <v>15</v>
      </c>
      <c r="D560" s="4">
        <v>44466</v>
      </c>
      <c r="E560" t="str">
        <f>"202109175733"</f>
        <v>202109175733</v>
      </c>
      <c r="F560" t="str">
        <f>"RESTITUTION/RAMON SALINAS"</f>
        <v>RESTITUTION/RAMON SALINAS</v>
      </c>
      <c r="G560" s="3">
        <v>15</v>
      </c>
      <c r="H560" t="str">
        <f>"RESTITUTION/RAMON SALINAS"</f>
        <v>RESTITUTION/RAMON SALINAS</v>
      </c>
    </row>
    <row r="561" spans="1:8" x14ac:dyDescent="0.25">
      <c r="A561" t="s">
        <v>137</v>
      </c>
      <c r="B561">
        <v>136906</v>
      </c>
      <c r="C561" s="3">
        <v>151.26</v>
      </c>
      <c r="D561" s="4">
        <v>44452</v>
      </c>
      <c r="E561" t="str">
        <f>"80652040"</f>
        <v>80652040</v>
      </c>
      <c r="F561" t="str">
        <f>"ACCT#80975-001/PCT#3"</f>
        <v>ACCT#80975-001/PCT#3</v>
      </c>
      <c r="G561" s="3">
        <v>62.04</v>
      </c>
      <c r="H561" t="str">
        <f>"ACCT#80975-001/PCT#3"</f>
        <v>ACCT#80975-001/PCT#3</v>
      </c>
    </row>
    <row r="562" spans="1:8" x14ac:dyDescent="0.25">
      <c r="E562" t="str">
        <f>"80653034"</f>
        <v>80653034</v>
      </c>
      <c r="F562" t="str">
        <f>"ACCT#80975-001/PCT#3"</f>
        <v>ACCT#80975-001/PCT#3</v>
      </c>
      <c r="G562" s="3">
        <v>50.04</v>
      </c>
      <c r="H562" t="str">
        <f>"ACCT#80975-001/PCT#3"</f>
        <v>ACCT#80975-001/PCT#3</v>
      </c>
    </row>
    <row r="563" spans="1:8" x14ac:dyDescent="0.25">
      <c r="E563" t="str">
        <f>"80983101"</f>
        <v>80983101</v>
      </c>
      <c r="F563" t="str">
        <f>"ACCT#80975-001/PCT#3"</f>
        <v>ACCT#80975-001/PCT#3</v>
      </c>
      <c r="G563" s="3">
        <v>39.18</v>
      </c>
      <c r="H563" t="str">
        <f>"ACCT#80975-001/PCT#3"</f>
        <v>ACCT#80975-001/PCT#3</v>
      </c>
    </row>
    <row r="564" spans="1:8" x14ac:dyDescent="0.25">
      <c r="A564" t="s">
        <v>137</v>
      </c>
      <c r="B564">
        <v>137087</v>
      </c>
      <c r="C564" s="3">
        <v>148.96</v>
      </c>
      <c r="D564" s="4">
        <v>44466</v>
      </c>
      <c r="E564" t="str">
        <f>"81487364"</f>
        <v>81487364</v>
      </c>
      <c r="F564" t="str">
        <f>"ACCT#80975-001/PCT#3"</f>
        <v>ACCT#80975-001/PCT#3</v>
      </c>
      <c r="G564" s="3">
        <v>43.16</v>
      </c>
      <c r="H564" t="str">
        <f>"ACCT#80975-001/PCT#3"</f>
        <v>ACCT#80975-001/PCT#3</v>
      </c>
    </row>
    <row r="565" spans="1:8" x14ac:dyDescent="0.25">
      <c r="E565" t="str">
        <f>"81488523"</f>
        <v>81488523</v>
      </c>
      <c r="F565" t="str">
        <f>"ACCT#80975-001/PCT# 3"</f>
        <v>ACCT#80975-001/PCT# 3</v>
      </c>
      <c r="G565" s="3">
        <v>86.32</v>
      </c>
      <c r="H565" t="str">
        <f>"ACCT#80975-001/PCT# 3"</f>
        <v>ACCT#80975-001/PCT# 3</v>
      </c>
    </row>
    <row r="566" spans="1:8" x14ac:dyDescent="0.25">
      <c r="E566" t="str">
        <f>"82008853"</f>
        <v>82008853</v>
      </c>
      <c r="F566" t="str">
        <f>"ACCT#80975-001/PCT#3"</f>
        <v>ACCT#80975-001/PCT#3</v>
      </c>
      <c r="G566" s="3">
        <v>19.48</v>
      </c>
      <c r="H566" t="str">
        <f>"ACCT#80975-001/PCT#3"</f>
        <v>ACCT#80975-001/PCT#3</v>
      </c>
    </row>
    <row r="567" spans="1:8" x14ac:dyDescent="0.25">
      <c r="A567" t="s">
        <v>138</v>
      </c>
      <c r="B567">
        <v>136907</v>
      </c>
      <c r="C567" s="3">
        <v>645</v>
      </c>
      <c r="D567" s="4">
        <v>44452</v>
      </c>
      <c r="E567" t="str">
        <f>"202109085626"</f>
        <v>202109085626</v>
      </c>
      <c r="F567" t="str">
        <f>"ACCT#FM12291/ANIMAL SHELTER"</f>
        <v>ACCT#FM12291/ANIMAL SHELTER</v>
      </c>
      <c r="G567" s="3">
        <v>645</v>
      </c>
      <c r="H567" t="str">
        <f>"ACCT#FM12291/ANIMAL SHELTER"</f>
        <v>ACCT#FM12291/ANIMAL SHELTER</v>
      </c>
    </row>
    <row r="568" spans="1:8" x14ac:dyDescent="0.25">
      <c r="A568" t="s">
        <v>139</v>
      </c>
      <c r="B568">
        <v>137088</v>
      </c>
      <c r="C568" s="3">
        <v>200</v>
      </c>
      <c r="D568" s="4">
        <v>44466</v>
      </c>
      <c r="E568" t="str">
        <f>"202109215878"</f>
        <v>202109215878</v>
      </c>
      <c r="F568" t="str">
        <f>"TRAINING"</f>
        <v>TRAINING</v>
      </c>
      <c r="G568" s="3">
        <v>200</v>
      </c>
      <c r="H568" t="str">
        <f>"TRAINING"</f>
        <v>TRAINING</v>
      </c>
    </row>
    <row r="569" spans="1:8" x14ac:dyDescent="0.25">
      <c r="A569" t="s">
        <v>140</v>
      </c>
      <c r="B569">
        <v>5049</v>
      </c>
      <c r="C569" s="3">
        <v>1650</v>
      </c>
      <c r="D569" s="4">
        <v>44453</v>
      </c>
      <c r="E569" t="str">
        <f>"202108265332"</f>
        <v>202108265332</v>
      </c>
      <c r="F569" t="str">
        <f>"16-641"</f>
        <v>16-641</v>
      </c>
      <c r="G569" s="3">
        <v>600</v>
      </c>
      <c r="H569" t="str">
        <f>"16-641"</f>
        <v>16-641</v>
      </c>
    </row>
    <row r="570" spans="1:8" x14ac:dyDescent="0.25">
      <c r="E570" t="str">
        <f>"202108265333"</f>
        <v>202108265333</v>
      </c>
      <c r="F570" t="str">
        <f>"16117 16832"</f>
        <v>16117 16832</v>
      </c>
      <c r="G570" s="3">
        <v>800</v>
      </c>
      <c r="H570" t="str">
        <f>"16117 16832"</f>
        <v>16117 16832</v>
      </c>
    </row>
    <row r="571" spans="1:8" x14ac:dyDescent="0.25">
      <c r="E571" t="str">
        <f>"202108265367"</f>
        <v>202108265367</v>
      </c>
      <c r="F571" t="str">
        <f>"21-20862"</f>
        <v>21-20862</v>
      </c>
      <c r="G571" s="3">
        <v>250</v>
      </c>
      <c r="H571" t="str">
        <f>"21-20862"</f>
        <v>21-20862</v>
      </c>
    </row>
    <row r="572" spans="1:8" x14ac:dyDescent="0.25">
      <c r="A572" t="s">
        <v>141</v>
      </c>
      <c r="B572">
        <v>5133</v>
      </c>
      <c r="C572" s="3">
        <v>1086.77</v>
      </c>
      <c r="D572" s="4">
        <v>44467</v>
      </c>
      <c r="E572" t="str">
        <f>"202109205789"</f>
        <v>202109205789</v>
      </c>
      <c r="F572" t="str">
        <f>"REIMBURSE/FRANCES HUNTER"</f>
        <v>REIMBURSE/FRANCES HUNTER</v>
      </c>
      <c r="G572" s="3">
        <v>24.05</v>
      </c>
      <c r="H572" t="str">
        <f>"REIMBURSE/FRANCES HUNTER"</f>
        <v>REIMBURSE/FRANCES HUNTER</v>
      </c>
    </row>
    <row r="573" spans="1:8" x14ac:dyDescent="0.25">
      <c r="E573" t="str">
        <f>"202109205790"</f>
        <v>202109205790</v>
      </c>
      <c r="F573" t="str">
        <f>"REIMBURSE/FRANCES HUNTER"</f>
        <v>REIMBURSE/FRANCES HUNTER</v>
      </c>
      <c r="G573" s="3">
        <v>171.76</v>
      </c>
      <c r="H573" t="str">
        <f>"REIMBURSE/FRANCES HUNTER"</f>
        <v>REIMBURSE/FRANCES HUNTER</v>
      </c>
    </row>
    <row r="574" spans="1:8" x14ac:dyDescent="0.25">
      <c r="E574" t="str">
        <f>"202109205815"</f>
        <v>202109205815</v>
      </c>
      <c r="F574" t="str">
        <f>"TRAVEL ADVANCE/FRANCES HUNTER"</f>
        <v>TRAVEL ADVANCE/FRANCES HUNTER</v>
      </c>
      <c r="G574" s="3">
        <v>180</v>
      </c>
      <c r="H574" t="str">
        <f>"TRAVEL ADVANCE/FRANCES HUNTER"</f>
        <v>TRAVEL ADVANCE/FRANCES HUNTER</v>
      </c>
    </row>
    <row r="575" spans="1:8" x14ac:dyDescent="0.25">
      <c r="E575" t="str">
        <f>"202109205816"</f>
        <v>202109205816</v>
      </c>
      <c r="F575" t="str">
        <f>"TRAVEL ADVANCE/FRANCES HUNTER"</f>
        <v>TRAVEL ADVANCE/FRANCES HUNTER</v>
      </c>
      <c r="G575" s="3">
        <v>150</v>
      </c>
      <c r="H575" t="str">
        <f>"TRAVEL ADVANCE/FRANCES HUNTER"</f>
        <v>TRAVEL ADVANCE/FRANCES HUNTER</v>
      </c>
    </row>
    <row r="576" spans="1:8" x14ac:dyDescent="0.25">
      <c r="E576" t="str">
        <f>"202109205819"</f>
        <v>202109205819</v>
      </c>
      <c r="F576" t="str">
        <f>"REIMBURSE/FRANCES HUNTER"</f>
        <v>REIMBURSE/FRANCES HUNTER</v>
      </c>
      <c r="G576" s="3">
        <v>82.72</v>
      </c>
      <c r="H576" t="str">
        <f>"REIMBURSE/FRANCES HUNTER"</f>
        <v>REIMBURSE/FRANCES HUNTER</v>
      </c>
    </row>
    <row r="577" spans="1:8" x14ac:dyDescent="0.25">
      <c r="E577" t="str">
        <f>"202109205820"</f>
        <v>202109205820</v>
      </c>
      <c r="F577" t="str">
        <f>"MILEAGE/FRANCES HUNTER"</f>
        <v>MILEAGE/FRANCES HUNTER</v>
      </c>
      <c r="G577" s="3">
        <v>212.24</v>
      </c>
      <c r="H577" t="str">
        <f>"MILEAGE/FRANCES HUNTER"</f>
        <v>MILEAGE/FRANCES HUNTER</v>
      </c>
    </row>
    <row r="578" spans="1:8" x14ac:dyDescent="0.25">
      <c r="E578" t="str">
        <f>"202109205821"</f>
        <v>202109205821</v>
      </c>
      <c r="F578" t="str">
        <f>"MILEAGE/FRANCES HUNTER"</f>
        <v>MILEAGE/FRANCES HUNTER</v>
      </c>
      <c r="G578" s="3">
        <v>104.16</v>
      </c>
      <c r="H578" t="str">
        <f>"MILEAGE/FRANCES HUNTER"</f>
        <v>MILEAGE/FRANCES HUNTER</v>
      </c>
    </row>
    <row r="579" spans="1:8" x14ac:dyDescent="0.25">
      <c r="E579" t="str">
        <f>"202109205822"</f>
        <v>202109205822</v>
      </c>
      <c r="F579" t="str">
        <f>"MILEAGE/FRANCES HUNTER"</f>
        <v>MILEAGE/FRANCES HUNTER</v>
      </c>
      <c r="G579" s="3">
        <v>161.84</v>
      </c>
      <c r="H579" t="str">
        <f>"MILEAGE/FRANCES HUNTER"</f>
        <v>MILEAGE/FRANCES HUNTER</v>
      </c>
    </row>
    <row r="580" spans="1:8" x14ac:dyDescent="0.25">
      <c r="A580" t="s">
        <v>142</v>
      </c>
      <c r="B580">
        <v>5045</v>
      </c>
      <c r="C580" s="3">
        <v>375.68</v>
      </c>
      <c r="D580" s="4">
        <v>44453</v>
      </c>
      <c r="E580" t="str">
        <f>"74174AP"</f>
        <v>74174AP</v>
      </c>
      <c r="F580" t="str">
        <f>"ACCT#3325/PCT#2"</f>
        <v>ACCT#3325/PCT#2</v>
      </c>
      <c r="G580" s="3">
        <v>56.56</v>
      </c>
      <c r="H580" t="str">
        <f>"ACCT#3325/PCT#2"</f>
        <v>ACCT#3325/PCT#2</v>
      </c>
    </row>
    <row r="581" spans="1:8" x14ac:dyDescent="0.25">
      <c r="E581" t="str">
        <f>"74706AP"</f>
        <v>74706AP</v>
      </c>
      <c r="F581" t="str">
        <f>"ACCT#3324/PCT#3"</f>
        <v>ACCT#3324/PCT#3</v>
      </c>
      <c r="G581" s="3">
        <v>117.2</v>
      </c>
      <c r="H581" t="str">
        <f>"ACCT#3324/PCT#3"</f>
        <v>ACCT#3324/PCT#3</v>
      </c>
    </row>
    <row r="582" spans="1:8" x14ac:dyDescent="0.25">
      <c r="E582" t="str">
        <f>"75043AP"</f>
        <v>75043AP</v>
      </c>
      <c r="F582" t="str">
        <f>"ACCT#3324/PCT#3"</f>
        <v>ACCT#3324/PCT#3</v>
      </c>
      <c r="G582" s="3">
        <v>201.92</v>
      </c>
      <c r="H582" t="str">
        <f>"ACCT#3324/PCT#3"</f>
        <v>ACCT#3324/PCT#3</v>
      </c>
    </row>
    <row r="583" spans="1:8" x14ac:dyDescent="0.25">
      <c r="A583" t="s">
        <v>142</v>
      </c>
      <c r="B583">
        <v>5139</v>
      </c>
      <c r="C583" s="3">
        <v>383.64</v>
      </c>
      <c r="D583" s="4">
        <v>44467</v>
      </c>
      <c r="E583" t="str">
        <f>"75163AP"</f>
        <v>75163AP</v>
      </c>
      <c r="F583" t="str">
        <f>"AUSTIN TRUCK AND EQUIPMENT  LT"</f>
        <v>AUSTIN TRUCK AND EQUIPMENT  LT</v>
      </c>
      <c r="G583" s="3">
        <v>363.84</v>
      </c>
      <c r="H583" t="str">
        <f>"AUSTIN TRUCK AND EQUIPMENT  LT"</f>
        <v>AUSTIN TRUCK AND EQUIPMENT  LT</v>
      </c>
    </row>
    <row r="584" spans="1:8" x14ac:dyDescent="0.25">
      <c r="E584" t="str">
        <f>"75588AP"</f>
        <v>75588AP</v>
      </c>
      <c r="F584" t="str">
        <f>"ACCT#3324/PCT#3"</f>
        <v>ACCT#3324/PCT#3</v>
      </c>
      <c r="G584" s="3">
        <v>19.8</v>
      </c>
      <c r="H584" t="str">
        <f>"ACCT#3324/PCT#3"</f>
        <v>ACCT#3324/PCT#3</v>
      </c>
    </row>
    <row r="585" spans="1:8" x14ac:dyDescent="0.25">
      <c r="A585" t="s">
        <v>143</v>
      </c>
      <c r="B585">
        <v>5050</v>
      </c>
      <c r="C585" s="3">
        <v>197.97</v>
      </c>
      <c r="D585" s="4">
        <v>44453</v>
      </c>
      <c r="E585" t="str">
        <f>"115011"</f>
        <v>115011</v>
      </c>
      <c r="F585" t="str">
        <f>"INV GC 115011"</f>
        <v>INV GC 115011</v>
      </c>
      <c r="G585" s="3">
        <v>69</v>
      </c>
      <c r="H585" t="str">
        <f>"INV GC 115011"</f>
        <v>INV GC 115011</v>
      </c>
    </row>
    <row r="586" spans="1:8" x14ac:dyDescent="0.25">
      <c r="E586" t="str">
        <f>"115063"</f>
        <v>115063</v>
      </c>
      <c r="F586" t="str">
        <f>"WINDOW ENVELOPES/DVLPMT SVCS"</f>
        <v>WINDOW ENVELOPES/DVLPMT SVCS</v>
      </c>
      <c r="G586" s="3">
        <v>128.97</v>
      </c>
      <c r="H586" t="str">
        <f>"WINDOW ENVELOPES/DVLPMT SVCS"</f>
        <v>WINDOW ENVELOPES/DVLPMT SVCS</v>
      </c>
    </row>
    <row r="587" spans="1:8" x14ac:dyDescent="0.25">
      <c r="A587" t="s">
        <v>143</v>
      </c>
      <c r="B587">
        <v>5146</v>
      </c>
      <c r="C587" s="3">
        <v>68.72</v>
      </c>
      <c r="D587" s="4">
        <v>44467</v>
      </c>
      <c r="E587" t="str">
        <f>"115172"</f>
        <v>115172</v>
      </c>
      <c r="F587" t="str">
        <f>"BUSINESS CARDS/ROBERT PUGH"</f>
        <v>BUSINESS CARDS/ROBERT PUGH</v>
      </c>
      <c r="G587" s="3">
        <v>30.72</v>
      </c>
      <c r="H587" t="str">
        <f>"BUSINESS CARDS/ROBERT PUGH"</f>
        <v>BUSINESS CARDS/ROBERT PUGH</v>
      </c>
    </row>
    <row r="588" spans="1:8" x14ac:dyDescent="0.25">
      <c r="E588" t="str">
        <f>"GC115216"</f>
        <v>GC115216</v>
      </c>
      <c r="F588" t="str">
        <f>"INV GC115216"</f>
        <v>INV GC115216</v>
      </c>
      <c r="G588" s="3">
        <v>19</v>
      </c>
      <c r="H588" t="str">
        <f>"INV GC115216"</f>
        <v>INV GC115216</v>
      </c>
    </row>
    <row r="589" spans="1:8" x14ac:dyDescent="0.25">
      <c r="E589" t="str">
        <f>"GC115235"</f>
        <v>GC115235</v>
      </c>
      <c r="F589" t="str">
        <f>"INV GC115235"</f>
        <v>INV GC115235</v>
      </c>
      <c r="G589" s="3">
        <v>19</v>
      </c>
      <c r="H589" t="str">
        <f>"INV GC115235"</f>
        <v>INV GC115235</v>
      </c>
    </row>
    <row r="590" spans="1:8" x14ac:dyDescent="0.25">
      <c r="A590" t="s">
        <v>144</v>
      </c>
      <c r="B590">
        <v>136908</v>
      </c>
      <c r="C590" s="3">
        <v>610.41</v>
      </c>
      <c r="D590" s="4">
        <v>44452</v>
      </c>
      <c r="E590" t="str">
        <f>"016394818"</f>
        <v>016394818</v>
      </c>
      <c r="F590" t="str">
        <f>"INV 016394818 / 016337574"</f>
        <v>INV 016394818 / 016337574</v>
      </c>
      <c r="G590" s="3">
        <v>-199.5</v>
      </c>
      <c r="H590" t="str">
        <f>"INV 016394818"</f>
        <v>INV 016394818</v>
      </c>
    </row>
    <row r="591" spans="1:8" x14ac:dyDescent="0.25">
      <c r="E591" t="str">
        <f>""</f>
        <v/>
      </c>
      <c r="F591" t="str">
        <f>""</f>
        <v/>
      </c>
      <c r="G591" s="3">
        <v>408</v>
      </c>
      <c r="H591" t="str">
        <f>"INV 016337574"</f>
        <v>INV 016337574</v>
      </c>
    </row>
    <row r="592" spans="1:8" x14ac:dyDescent="0.25">
      <c r="E592" t="str">
        <f>"017121754"</f>
        <v>017121754</v>
      </c>
      <c r="F592" t="str">
        <f>"INV 017121754"</f>
        <v>INV 017121754</v>
      </c>
      <c r="G592" s="3">
        <v>76.5</v>
      </c>
      <c r="H592" t="str">
        <f>"INV 017121754"</f>
        <v>INV 017121754</v>
      </c>
    </row>
    <row r="593" spans="1:8" x14ac:dyDescent="0.25">
      <c r="E593" t="str">
        <f>"019157116"</f>
        <v>019157116</v>
      </c>
      <c r="F593" t="str">
        <f>"INV 019157116"</f>
        <v>INV 019157116</v>
      </c>
      <c r="G593" s="3">
        <v>49.99</v>
      </c>
      <c r="H593" t="str">
        <f>"INV 019157116"</f>
        <v>INV 019157116</v>
      </c>
    </row>
    <row r="594" spans="1:8" x14ac:dyDescent="0.25">
      <c r="E594" t="str">
        <f>"019157190"</f>
        <v>019157190</v>
      </c>
      <c r="F594" t="str">
        <f>"INV 019157190"</f>
        <v>INV 019157190</v>
      </c>
      <c r="G594" s="3">
        <v>22.96</v>
      </c>
      <c r="H594" t="str">
        <f>"INV 019157190"</f>
        <v>INV 019157190</v>
      </c>
    </row>
    <row r="595" spans="1:8" x14ac:dyDescent="0.25">
      <c r="E595" t="str">
        <f>"019157191"</f>
        <v>019157191</v>
      </c>
      <c r="F595" t="str">
        <f>"INV 019157191"</f>
        <v>INV 019157191</v>
      </c>
      <c r="G595" s="3">
        <v>11.48</v>
      </c>
      <c r="H595" t="str">
        <f>"INV 019157191"</f>
        <v>INV 019157191</v>
      </c>
    </row>
    <row r="596" spans="1:8" x14ac:dyDescent="0.25">
      <c r="E596" t="str">
        <f>"019157215"</f>
        <v>019157215</v>
      </c>
      <c r="F596" t="str">
        <f>"INV 019157215"</f>
        <v>INV 019157215</v>
      </c>
      <c r="G596" s="3">
        <v>11.48</v>
      </c>
      <c r="H596" t="str">
        <f>"INV 019157215"</f>
        <v>INV 019157215</v>
      </c>
    </row>
    <row r="597" spans="1:8" x14ac:dyDescent="0.25">
      <c r="E597" t="str">
        <f>"019202212"</f>
        <v>019202212</v>
      </c>
      <c r="F597" t="str">
        <f>"INV 019202212"</f>
        <v>INV 019202212</v>
      </c>
      <c r="G597" s="3">
        <v>229.5</v>
      </c>
      <c r="H597" t="str">
        <f>"INV 019202212"</f>
        <v>INV 019202212</v>
      </c>
    </row>
    <row r="598" spans="1:8" x14ac:dyDescent="0.25">
      <c r="A598" t="s">
        <v>144</v>
      </c>
      <c r="B598">
        <v>137089</v>
      </c>
      <c r="C598" s="3">
        <v>34.44</v>
      </c>
      <c r="D598" s="4">
        <v>44466</v>
      </c>
      <c r="E598" t="str">
        <f>"019256439"</f>
        <v>019256439</v>
      </c>
      <c r="F598" t="str">
        <f>"INV 019256439"</f>
        <v>INV 019256439</v>
      </c>
      <c r="G598" s="3">
        <v>11.48</v>
      </c>
      <c r="H598" t="str">
        <f>"INV 019256439"</f>
        <v>INV 019256439</v>
      </c>
    </row>
    <row r="599" spans="1:8" x14ac:dyDescent="0.25">
      <c r="E599" t="str">
        <f>"019289821"</f>
        <v>019289821</v>
      </c>
      <c r="F599" t="str">
        <f>"INV 019289821"</f>
        <v>INV 019289821</v>
      </c>
      <c r="G599" s="3">
        <v>11.48</v>
      </c>
      <c r="H599" t="str">
        <f>"INV 019289821"</f>
        <v>INV 019289821</v>
      </c>
    </row>
    <row r="600" spans="1:8" x14ac:dyDescent="0.25">
      <c r="E600" t="str">
        <f>"OR18365042"</f>
        <v>OR18365042</v>
      </c>
      <c r="F600" t="str">
        <f>"INV OR18365042"</f>
        <v>INV OR18365042</v>
      </c>
      <c r="G600" s="3">
        <v>11.48</v>
      </c>
      <c r="H600" t="str">
        <f>"INV OR18365042"</f>
        <v>INV OR18365042</v>
      </c>
    </row>
    <row r="601" spans="1:8" x14ac:dyDescent="0.25">
      <c r="A601" t="s">
        <v>145</v>
      </c>
      <c r="B601">
        <v>136909</v>
      </c>
      <c r="C601" s="3">
        <v>675</v>
      </c>
      <c r="D601" s="4">
        <v>44452</v>
      </c>
      <c r="E601" t="str">
        <f>"202109075601"</f>
        <v>202109075601</v>
      </c>
      <c r="F601" t="str">
        <f>"GARLAND T MURLEY"</f>
        <v>GARLAND T MURLEY</v>
      </c>
      <c r="G601" s="3">
        <v>675</v>
      </c>
      <c r="H601" t="str">
        <f>""</f>
        <v/>
      </c>
    </row>
    <row r="602" spans="1:8" x14ac:dyDescent="0.25">
      <c r="A602" t="s">
        <v>146</v>
      </c>
      <c r="B602">
        <v>5125</v>
      </c>
      <c r="C602" s="3">
        <v>4237.42</v>
      </c>
      <c r="D602" s="4">
        <v>44467</v>
      </c>
      <c r="E602" t="str">
        <f>"202109215868"</f>
        <v>202109215868</v>
      </c>
      <c r="F602" t="str">
        <f>"Roof Repair"</f>
        <v>Roof Repair</v>
      </c>
      <c r="G602" s="3">
        <v>2973</v>
      </c>
      <c r="H602" t="str">
        <f>"Labor"</f>
        <v>Labor</v>
      </c>
    </row>
    <row r="603" spans="1:8" x14ac:dyDescent="0.25">
      <c r="E603" t="str">
        <f>""</f>
        <v/>
      </c>
      <c r="F603" t="str">
        <f>""</f>
        <v/>
      </c>
      <c r="G603" s="3">
        <v>416.22</v>
      </c>
      <c r="H603" t="str">
        <f>"Additional Repair"</f>
        <v>Additional Repair</v>
      </c>
    </row>
    <row r="604" spans="1:8" x14ac:dyDescent="0.25">
      <c r="E604" t="str">
        <f>""</f>
        <v/>
      </c>
      <c r="F604" t="str">
        <f>""</f>
        <v/>
      </c>
      <c r="G604" s="3">
        <v>708.6</v>
      </c>
      <c r="H604" t="str">
        <f>"Material"</f>
        <v>Material</v>
      </c>
    </row>
    <row r="605" spans="1:8" x14ac:dyDescent="0.25">
      <c r="E605" t="str">
        <f>""</f>
        <v/>
      </c>
      <c r="F605" t="str">
        <f>""</f>
        <v/>
      </c>
      <c r="G605" s="3">
        <v>139.6</v>
      </c>
      <c r="H605" t="str">
        <f>"General Conditions"</f>
        <v>General Conditions</v>
      </c>
    </row>
    <row r="606" spans="1:8" x14ac:dyDescent="0.25">
      <c r="A606" t="s">
        <v>147</v>
      </c>
      <c r="B606">
        <v>136910</v>
      </c>
      <c r="C606" s="3">
        <v>2745</v>
      </c>
      <c r="D606" s="4">
        <v>44452</v>
      </c>
      <c r="E606" t="str">
        <f>"1141"</f>
        <v>1141</v>
      </c>
      <c r="F606" t="str">
        <f>"TRANSPORT/SHERRY PARROTT"</f>
        <v>TRANSPORT/SHERRY PARROTT</v>
      </c>
      <c r="G606" s="3">
        <v>425</v>
      </c>
      <c r="H606" t="str">
        <f>"TRANSPORT/SHERRY PARROTT"</f>
        <v>TRANSPORT/SHERRY PARROTT</v>
      </c>
    </row>
    <row r="607" spans="1:8" x14ac:dyDescent="0.25">
      <c r="E607" t="str">
        <f>"1157"</f>
        <v>1157</v>
      </c>
      <c r="F607" t="str">
        <f>"TRANSPORT/TIMOTHY BARNES"</f>
        <v>TRANSPORT/TIMOTHY BARNES</v>
      </c>
      <c r="G607" s="3">
        <v>425</v>
      </c>
      <c r="H607" t="str">
        <f>"TRANSPORT/TIMOTHY BARNES"</f>
        <v>TRANSPORT/TIMOTHY BARNES</v>
      </c>
    </row>
    <row r="608" spans="1:8" x14ac:dyDescent="0.25">
      <c r="E608" t="str">
        <f>"1173"</f>
        <v>1173</v>
      </c>
      <c r="F608" t="str">
        <f>"TRANSPORT - K. BOUNDS"</f>
        <v>TRANSPORT - K. BOUNDS</v>
      </c>
      <c r="G608" s="3">
        <v>425</v>
      </c>
      <c r="H608" t="str">
        <f>"TRANSPORT - K. BOUNDS"</f>
        <v>TRANSPORT - K. BOUNDS</v>
      </c>
    </row>
    <row r="609" spans="1:8" x14ac:dyDescent="0.25">
      <c r="E609" t="str">
        <f>"1177"</f>
        <v>1177</v>
      </c>
      <c r="F609" t="str">
        <f>"TRANSPORT/SUSAN MUCHUTKA"</f>
        <v>TRANSPORT/SUSAN MUCHUTKA</v>
      </c>
      <c r="G609" s="3">
        <v>425</v>
      </c>
      <c r="H609" t="str">
        <f>"TRANSPORT/SUSAN MUCHUTKA"</f>
        <v>TRANSPORT/SUSAN MUCHUTKA</v>
      </c>
    </row>
    <row r="610" spans="1:8" x14ac:dyDescent="0.25">
      <c r="E610" t="str">
        <f>"202108265316"</f>
        <v>202108265316</v>
      </c>
      <c r="F610" t="str">
        <f>"CREMATION/SHERRY PARROTT"</f>
        <v>CREMATION/SHERRY PARROTT</v>
      </c>
      <c r="G610" s="3">
        <v>695</v>
      </c>
      <c r="H610" t="str">
        <f>"CREMATION/SHERRY PARROTT"</f>
        <v>CREMATION/SHERRY PARROTT</v>
      </c>
    </row>
    <row r="611" spans="1:8" x14ac:dyDescent="0.25">
      <c r="E611" t="str">
        <f>"202109085636"</f>
        <v>202109085636</v>
      </c>
      <c r="F611" t="str">
        <f>"TRANSPORT - DONNA KNIGHT"</f>
        <v>TRANSPORT - DONNA KNIGHT</v>
      </c>
      <c r="G611" s="3">
        <v>350</v>
      </c>
      <c r="H611" t="str">
        <f>"TRANSPORT - DONNA KNIGHT"</f>
        <v>TRANSPORT - DONNA KNIGHT</v>
      </c>
    </row>
    <row r="612" spans="1:8" x14ac:dyDescent="0.25">
      <c r="A612" t="s">
        <v>147</v>
      </c>
      <c r="B612">
        <v>137090</v>
      </c>
      <c r="C612" s="3">
        <v>850</v>
      </c>
      <c r="D612" s="4">
        <v>44466</v>
      </c>
      <c r="E612" t="str">
        <f>"1160"</f>
        <v>1160</v>
      </c>
      <c r="F612" t="str">
        <f>"TRANSPORT/ROBERT DELUNA"</f>
        <v>TRANSPORT/ROBERT DELUNA</v>
      </c>
      <c r="G612" s="3">
        <v>425</v>
      </c>
      <c r="H612" t="str">
        <f>"TRANSPORT/ROBERT DELUNA"</f>
        <v>TRANSPORT/ROBERT DELUNA</v>
      </c>
    </row>
    <row r="613" spans="1:8" x14ac:dyDescent="0.25">
      <c r="E613" t="str">
        <f>"1161"</f>
        <v>1161</v>
      </c>
      <c r="F613" t="str">
        <f>"TRANSPORT/C. RODRIGUEZ"</f>
        <v>TRANSPORT/C. RODRIGUEZ</v>
      </c>
      <c r="G613" s="3">
        <v>425</v>
      </c>
      <c r="H613" t="str">
        <f>"TRANSPORT/C. RODRIGUEZ"</f>
        <v>TRANSPORT/C. RODRIGUEZ</v>
      </c>
    </row>
    <row r="614" spans="1:8" x14ac:dyDescent="0.25">
      <c r="A614" t="s">
        <v>148</v>
      </c>
      <c r="B614">
        <v>137091</v>
      </c>
      <c r="C614" s="3">
        <v>1314</v>
      </c>
      <c r="D614" s="4">
        <v>44466</v>
      </c>
      <c r="E614" t="str">
        <f>"1337"</f>
        <v>1337</v>
      </c>
      <c r="F614" t="str">
        <f>"CHARGEBACK/DEZMON BENOIT"</f>
        <v>CHARGEBACK/DEZMON BENOIT</v>
      </c>
      <c r="G614" s="3">
        <v>20.399999999999999</v>
      </c>
      <c r="H614" t="str">
        <f t="shared" ref="H614:H628" si="13">"CHARGEBACK/DEZMON BENOIT"</f>
        <v>CHARGEBACK/DEZMON BENOIT</v>
      </c>
    </row>
    <row r="615" spans="1:8" x14ac:dyDescent="0.25">
      <c r="E615" t="str">
        <f>""</f>
        <v/>
      </c>
      <c r="F615" t="str">
        <f>""</f>
        <v/>
      </c>
      <c r="G615" s="3">
        <v>454.2</v>
      </c>
      <c r="H615" t="str">
        <f t="shared" si="13"/>
        <v>CHARGEBACK/DEZMON BENOIT</v>
      </c>
    </row>
    <row r="616" spans="1:8" x14ac:dyDescent="0.25">
      <c r="E616" t="str">
        <f>""</f>
        <v/>
      </c>
      <c r="F616" t="str">
        <f>""</f>
        <v/>
      </c>
      <c r="G616" s="3">
        <v>120</v>
      </c>
      <c r="H616" t="str">
        <f t="shared" si="13"/>
        <v>CHARGEBACK/DEZMON BENOIT</v>
      </c>
    </row>
    <row r="617" spans="1:8" x14ac:dyDescent="0.25">
      <c r="E617" t="str">
        <f>""</f>
        <v/>
      </c>
      <c r="F617" t="str">
        <f>""</f>
        <v/>
      </c>
      <c r="G617" s="3">
        <v>6</v>
      </c>
      <c r="H617" t="str">
        <f t="shared" si="13"/>
        <v>CHARGEBACK/DEZMON BENOIT</v>
      </c>
    </row>
    <row r="618" spans="1:8" x14ac:dyDescent="0.25">
      <c r="E618" t="str">
        <f>""</f>
        <v/>
      </c>
      <c r="F618" t="str">
        <f>""</f>
        <v/>
      </c>
      <c r="G618" s="3">
        <v>12</v>
      </c>
      <c r="H618" t="str">
        <f t="shared" si="13"/>
        <v>CHARGEBACK/DEZMON BENOIT</v>
      </c>
    </row>
    <row r="619" spans="1:8" x14ac:dyDescent="0.25">
      <c r="E619" t="str">
        <f>""</f>
        <v/>
      </c>
      <c r="F619" t="str">
        <f>""</f>
        <v/>
      </c>
      <c r="G619" s="3">
        <v>60</v>
      </c>
      <c r="H619" t="str">
        <f t="shared" si="13"/>
        <v>CHARGEBACK/DEZMON BENOIT</v>
      </c>
    </row>
    <row r="620" spans="1:8" x14ac:dyDescent="0.25">
      <c r="E620" t="str">
        <f>""</f>
        <v/>
      </c>
      <c r="F620" t="str">
        <f>""</f>
        <v/>
      </c>
      <c r="G620" s="3">
        <v>12</v>
      </c>
      <c r="H620" t="str">
        <f t="shared" si="13"/>
        <v>CHARGEBACK/DEZMON BENOIT</v>
      </c>
    </row>
    <row r="621" spans="1:8" x14ac:dyDescent="0.25">
      <c r="E621" t="str">
        <f>""</f>
        <v/>
      </c>
      <c r="F621" t="str">
        <f>""</f>
        <v/>
      </c>
      <c r="G621" s="3">
        <v>18</v>
      </c>
      <c r="H621" t="str">
        <f t="shared" si="13"/>
        <v>CHARGEBACK/DEZMON BENOIT</v>
      </c>
    </row>
    <row r="622" spans="1:8" x14ac:dyDescent="0.25">
      <c r="E622" t="str">
        <f>""</f>
        <v/>
      </c>
      <c r="F622" t="str">
        <f>""</f>
        <v/>
      </c>
      <c r="G622" s="3">
        <v>16.2</v>
      </c>
      <c r="H622" t="str">
        <f t="shared" si="13"/>
        <v>CHARGEBACK/DEZMON BENOIT</v>
      </c>
    </row>
    <row r="623" spans="1:8" x14ac:dyDescent="0.25">
      <c r="E623" t="str">
        <f>""</f>
        <v/>
      </c>
      <c r="F623" t="str">
        <f>""</f>
        <v/>
      </c>
      <c r="G623" s="3">
        <v>1.8</v>
      </c>
      <c r="H623" t="str">
        <f t="shared" si="13"/>
        <v>CHARGEBACK/DEZMON BENOIT</v>
      </c>
    </row>
    <row r="624" spans="1:8" x14ac:dyDescent="0.25">
      <c r="E624" t="str">
        <f>""</f>
        <v/>
      </c>
      <c r="F624" t="str">
        <f>""</f>
        <v/>
      </c>
      <c r="G624" s="3">
        <v>553.4</v>
      </c>
      <c r="H624" t="str">
        <f t="shared" si="13"/>
        <v>CHARGEBACK/DEZMON BENOIT</v>
      </c>
    </row>
    <row r="625" spans="1:8" x14ac:dyDescent="0.25">
      <c r="E625" t="str">
        <f>""</f>
        <v/>
      </c>
      <c r="F625" t="str">
        <f>""</f>
        <v/>
      </c>
      <c r="G625" s="3">
        <v>6</v>
      </c>
      <c r="H625" t="str">
        <f t="shared" si="13"/>
        <v>CHARGEBACK/DEZMON BENOIT</v>
      </c>
    </row>
    <row r="626" spans="1:8" x14ac:dyDescent="0.25">
      <c r="E626" t="str">
        <f>""</f>
        <v/>
      </c>
      <c r="F626" t="str">
        <f>""</f>
        <v/>
      </c>
      <c r="G626" s="3">
        <v>12</v>
      </c>
      <c r="H626" t="str">
        <f t="shared" si="13"/>
        <v>CHARGEBACK/DEZMON BENOIT</v>
      </c>
    </row>
    <row r="627" spans="1:8" x14ac:dyDescent="0.25">
      <c r="E627" t="str">
        <f>""</f>
        <v/>
      </c>
      <c r="F627" t="str">
        <f>""</f>
        <v/>
      </c>
      <c r="G627" s="3">
        <v>12</v>
      </c>
      <c r="H627" t="str">
        <f t="shared" si="13"/>
        <v>CHARGEBACK/DEZMON BENOIT</v>
      </c>
    </row>
    <row r="628" spans="1:8" x14ac:dyDescent="0.25">
      <c r="E628" t="str">
        <f>""</f>
        <v/>
      </c>
      <c r="F628" t="str">
        <f>""</f>
        <v/>
      </c>
      <c r="G628" s="3">
        <v>10</v>
      </c>
      <c r="H628" t="str">
        <f t="shared" si="13"/>
        <v>CHARGEBACK/DEZMON BENOIT</v>
      </c>
    </row>
    <row r="629" spans="1:8" x14ac:dyDescent="0.25">
      <c r="A629" t="s">
        <v>149</v>
      </c>
      <c r="B629">
        <v>136911</v>
      </c>
      <c r="C629" s="3">
        <v>253.33</v>
      </c>
      <c r="D629" s="4">
        <v>44452</v>
      </c>
      <c r="E629" t="str">
        <f>"9032140031"</f>
        <v>9032140031</v>
      </c>
      <c r="F629" t="str">
        <f>"INV 9032140031"</f>
        <v>INV 9032140031</v>
      </c>
      <c r="G629" s="3">
        <v>136.87</v>
      </c>
      <c r="H629" t="str">
        <f>"INV 9032140031"</f>
        <v>INV 9032140031</v>
      </c>
    </row>
    <row r="630" spans="1:8" x14ac:dyDescent="0.25">
      <c r="E630" t="str">
        <f>"9035182857"</f>
        <v>9035182857</v>
      </c>
      <c r="F630" t="str">
        <f>"INV 9035182857"</f>
        <v>INV 9035182857</v>
      </c>
      <c r="G630" s="3">
        <v>116.46</v>
      </c>
      <c r="H630" t="str">
        <f>"INV 9035182857"</f>
        <v>INV 9035182857</v>
      </c>
    </row>
    <row r="631" spans="1:8" x14ac:dyDescent="0.25">
      <c r="A631" t="s">
        <v>149</v>
      </c>
      <c r="B631">
        <v>137092</v>
      </c>
      <c r="C631" s="3">
        <v>851.14</v>
      </c>
      <c r="D631" s="4">
        <v>44466</v>
      </c>
      <c r="E631" t="str">
        <f>"202109215867"</f>
        <v>202109215867</v>
      </c>
      <c r="F631" t="str">
        <f>"Grainger Order"</f>
        <v>Grainger Order</v>
      </c>
      <c r="G631" s="3">
        <v>796.8</v>
      </c>
      <c r="H631" t="str">
        <f>"A-Frame"</f>
        <v>A-Frame</v>
      </c>
    </row>
    <row r="632" spans="1:8" x14ac:dyDescent="0.25">
      <c r="E632" t="str">
        <f>"202109215871"</f>
        <v>202109215871</v>
      </c>
      <c r="F632" t="str">
        <f>"GRAINGER INC"</f>
        <v>GRAINGER INC</v>
      </c>
      <c r="G632" s="3">
        <v>54.34</v>
      </c>
      <c r="H632" t="str">
        <f>"Spray Head"</f>
        <v>Spray Head</v>
      </c>
    </row>
    <row r="633" spans="1:8" x14ac:dyDescent="0.25">
      <c r="A633" t="s">
        <v>150</v>
      </c>
      <c r="B633">
        <v>136912</v>
      </c>
      <c r="C633" s="3">
        <v>730.48</v>
      </c>
      <c r="D633" s="4">
        <v>44452</v>
      </c>
      <c r="E633" t="str">
        <f>"202108275387"</f>
        <v>202108275387</v>
      </c>
      <c r="F633" t="str">
        <f>"INTERPRETING"</f>
        <v>INTERPRETING</v>
      </c>
      <c r="G633" s="3">
        <v>364.4</v>
      </c>
      <c r="H633" t="str">
        <f>"INTERPRETING"</f>
        <v>INTERPRETING</v>
      </c>
    </row>
    <row r="634" spans="1:8" x14ac:dyDescent="0.25">
      <c r="E634" t="str">
        <f>"2337"</f>
        <v>2337</v>
      </c>
      <c r="F634" t="str">
        <f>"SPANISH INTERPRETING"</f>
        <v>SPANISH INTERPRETING</v>
      </c>
      <c r="G634" s="3">
        <v>366.08</v>
      </c>
      <c r="H634" t="str">
        <f>"SPANISH INTERPRETING"</f>
        <v>SPANISH INTERPRETING</v>
      </c>
    </row>
    <row r="635" spans="1:8" x14ac:dyDescent="0.25">
      <c r="A635" t="s">
        <v>150</v>
      </c>
      <c r="B635">
        <v>137093</v>
      </c>
      <c r="C635" s="3">
        <v>366.08</v>
      </c>
      <c r="D635" s="4">
        <v>44466</v>
      </c>
      <c r="E635" t="str">
        <f>"202109155704"</f>
        <v>202109155704</v>
      </c>
      <c r="F635" t="str">
        <f>"CASE NO.17 383"</f>
        <v>CASE NO.17 383</v>
      </c>
      <c r="G635" s="3">
        <v>366.08</v>
      </c>
      <c r="H635" t="str">
        <f>"CASE NO.17 383"</f>
        <v>CASE NO.17 383</v>
      </c>
    </row>
    <row r="636" spans="1:8" x14ac:dyDescent="0.25">
      <c r="A636" t="s">
        <v>151</v>
      </c>
      <c r="B636">
        <v>5051</v>
      </c>
      <c r="C636" s="3">
        <v>980.37</v>
      </c>
      <c r="D636" s="4">
        <v>44453</v>
      </c>
      <c r="E636" t="str">
        <f>"0859518"</f>
        <v>0859518</v>
      </c>
      <c r="F636" t="str">
        <f>"INV 0859518"</f>
        <v>INV 0859518</v>
      </c>
      <c r="G636" s="3">
        <v>225</v>
      </c>
      <c r="H636" t="str">
        <f>"INV 0859518"</f>
        <v>INV 0859518</v>
      </c>
    </row>
    <row r="637" spans="1:8" x14ac:dyDescent="0.25">
      <c r="E637" t="str">
        <f>"0860122"</f>
        <v>0860122</v>
      </c>
      <c r="F637" t="str">
        <f>"INV0860122"</f>
        <v>INV0860122</v>
      </c>
      <c r="G637" s="3">
        <v>115.47</v>
      </c>
      <c r="H637" t="str">
        <f>"INV0860122"</f>
        <v>INV0860122</v>
      </c>
    </row>
    <row r="638" spans="1:8" x14ac:dyDescent="0.25">
      <c r="E638" t="str">
        <f>"0860365"</f>
        <v>0860365</v>
      </c>
      <c r="F638" t="str">
        <f>"INV 0860365"</f>
        <v>INV 0860365</v>
      </c>
      <c r="G638" s="3">
        <v>90</v>
      </c>
      <c r="H638" t="str">
        <f>"INV 0860365"</f>
        <v>INV 0860365</v>
      </c>
    </row>
    <row r="639" spans="1:8" x14ac:dyDescent="0.25">
      <c r="E639" t="str">
        <f>"DPT000274914"</f>
        <v>DPT000274914</v>
      </c>
      <c r="F639" t="str">
        <f>"CUST ID:000006"</f>
        <v>CUST ID:000006</v>
      </c>
      <c r="G639" s="3">
        <v>549.9</v>
      </c>
      <c r="H639" t="str">
        <f>"CUST ID:000006"</f>
        <v>CUST ID:000006</v>
      </c>
    </row>
    <row r="640" spans="1:8" x14ac:dyDescent="0.25">
      <c r="A640" t="s">
        <v>151</v>
      </c>
      <c r="B640">
        <v>5147</v>
      </c>
      <c r="C640" s="3">
        <v>3334.23</v>
      </c>
      <c r="D640" s="4">
        <v>44467</v>
      </c>
      <c r="E640" t="str">
        <f>"0853958"</f>
        <v>0853958</v>
      </c>
      <c r="F640" t="str">
        <f>"INV 0853958/0860020/..."</f>
        <v>INV 0853958/0860020/...</v>
      </c>
      <c r="G640" s="3">
        <v>72</v>
      </c>
      <c r="H640" t="str">
        <f>"INV 0853958"</f>
        <v>INV 0853958</v>
      </c>
    </row>
    <row r="641" spans="5:8" x14ac:dyDescent="0.25">
      <c r="E641" t="str">
        <f>""</f>
        <v/>
      </c>
      <c r="F641" t="str">
        <f>""</f>
        <v/>
      </c>
      <c r="G641" s="3">
        <v>4.95</v>
      </c>
      <c r="H641" t="str">
        <f>"INV 0860020"</f>
        <v>INV 0860020</v>
      </c>
    </row>
    <row r="642" spans="5:8" x14ac:dyDescent="0.25">
      <c r="E642" t="str">
        <f>""</f>
        <v/>
      </c>
      <c r="F642" t="str">
        <f>""</f>
        <v/>
      </c>
      <c r="G642" s="3">
        <v>139.97999999999999</v>
      </c>
      <c r="H642" t="str">
        <f>"INV 0863244"</f>
        <v>INV 0863244</v>
      </c>
    </row>
    <row r="643" spans="5:8" x14ac:dyDescent="0.25">
      <c r="E643" t="str">
        <f>"0859766"</f>
        <v>0859766</v>
      </c>
      <c r="F643" t="str">
        <f>"INV 0859766/0861464/..."</f>
        <v>INV 0859766/0861464/...</v>
      </c>
      <c r="G643" s="3">
        <v>54.99</v>
      </c>
      <c r="H643" t="str">
        <f>"INV 0859766"</f>
        <v>INV 0859766</v>
      </c>
    </row>
    <row r="644" spans="5:8" x14ac:dyDescent="0.25">
      <c r="E644" t="str">
        <f>""</f>
        <v/>
      </c>
      <c r="F644" t="str">
        <f>""</f>
        <v/>
      </c>
      <c r="G644" s="3">
        <v>13</v>
      </c>
      <c r="H644" t="str">
        <f>"INV 0861464"</f>
        <v>INV 0861464</v>
      </c>
    </row>
    <row r="645" spans="5:8" x14ac:dyDescent="0.25">
      <c r="E645" t="str">
        <f>""</f>
        <v/>
      </c>
      <c r="F645" t="str">
        <f>""</f>
        <v/>
      </c>
      <c r="G645" s="3">
        <v>4.95</v>
      </c>
      <c r="H645" t="str">
        <f>"INV 0862080"</f>
        <v>INV 0862080</v>
      </c>
    </row>
    <row r="646" spans="5:8" x14ac:dyDescent="0.25">
      <c r="E646" t="str">
        <f>""</f>
        <v/>
      </c>
      <c r="F646" t="str">
        <f>""</f>
        <v/>
      </c>
      <c r="G646" s="3">
        <v>533.46</v>
      </c>
      <c r="H646" t="str">
        <f>"INV 0863138"</f>
        <v>INV 0863138</v>
      </c>
    </row>
    <row r="647" spans="5:8" x14ac:dyDescent="0.25">
      <c r="E647" t="str">
        <f>"0861655"</f>
        <v>0861655</v>
      </c>
      <c r="F647" t="str">
        <f>"INV 0861655"</f>
        <v>INV 0861655</v>
      </c>
      <c r="G647" s="3">
        <v>225</v>
      </c>
      <c r="H647" t="str">
        <f>"INV 0861655"</f>
        <v>INV 0861655</v>
      </c>
    </row>
    <row r="648" spans="5:8" x14ac:dyDescent="0.25">
      <c r="E648" t="str">
        <f>"0862189"</f>
        <v>0862189</v>
      </c>
      <c r="F648" t="str">
        <f>"INV 0862189"</f>
        <v>INV 0862189</v>
      </c>
      <c r="G648" s="3">
        <v>430</v>
      </c>
      <c r="H648" t="str">
        <f>"INV 0862189"</f>
        <v>INV 0862189</v>
      </c>
    </row>
    <row r="649" spans="5:8" x14ac:dyDescent="0.25">
      <c r="E649" t="str">
        <f>""</f>
        <v/>
      </c>
      <c r="F649" t="str">
        <f>""</f>
        <v/>
      </c>
      <c r="G649" s="3">
        <v>430</v>
      </c>
      <c r="H649" t="str">
        <f>"INV 0862189"</f>
        <v>INV 0862189</v>
      </c>
    </row>
    <row r="650" spans="5:8" x14ac:dyDescent="0.25">
      <c r="E650" t="str">
        <f>"0863047"</f>
        <v>0863047</v>
      </c>
      <c r="F650" t="str">
        <f>"INV 0863047"</f>
        <v>INV 0863047</v>
      </c>
      <c r="G650" s="3">
        <v>139.97999999999999</v>
      </c>
      <c r="H650" t="str">
        <f>"INV 0863047"</f>
        <v>INV 0863047</v>
      </c>
    </row>
    <row r="651" spans="5:8" x14ac:dyDescent="0.25">
      <c r="E651" t="str">
        <f>"0863049"</f>
        <v>0863049</v>
      </c>
      <c r="F651" t="str">
        <f>"INV 0863049"</f>
        <v>INV 0863049</v>
      </c>
      <c r="G651" s="3">
        <v>283.5</v>
      </c>
      <c r="H651" t="str">
        <f>"INV 0863049"</f>
        <v>INV 0863049</v>
      </c>
    </row>
    <row r="652" spans="5:8" x14ac:dyDescent="0.25">
      <c r="E652" t="str">
        <f>"0863235"</f>
        <v>0863235</v>
      </c>
      <c r="F652" t="str">
        <f>"INV 0863235"</f>
        <v>INV 0863235</v>
      </c>
      <c r="G652" s="3">
        <v>99.98</v>
      </c>
      <c r="H652" t="str">
        <f>"INV 0863235"</f>
        <v>INV 0863235</v>
      </c>
    </row>
    <row r="653" spans="5:8" x14ac:dyDescent="0.25">
      <c r="E653" t="str">
        <f>"0863985"</f>
        <v>0863985</v>
      </c>
      <c r="F653" t="str">
        <f>"INV 0863985"</f>
        <v>INV 0863985</v>
      </c>
      <c r="G653" s="3">
        <v>283.5</v>
      </c>
      <c r="H653" t="str">
        <f>"INV 0863985"</f>
        <v>INV 0863985</v>
      </c>
    </row>
    <row r="654" spans="5:8" x14ac:dyDescent="0.25">
      <c r="E654" t="str">
        <f>"0864061"</f>
        <v>0864061</v>
      </c>
      <c r="F654" t="str">
        <f>"INV 0864061"</f>
        <v>INV 0864061</v>
      </c>
      <c r="G654" s="3">
        <v>225</v>
      </c>
      <c r="H654" t="str">
        <f>"INV 0864061"</f>
        <v>INV 0864061</v>
      </c>
    </row>
    <row r="655" spans="5:8" x14ac:dyDescent="0.25">
      <c r="E655" t="str">
        <f>"21-28379"</f>
        <v>21-28379</v>
      </c>
      <c r="F655" t="str">
        <f>"INV 0862194"</f>
        <v>INV 0862194</v>
      </c>
      <c r="G655" s="3">
        <v>225</v>
      </c>
      <c r="H655" t="str">
        <f>"INV 0862194"</f>
        <v>INV 0862194</v>
      </c>
    </row>
    <row r="656" spans="5:8" x14ac:dyDescent="0.25">
      <c r="E656" t="str">
        <f>"INV0862883"</f>
        <v>INV0862883</v>
      </c>
      <c r="F656" t="str">
        <f>"CUST#000825/AUGUST MEDUNA"</f>
        <v>CUST#000825/AUGUST MEDUNA</v>
      </c>
      <c r="G656" s="3">
        <v>91.96</v>
      </c>
      <c r="H656" t="str">
        <f>"CUST#000825/AUGUST MEDUNA"</f>
        <v>CUST#000825/AUGUST MEDUNA</v>
      </c>
    </row>
    <row r="657" spans="1:8" x14ac:dyDescent="0.25">
      <c r="E657" t="str">
        <f>"INV0863622"</f>
        <v>INV0863622</v>
      </c>
      <c r="F657" t="str">
        <f>"INV0863622"</f>
        <v>INV0863622</v>
      </c>
      <c r="G657" s="3">
        <v>76.98</v>
      </c>
      <c r="H657" t="str">
        <f>"INV0863622"</f>
        <v>INV0863622</v>
      </c>
    </row>
    <row r="658" spans="1:8" x14ac:dyDescent="0.25">
      <c r="A658" t="s">
        <v>152</v>
      </c>
      <c r="B658">
        <v>5066</v>
      </c>
      <c r="C658" s="3">
        <v>2554.59</v>
      </c>
      <c r="D658" s="4">
        <v>44453</v>
      </c>
      <c r="E658" t="str">
        <f>"2092406"</f>
        <v>2092406</v>
      </c>
      <c r="F658" t="str">
        <f>"Gulf Coast Paper Invoices"</f>
        <v>Gulf Coast Paper Invoices</v>
      </c>
      <c r="G658" s="3">
        <v>27.12</v>
      </c>
      <c r="H658" t="str">
        <f>"JLDQT #2092406"</f>
        <v>JLDQT #2092406</v>
      </c>
    </row>
    <row r="659" spans="1:8" x14ac:dyDescent="0.25">
      <c r="E659" t="str">
        <f>""</f>
        <v/>
      </c>
      <c r="F659" t="str">
        <f>""</f>
        <v/>
      </c>
      <c r="G659" s="3">
        <v>46.83</v>
      </c>
      <c r="H659" t="str">
        <f>"SGUM #2092406"</f>
        <v>SGUM #2092406</v>
      </c>
    </row>
    <row r="660" spans="1:8" x14ac:dyDescent="0.25">
      <c r="E660" t="str">
        <f>""</f>
        <v/>
      </c>
      <c r="F660" t="str">
        <f>""</f>
        <v/>
      </c>
      <c r="G660" s="3">
        <v>273.45</v>
      </c>
      <c r="H660" t="str">
        <f>"GP89480 #2092411"</f>
        <v>GP89480 #2092411</v>
      </c>
    </row>
    <row r="661" spans="1:8" x14ac:dyDescent="0.25">
      <c r="E661" t="str">
        <f>""</f>
        <v/>
      </c>
      <c r="F661" t="str">
        <f>""</f>
        <v/>
      </c>
      <c r="G661" s="3">
        <v>277.75</v>
      </c>
      <c r="H661" t="str">
        <f>"GP892420 #2092411"</f>
        <v>GP892420 #2092411</v>
      </c>
    </row>
    <row r="662" spans="1:8" x14ac:dyDescent="0.25">
      <c r="E662" t="str">
        <f>""</f>
        <v/>
      </c>
      <c r="F662" t="str">
        <f>""</f>
        <v/>
      </c>
      <c r="G662" s="3">
        <v>960.4</v>
      </c>
      <c r="H662" t="str">
        <f>"GP19371 #2092411"</f>
        <v>GP19371 #2092411</v>
      </c>
    </row>
    <row r="663" spans="1:8" x14ac:dyDescent="0.25">
      <c r="E663" t="str">
        <f>""</f>
        <v/>
      </c>
      <c r="F663" t="str">
        <f>""</f>
        <v/>
      </c>
      <c r="G663" s="3">
        <v>49.02</v>
      </c>
      <c r="H663" t="str">
        <f>"GP20389 #2092411"</f>
        <v>GP20389 #2092411</v>
      </c>
    </row>
    <row r="664" spans="1:8" x14ac:dyDescent="0.25">
      <c r="E664" t="str">
        <f>""</f>
        <v/>
      </c>
      <c r="F664" t="str">
        <f>""</f>
        <v/>
      </c>
      <c r="G664" s="3">
        <v>41.72</v>
      </c>
      <c r="H664" t="str">
        <f>"NABC #2092411"</f>
        <v>NABC #2092411</v>
      </c>
    </row>
    <row r="665" spans="1:8" x14ac:dyDescent="0.25">
      <c r="E665" t="str">
        <f>""</f>
        <v/>
      </c>
      <c r="F665" t="str">
        <f>""</f>
        <v/>
      </c>
      <c r="G665" s="3">
        <v>54.38</v>
      </c>
      <c r="H665" t="str">
        <f>"CREBOWLCLN #2411"</f>
        <v>CREBOWLCLN #2411</v>
      </c>
    </row>
    <row r="666" spans="1:8" x14ac:dyDescent="0.25">
      <c r="E666" t="str">
        <f>""</f>
        <v/>
      </c>
      <c r="F666" t="str">
        <f>""</f>
        <v/>
      </c>
      <c r="G666" s="3">
        <v>217.02</v>
      </c>
      <c r="H666" t="str">
        <f>"A11203 #2092411"</f>
        <v>A11203 #2092411</v>
      </c>
    </row>
    <row r="667" spans="1:8" x14ac:dyDescent="0.25">
      <c r="E667" t="str">
        <f>"2092407"</f>
        <v>2092407</v>
      </c>
      <c r="F667" t="str">
        <f>"INV 2092407"</f>
        <v>INV 2092407</v>
      </c>
      <c r="G667" s="3">
        <v>606.9</v>
      </c>
      <c r="H667" t="str">
        <f>"INV 2092407"</f>
        <v>INV 2092407</v>
      </c>
    </row>
    <row r="668" spans="1:8" x14ac:dyDescent="0.25">
      <c r="A668" t="s">
        <v>152</v>
      </c>
      <c r="B668">
        <v>5157</v>
      </c>
      <c r="C668" s="3">
        <v>1085.4000000000001</v>
      </c>
      <c r="D668" s="4">
        <v>44467</v>
      </c>
      <c r="E668" t="str">
        <f>"202109155726"</f>
        <v>202109155726</v>
      </c>
      <c r="F668" t="str">
        <f>"Gulf Coast Paper invoices"</f>
        <v>Gulf Coast Paper invoices</v>
      </c>
      <c r="G668" s="3">
        <v>251.52</v>
      </c>
      <c r="H668" t="str">
        <f>"2096443/SIG 5"</f>
        <v>2096443/SIG 5</v>
      </c>
    </row>
    <row r="669" spans="1:8" x14ac:dyDescent="0.25">
      <c r="E669" t="str">
        <f>""</f>
        <v/>
      </c>
      <c r="F669" t="str">
        <f>""</f>
        <v/>
      </c>
      <c r="G669" s="3">
        <v>42.24</v>
      </c>
      <c r="H669" t="str">
        <f>"2096443/NSCS"</f>
        <v>2096443/NSCS</v>
      </c>
    </row>
    <row r="670" spans="1:8" x14ac:dyDescent="0.25">
      <c r="E670" t="str">
        <f>""</f>
        <v/>
      </c>
      <c r="F670" t="str">
        <f>""</f>
        <v/>
      </c>
      <c r="G670" s="3">
        <v>21.02</v>
      </c>
      <c r="H670" t="str">
        <f>"2096444/BCFAB"</f>
        <v>2096444/BCFAB</v>
      </c>
    </row>
    <row r="671" spans="1:8" x14ac:dyDescent="0.25">
      <c r="E671" t="str">
        <f>""</f>
        <v/>
      </c>
      <c r="F671" t="str">
        <f>""</f>
        <v/>
      </c>
      <c r="G671" s="3">
        <v>24.12</v>
      </c>
      <c r="H671" t="str">
        <f>"2096444/HPSPOT"</f>
        <v>2096444/HPSPOT</v>
      </c>
    </row>
    <row r="672" spans="1:8" x14ac:dyDescent="0.25">
      <c r="E672" t="str">
        <f>""</f>
        <v/>
      </c>
      <c r="F672" t="str">
        <f>""</f>
        <v/>
      </c>
      <c r="G672" s="3">
        <v>118.24</v>
      </c>
      <c r="H672" t="str">
        <f>"2096446/UPMJAN6"</f>
        <v>2096446/UPMJAN6</v>
      </c>
    </row>
    <row r="673" spans="1:8" x14ac:dyDescent="0.25">
      <c r="E673" t="str">
        <f>""</f>
        <v/>
      </c>
      <c r="F673" t="str">
        <f>""</f>
        <v/>
      </c>
      <c r="G673" s="3">
        <v>68.989999999999995</v>
      </c>
      <c r="H673" t="str">
        <f>"2096446/3042"</f>
        <v>2096446/3042</v>
      </c>
    </row>
    <row r="674" spans="1:8" x14ac:dyDescent="0.25">
      <c r="E674" t="str">
        <f>""</f>
        <v/>
      </c>
      <c r="F674" t="str">
        <f>""</f>
        <v/>
      </c>
      <c r="G674" s="3">
        <v>251.52</v>
      </c>
      <c r="H674" t="str">
        <f>"2100267/SIG5"</f>
        <v>2100267/SIG5</v>
      </c>
    </row>
    <row r="675" spans="1:8" x14ac:dyDescent="0.25">
      <c r="E675" t="str">
        <f>""</f>
        <v/>
      </c>
      <c r="F675" t="str">
        <f>""</f>
        <v/>
      </c>
      <c r="G675" s="3">
        <v>32.799999999999997</v>
      </c>
      <c r="H675" t="str">
        <f>"2100267/J353"</f>
        <v>2100267/J353</v>
      </c>
    </row>
    <row r="676" spans="1:8" x14ac:dyDescent="0.25">
      <c r="E676" t="str">
        <f>"2100269"</f>
        <v>2100269</v>
      </c>
      <c r="F676" t="str">
        <f>"INV 2100269"</f>
        <v>INV 2100269</v>
      </c>
      <c r="G676" s="3">
        <v>274.95</v>
      </c>
      <c r="H676" t="str">
        <f>"INV 2100269"</f>
        <v>INV 2100269</v>
      </c>
    </row>
    <row r="677" spans="1:8" x14ac:dyDescent="0.25">
      <c r="A677" t="s">
        <v>153</v>
      </c>
      <c r="B677">
        <v>136913</v>
      </c>
      <c r="C677" s="3">
        <v>85</v>
      </c>
      <c r="D677" s="4">
        <v>44452</v>
      </c>
      <c r="E677" t="str">
        <f>"1152415"</f>
        <v>1152415</v>
      </c>
      <c r="F677" t="str">
        <f>"ACCT#41985/PCT#3"</f>
        <v>ACCT#41985/PCT#3</v>
      </c>
      <c r="G677" s="3">
        <v>85</v>
      </c>
      <c r="H677" t="str">
        <f>"ACCT#41985/PCT#3"</f>
        <v>ACCT#41985/PCT#3</v>
      </c>
    </row>
    <row r="678" spans="1:8" x14ac:dyDescent="0.25">
      <c r="A678" t="s">
        <v>154</v>
      </c>
      <c r="B678">
        <v>136914</v>
      </c>
      <c r="C678" s="3">
        <v>45860</v>
      </c>
      <c r="D678" s="4">
        <v>44452</v>
      </c>
      <c r="E678" t="str">
        <f>"202109065536"</f>
        <v>202109065536</v>
      </c>
      <c r="F678" t="str">
        <f>"Tower Repair"</f>
        <v>Tower Repair</v>
      </c>
      <c r="G678" s="3">
        <v>29992</v>
      </c>
      <c r="H678" t="str">
        <f>"coil replacement"</f>
        <v>coil replacement</v>
      </c>
    </row>
    <row r="679" spans="1:8" x14ac:dyDescent="0.25">
      <c r="E679" t="str">
        <f>""</f>
        <v/>
      </c>
      <c r="F679" t="str">
        <f>""</f>
        <v/>
      </c>
      <c r="G679" s="3">
        <v>9378</v>
      </c>
      <c r="H679" t="str">
        <f>"fluid cooler"</f>
        <v>fluid cooler</v>
      </c>
    </row>
    <row r="680" spans="1:8" x14ac:dyDescent="0.25">
      <c r="E680" t="str">
        <f>""</f>
        <v/>
      </c>
      <c r="F680" t="str">
        <f>""</f>
        <v/>
      </c>
      <c r="G680" s="3">
        <v>6490</v>
      </c>
      <c r="H680" t="str">
        <f>"PVC fill"</f>
        <v>PVC fill</v>
      </c>
    </row>
    <row r="681" spans="1:8" x14ac:dyDescent="0.25">
      <c r="A681" t="s">
        <v>155</v>
      </c>
      <c r="B681">
        <v>136915</v>
      </c>
      <c r="C681" s="3">
        <v>197.42</v>
      </c>
      <c r="D681" s="4">
        <v>44452</v>
      </c>
      <c r="E681" t="str">
        <f>"0000287788"</f>
        <v>0000287788</v>
      </c>
      <c r="F681" t="str">
        <f>"DOUGLAS D. SPILLMAN"</f>
        <v>DOUGLAS D. SPILLMAN</v>
      </c>
      <c r="G681" s="3">
        <v>197.42</v>
      </c>
      <c r="H681" t="str">
        <f>"DOUGLAS D. SPILLMAN"</f>
        <v>DOUGLAS D. SPILLMAN</v>
      </c>
    </row>
    <row r="682" spans="1:8" x14ac:dyDescent="0.25">
      <c r="A682" t="s">
        <v>156</v>
      </c>
      <c r="B682">
        <v>137094</v>
      </c>
      <c r="C682" s="3">
        <v>298</v>
      </c>
      <c r="D682" s="4">
        <v>44466</v>
      </c>
      <c r="E682" t="str">
        <f>"SRIN102955"</f>
        <v>SRIN102955</v>
      </c>
      <c r="F682" t="str">
        <f>"INV SRIN102955"</f>
        <v>INV SRIN102955</v>
      </c>
      <c r="G682" s="3">
        <v>298</v>
      </c>
      <c r="H682" t="str">
        <f>"INV SRIN102955"</f>
        <v>INV SRIN102955</v>
      </c>
    </row>
    <row r="683" spans="1:8" x14ac:dyDescent="0.25">
      <c r="A683" t="s">
        <v>157</v>
      </c>
      <c r="B683">
        <v>137095</v>
      </c>
      <c r="C683" s="3">
        <v>4995</v>
      </c>
      <c r="D683" s="4">
        <v>44466</v>
      </c>
      <c r="E683" t="str">
        <f>"INV24435"</f>
        <v>INV24435</v>
      </c>
      <c r="F683" t="str">
        <f>"Cell HAWK Subscription"</f>
        <v>Cell HAWK Subscription</v>
      </c>
      <c r="G683" s="3">
        <v>4995</v>
      </c>
      <c r="H683" t="str">
        <f>"Cell HAWK Invoice"</f>
        <v>Cell HAWK Invoice</v>
      </c>
    </row>
    <row r="684" spans="1:8" x14ac:dyDescent="0.25">
      <c r="A684" t="s">
        <v>158</v>
      </c>
      <c r="B684">
        <v>5039</v>
      </c>
      <c r="C684" s="3">
        <v>570</v>
      </c>
      <c r="D684" s="4">
        <v>44453</v>
      </c>
      <c r="E684" t="str">
        <f>"202108315412"</f>
        <v>202108315412</v>
      </c>
      <c r="F684" t="str">
        <f>"REIMBURSE CONFERENCE REGISTRAT"</f>
        <v>REIMBURSE CONFERENCE REGISTRAT</v>
      </c>
      <c r="G684" s="3">
        <v>395</v>
      </c>
      <c r="H684" t="str">
        <f>"REIMBURSE CONFERENCE REGISTRAT"</f>
        <v>REIMBURSE CONFERENCE REGISTRAT</v>
      </c>
    </row>
    <row r="685" spans="1:8" x14ac:dyDescent="0.25">
      <c r="E685" t="str">
        <f>"202108315413"</f>
        <v>202108315413</v>
      </c>
      <c r="F685" t="str">
        <f>"TRAVEL ADVANCE-LODGING/PER DIE"</f>
        <v>TRAVEL ADVANCE-LODGING/PER DIE</v>
      </c>
      <c r="G685" s="3">
        <v>90</v>
      </c>
      <c r="H685" t="str">
        <f>"TRAVEL ADVANCE-LODGING/PER DIE"</f>
        <v>TRAVEL ADVANCE-LODGING/PER DIE</v>
      </c>
    </row>
    <row r="686" spans="1:8" x14ac:dyDescent="0.25">
      <c r="E686" t="str">
        <f>"202109065514"</f>
        <v>202109065514</v>
      </c>
      <c r="F686" t="str">
        <f>"CAUSE NO. 19-19864"</f>
        <v>CAUSE NO. 19-19864</v>
      </c>
      <c r="G686" s="3">
        <v>85</v>
      </c>
      <c r="H686" t="str">
        <f>"CAUSE NO. 19-19864"</f>
        <v>CAUSE NO. 19-19864</v>
      </c>
    </row>
    <row r="687" spans="1:8" x14ac:dyDescent="0.25">
      <c r="A687" t="s">
        <v>158</v>
      </c>
      <c r="B687">
        <v>5135</v>
      </c>
      <c r="C687" s="3">
        <v>16304</v>
      </c>
      <c r="D687" s="4">
        <v>44467</v>
      </c>
      <c r="E687" t="str">
        <f>"15092100"</f>
        <v>15092100</v>
      </c>
      <c r="F687" t="str">
        <f>"CUSR NO.8-701"</f>
        <v>CUSR NO.8-701</v>
      </c>
      <c r="G687" s="3">
        <v>16304</v>
      </c>
      <c r="H687" t="str">
        <f>"CUSR NO.8-701"</f>
        <v>CUSR NO.8-701</v>
      </c>
    </row>
    <row r="688" spans="1:8" x14ac:dyDescent="0.25">
      <c r="A688" t="s">
        <v>159</v>
      </c>
      <c r="B688">
        <v>5053</v>
      </c>
      <c r="C688" s="3">
        <v>650</v>
      </c>
      <c r="D688" s="4">
        <v>44453</v>
      </c>
      <c r="E688" t="str">
        <f>"202109075600"</f>
        <v>202109075600</v>
      </c>
      <c r="F688" t="str">
        <f>"BASCOM L HODGES JR"</f>
        <v>BASCOM L HODGES JR</v>
      </c>
      <c r="G688" s="3">
        <v>650</v>
      </c>
      <c r="H688" t="str">
        <f>""</f>
        <v/>
      </c>
    </row>
    <row r="689" spans="1:8" x14ac:dyDescent="0.25">
      <c r="A689" t="s">
        <v>160</v>
      </c>
      <c r="B689">
        <v>136916</v>
      </c>
      <c r="C689" s="3">
        <v>625</v>
      </c>
      <c r="D689" s="4">
        <v>44452</v>
      </c>
      <c r="E689" t="str">
        <f>"202108265364"</f>
        <v>202108265364</v>
      </c>
      <c r="F689" t="str">
        <f>"04-8963"</f>
        <v>04-8963</v>
      </c>
      <c r="G689" s="3">
        <v>100</v>
      </c>
      <c r="H689" t="str">
        <f>"04-8963"</f>
        <v>04-8963</v>
      </c>
    </row>
    <row r="690" spans="1:8" x14ac:dyDescent="0.25">
      <c r="E690" t="str">
        <f>"202108265365"</f>
        <v>202108265365</v>
      </c>
      <c r="F690" t="str">
        <f>"07-11417"</f>
        <v>07-11417</v>
      </c>
      <c r="G690" s="3">
        <v>100</v>
      </c>
      <c r="H690" t="str">
        <f>"07-11417"</f>
        <v>07-11417</v>
      </c>
    </row>
    <row r="691" spans="1:8" x14ac:dyDescent="0.25">
      <c r="E691" t="str">
        <f>"202109075569"</f>
        <v>202109075569</v>
      </c>
      <c r="F691" t="str">
        <f>"20-20415"</f>
        <v>20-20415</v>
      </c>
      <c r="G691" s="3">
        <v>175</v>
      </c>
      <c r="H691" t="str">
        <f>"20-20415"</f>
        <v>20-20415</v>
      </c>
    </row>
    <row r="692" spans="1:8" x14ac:dyDescent="0.25">
      <c r="E692" t="str">
        <f>"202109075570"</f>
        <v>202109075570</v>
      </c>
      <c r="F692" t="str">
        <f>"57-863"</f>
        <v>57-863</v>
      </c>
      <c r="G692" s="3">
        <v>250</v>
      </c>
      <c r="H692" t="str">
        <f>"57-863"</f>
        <v>57-863</v>
      </c>
    </row>
    <row r="693" spans="1:8" x14ac:dyDescent="0.25">
      <c r="A693" t="s">
        <v>161</v>
      </c>
      <c r="B693">
        <v>137096</v>
      </c>
      <c r="C693" s="3">
        <v>90</v>
      </c>
      <c r="D693" s="4">
        <v>44466</v>
      </c>
      <c r="E693" t="str">
        <f>"202109215884"</f>
        <v>202109215884</v>
      </c>
      <c r="F693" t="str">
        <f>"PER DIEM"</f>
        <v>PER DIEM</v>
      </c>
      <c r="G693" s="3">
        <v>90</v>
      </c>
      <c r="H693" t="str">
        <f>"PER DIEM"</f>
        <v>PER DIEM</v>
      </c>
    </row>
    <row r="694" spans="1:8" x14ac:dyDescent="0.25">
      <c r="A694" t="s">
        <v>162</v>
      </c>
      <c r="B694">
        <v>5052</v>
      </c>
      <c r="C694" s="3">
        <v>46.43</v>
      </c>
      <c r="D694" s="4">
        <v>44453</v>
      </c>
      <c r="E694" t="str">
        <f>"PIM60067286"</f>
        <v>PIM60067286</v>
      </c>
      <c r="F694" t="str">
        <f>"CUST#0129050/PCT#1"</f>
        <v>CUST#0129050/PCT#1</v>
      </c>
      <c r="G694" s="3">
        <v>46.43</v>
      </c>
      <c r="H694" t="str">
        <f>"CUST#0129050/PCT#1"</f>
        <v>CUST#0129050/PCT#1</v>
      </c>
    </row>
    <row r="695" spans="1:8" x14ac:dyDescent="0.25">
      <c r="A695" t="s">
        <v>163</v>
      </c>
      <c r="B695">
        <v>137097</v>
      </c>
      <c r="C695" s="3">
        <v>2119.84</v>
      </c>
      <c r="D695" s="4">
        <v>44466</v>
      </c>
      <c r="E695" t="str">
        <f>"202109155725"</f>
        <v>202109155725</v>
      </c>
      <c r="F695" t="str">
        <f>"Statement"</f>
        <v>Statement</v>
      </c>
      <c r="G695" s="3">
        <v>64.33</v>
      </c>
      <c r="H695" t="str">
        <f>"7511149"</f>
        <v>7511149</v>
      </c>
    </row>
    <row r="696" spans="1:8" x14ac:dyDescent="0.25">
      <c r="E696" t="str">
        <f>""</f>
        <v/>
      </c>
      <c r="F696" t="str">
        <f>""</f>
        <v/>
      </c>
      <c r="G696" s="3">
        <v>40.86</v>
      </c>
      <c r="H696" t="str">
        <f>"7515297"</f>
        <v>7515297</v>
      </c>
    </row>
    <row r="697" spans="1:8" x14ac:dyDescent="0.25">
      <c r="E697" t="str">
        <f>""</f>
        <v/>
      </c>
      <c r="F697" t="str">
        <f>""</f>
        <v/>
      </c>
      <c r="G697" s="3">
        <v>51.52</v>
      </c>
      <c r="H697" t="str">
        <f>"3022772"</f>
        <v>3022772</v>
      </c>
    </row>
    <row r="698" spans="1:8" x14ac:dyDescent="0.25">
      <c r="E698" t="str">
        <f>""</f>
        <v/>
      </c>
      <c r="F698" t="str">
        <f>""</f>
        <v/>
      </c>
      <c r="G698" s="3">
        <v>39.03</v>
      </c>
      <c r="H698" t="str">
        <f>"4010209"</f>
        <v>4010209</v>
      </c>
    </row>
    <row r="699" spans="1:8" x14ac:dyDescent="0.25">
      <c r="E699" t="str">
        <f>""</f>
        <v/>
      </c>
      <c r="F699" t="str">
        <f>""</f>
        <v/>
      </c>
      <c r="G699" s="3">
        <v>50.31</v>
      </c>
      <c r="H699" t="str">
        <f>"1011184"</f>
        <v>1011184</v>
      </c>
    </row>
    <row r="700" spans="1:8" x14ac:dyDescent="0.25">
      <c r="E700" t="str">
        <f>""</f>
        <v/>
      </c>
      <c r="F700" t="str">
        <f>""</f>
        <v/>
      </c>
      <c r="G700" s="3">
        <v>367.54</v>
      </c>
      <c r="H700" t="str">
        <f>"1151467"</f>
        <v>1151467</v>
      </c>
    </row>
    <row r="701" spans="1:8" x14ac:dyDescent="0.25">
      <c r="E701" t="str">
        <f>""</f>
        <v/>
      </c>
      <c r="F701" t="str">
        <f>""</f>
        <v/>
      </c>
      <c r="G701" s="3">
        <v>-25.73</v>
      </c>
      <c r="H701" t="str">
        <f>"1092002"</f>
        <v>1092002</v>
      </c>
    </row>
    <row r="702" spans="1:8" x14ac:dyDescent="0.25">
      <c r="E702" t="str">
        <f>""</f>
        <v/>
      </c>
      <c r="F702" t="str">
        <f>""</f>
        <v/>
      </c>
      <c r="G702" s="3">
        <v>179</v>
      </c>
      <c r="H702" t="str">
        <f>"8512632"</f>
        <v>8512632</v>
      </c>
    </row>
    <row r="703" spans="1:8" x14ac:dyDescent="0.25">
      <c r="E703" t="str">
        <f>""</f>
        <v/>
      </c>
      <c r="F703" t="str">
        <f>""</f>
        <v/>
      </c>
      <c r="G703" s="3">
        <v>139</v>
      </c>
      <c r="H703" t="str">
        <f>"4151550"</f>
        <v>4151550</v>
      </c>
    </row>
    <row r="704" spans="1:8" x14ac:dyDescent="0.25">
      <c r="E704" t="str">
        <f>""</f>
        <v/>
      </c>
      <c r="F704" t="str">
        <f>""</f>
        <v/>
      </c>
      <c r="G704" s="3">
        <v>-179</v>
      </c>
      <c r="H704" t="str">
        <f>"4151549"</f>
        <v>4151549</v>
      </c>
    </row>
    <row r="705" spans="5:8" x14ac:dyDescent="0.25">
      <c r="E705" t="str">
        <f>""</f>
        <v/>
      </c>
      <c r="F705" t="str">
        <f>""</f>
        <v/>
      </c>
      <c r="G705" s="3">
        <v>50.49</v>
      </c>
      <c r="H705" t="str">
        <f>"2041254"</f>
        <v>2041254</v>
      </c>
    </row>
    <row r="706" spans="5:8" x14ac:dyDescent="0.25">
      <c r="E706" t="str">
        <f>""</f>
        <v/>
      </c>
      <c r="F706" t="str">
        <f>""</f>
        <v/>
      </c>
      <c r="G706" s="3">
        <v>9.27</v>
      </c>
      <c r="H706" t="str">
        <f>"1023789"</f>
        <v>1023789</v>
      </c>
    </row>
    <row r="707" spans="5:8" x14ac:dyDescent="0.25">
      <c r="E707" t="str">
        <f>""</f>
        <v/>
      </c>
      <c r="F707" t="str">
        <f>""</f>
        <v/>
      </c>
      <c r="G707" s="3">
        <v>165.76</v>
      </c>
      <c r="H707" t="str">
        <f>"4140259"</f>
        <v>4140259</v>
      </c>
    </row>
    <row r="708" spans="5:8" x14ac:dyDescent="0.25">
      <c r="E708" t="str">
        <f>""</f>
        <v/>
      </c>
      <c r="F708" t="str">
        <f>""</f>
        <v/>
      </c>
      <c r="G708" s="3">
        <v>89.98</v>
      </c>
      <c r="H708" t="str">
        <f>"2040713"</f>
        <v>2040713</v>
      </c>
    </row>
    <row r="709" spans="5:8" x14ac:dyDescent="0.25">
      <c r="E709" t="str">
        <f>""</f>
        <v/>
      </c>
      <c r="F709" t="str">
        <f>""</f>
        <v/>
      </c>
      <c r="G709" s="3">
        <v>144.29</v>
      </c>
      <c r="H709" t="str">
        <f>"5531149"</f>
        <v>5531149</v>
      </c>
    </row>
    <row r="710" spans="5:8" x14ac:dyDescent="0.25">
      <c r="E710" t="str">
        <f>""</f>
        <v/>
      </c>
      <c r="F710" t="str">
        <f>""</f>
        <v/>
      </c>
      <c r="G710" s="3">
        <v>259.26</v>
      </c>
      <c r="H710" t="str">
        <f>"2013414"</f>
        <v>2013414</v>
      </c>
    </row>
    <row r="711" spans="5:8" x14ac:dyDescent="0.25">
      <c r="E711" t="str">
        <f>""</f>
        <v/>
      </c>
      <c r="F711" t="str">
        <f>""</f>
        <v/>
      </c>
      <c r="G711" s="3">
        <v>126.82</v>
      </c>
      <c r="H711" t="str">
        <f>"2534085"</f>
        <v>2534085</v>
      </c>
    </row>
    <row r="712" spans="5:8" x14ac:dyDescent="0.25">
      <c r="E712" t="str">
        <f>""</f>
        <v/>
      </c>
      <c r="F712" t="str">
        <f>""</f>
        <v/>
      </c>
      <c r="G712" s="3">
        <v>6.48</v>
      </c>
      <c r="H712" t="str">
        <f>"8041048"</f>
        <v>8041048</v>
      </c>
    </row>
    <row r="713" spans="5:8" x14ac:dyDescent="0.25">
      <c r="E713" t="str">
        <f>""</f>
        <v/>
      </c>
      <c r="F713" t="str">
        <f>""</f>
        <v/>
      </c>
      <c r="G713" s="3">
        <v>388.49</v>
      </c>
      <c r="H713" t="str">
        <f>"8021421"</f>
        <v>8021421</v>
      </c>
    </row>
    <row r="714" spans="5:8" x14ac:dyDescent="0.25">
      <c r="E714" t="str">
        <f>""</f>
        <v/>
      </c>
      <c r="F714" t="str">
        <f>""</f>
        <v/>
      </c>
      <c r="G714" s="3">
        <v>-388.49</v>
      </c>
      <c r="H714" t="str">
        <f>"8101158"</f>
        <v>8101158</v>
      </c>
    </row>
    <row r="715" spans="5:8" x14ac:dyDescent="0.25">
      <c r="E715" t="str">
        <f>""</f>
        <v/>
      </c>
      <c r="F715" t="str">
        <f>""</f>
        <v/>
      </c>
      <c r="G715" s="3">
        <v>384.13</v>
      </c>
      <c r="H715" t="str">
        <f>"8101159"</f>
        <v>8101159</v>
      </c>
    </row>
    <row r="716" spans="5:8" x14ac:dyDescent="0.25">
      <c r="E716" t="str">
        <f>""</f>
        <v/>
      </c>
      <c r="F716" t="str">
        <f>""</f>
        <v/>
      </c>
      <c r="G716" s="3">
        <v>63.32</v>
      </c>
      <c r="H716" t="str">
        <f>"2521577"</f>
        <v>2521577</v>
      </c>
    </row>
    <row r="717" spans="5:8" x14ac:dyDescent="0.25">
      <c r="E717" t="str">
        <f>""</f>
        <v/>
      </c>
      <c r="F717" t="str">
        <f>""</f>
        <v/>
      </c>
      <c r="G717" s="3">
        <v>37.9</v>
      </c>
      <c r="H717" t="str">
        <f>"6522189"</f>
        <v>6522189</v>
      </c>
    </row>
    <row r="718" spans="5:8" x14ac:dyDescent="0.25">
      <c r="E718" t="str">
        <f>""</f>
        <v/>
      </c>
      <c r="F718" t="str">
        <f>""</f>
        <v/>
      </c>
      <c r="G718" s="3">
        <v>-6.97</v>
      </c>
      <c r="H718" t="str">
        <f>"90263"</f>
        <v>90263</v>
      </c>
    </row>
    <row r="719" spans="5:8" x14ac:dyDescent="0.25">
      <c r="E719" t="str">
        <f>""</f>
        <v/>
      </c>
      <c r="F719" t="str">
        <f>""</f>
        <v/>
      </c>
      <c r="G719" s="3">
        <v>27.76</v>
      </c>
      <c r="H719" t="str">
        <f>"7541945"</f>
        <v>7541945</v>
      </c>
    </row>
    <row r="720" spans="5:8" x14ac:dyDescent="0.25">
      <c r="E720" t="str">
        <f>""</f>
        <v/>
      </c>
      <c r="F720" t="str">
        <f>""</f>
        <v/>
      </c>
      <c r="G720" s="3">
        <v>13.26</v>
      </c>
      <c r="H720" t="str">
        <f>"524030"</f>
        <v>524030</v>
      </c>
    </row>
    <row r="721" spans="1:8" x14ac:dyDescent="0.25">
      <c r="E721" t="str">
        <f>""</f>
        <v/>
      </c>
      <c r="F721" t="str">
        <f>""</f>
        <v/>
      </c>
      <c r="G721" s="3">
        <v>21.23</v>
      </c>
      <c r="H721" t="str">
        <f>"9011326"</f>
        <v>9011326</v>
      </c>
    </row>
    <row r="722" spans="1:8" x14ac:dyDescent="0.25">
      <c r="A722" t="s">
        <v>164</v>
      </c>
      <c r="B722">
        <v>5041</v>
      </c>
      <c r="C722" s="3">
        <v>305</v>
      </c>
      <c r="D722" s="4">
        <v>44453</v>
      </c>
      <c r="E722" t="str">
        <f>"0552272933"</f>
        <v>0552272933</v>
      </c>
      <c r="F722" t="str">
        <f>"CUST#212645"</f>
        <v>CUST#212645</v>
      </c>
      <c r="G722" s="3">
        <v>90</v>
      </c>
      <c r="H722" t="str">
        <f>"CUST#212645"</f>
        <v>CUST#212645</v>
      </c>
    </row>
    <row r="723" spans="1:8" x14ac:dyDescent="0.25">
      <c r="E723" t="str">
        <f>"0552276006"</f>
        <v>0552276006</v>
      </c>
      <c r="F723" t="str">
        <f>"CUST#212645"</f>
        <v>CUST#212645</v>
      </c>
      <c r="G723" s="3">
        <v>215</v>
      </c>
      <c r="H723" t="str">
        <f>"CUST#212645"</f>
        <v>CUST#212645</v>
      </c>
    </row>
    <row r="724" spans="1:8" x14ac:dyDescent="0.25">
      <c r="A724" t="s">
        <v>164</v>
      </c>
      <c r="B724">
        <v>5136</v>
      </c>
      <c r="C724" s="3">
        <v>305</v>
      </c>
      <c r="D724" s="4">
        <v>44467</v>
      </c>
      <c r="E724" t="str">
        <f>"055236937"</f>
        <v>055236937</v>
      </c>
      <c r="F724" t="str">
        <f>"CUST#212645-0001/TRANSFER STN"</f>
        <v>CUST#212645-0001/TRANSFER STN</v>
      </c>
      <c r="G724" s="3">
        <v>90</v>
      </c>
      <c r="H724" t="str">
        <f>"CUST#212645-0001/TRANSFER STN"</f>
        <v>CUST#212645-0001/TRANSFER STN</v>
      </c>
    </row>
    <row r="725" spans="1:8" x14ac:dyDescent="0.25">
      <c r="E725" t="str">
        <f>"055239603"</f>
        <v>055239603</v>
      </c>
      <c r="F725" t="str">
        <f>"CUST#212645/RIVERSIDE LAUNCH"</f>
        <v>CUST#212645/RIVERSIDE LAUNCH</v>
      </c>
      <c r="G725" s="3">
        <v>215</v>
      </c>
      <c r="H725" t="str">
        <f>"CUST#212645/RIVERSIDE LAUNCH"</f>
        <v>CUST#212645/RIVERSIDE LAUNCH</v>
      </c>
    </row>
    <row r="726" spans="1:8" x14ac:dyDescent="0.25">
      <c r="A726" t="s">
        <v>165</v>
      </c>
      <c r="B726">
        <v>137098</v>
      </c>
      <c r="C726" s="3">
        <v>2445</v>
      </c>
      <c r="D726" s="4">
        <v>44466</v>
      </c>
      <c r="E726" t="str">
        <f>"2715"</f>
        <v>2715</v>
      </c>
      <c r="F726" t="str">
        <f>"MINI MICROCHIPS/ANIMAL SHELTER"</f>
        <v>MINI MICROCHIPS/ANIMAL SHELTER</v>
      </c>
      <c r="G726" s="3">
        <v>2445</v>
      </c>
      <c r="H726" t="str">
        <f>"MINI MICROCHIPS/ANIMAL SHELTER"</f>
        <v>MINI MICROCHIPS/ANIMAL SHELTER</v>
      </c>
    </row>
    <row r="727" spans="1:8" x14ac:dyDescent="0.25">
      <c r="A727" t="s">
        <v>166</v>
      </c>
      <c r="B727">
        <v>136917</v>
      </c>
      <c r="C727" s="3">
        <v>1680</v>
      </c>
      <c r="D727" s="4">
        <v>44452</v>
      </c>
      <c r="E727" t="str">
        <f>"WI-33164-W3Z0"</f>
        <v>WI-33164-W3Z0</v>
      </c>
      <c r="F727" t="str">
        <f>"INV WI-33164-W3Z0"</f>
        <v>INV WI-33164-W3Z0</v>
      </c>
      <c r="G727" s="3">
        <v>1680</v>
      </c>
      <c r="H727" t="str">
        <f>"INV WI-33164-W3Z0"</f>
        <v>INV WI-33164-W3Z0</v>
      </c>
    </row>
    <row r="728" spans="1:8" x14ac:dyDescent="0.25">
      <c r="A728" t="s">
        <v>167</v>
      </c>
      <c r="B728">
        <v>5019</v>
      </c>
      <c r="C728" s="3">
        <v>798.34</v>
      </c>
      <c r="D728" s="4">
        <v>44453</v>
      </c>
      <c r="E728" t="str">
        <f>"207766"</f>
        <v>207766</v>
      </c>
      <c r="F728" t="str">
        <f>"SUPPLIES/PCT#1"</f>
        <v>SUPPLIES/PCT#1</v>
      </c>
      <c r="G728" s="3">
        <v>274.91000000000003</v>
      </c>
      <c r="H728" t="str">
        <f>"SUPPLIES/PCT#1"</f>
        <v>SUPPLIES/PCT#1</v>
      </c>
    </row>
    <row r="729" spans="1:8" x14ac:dyDescent="0.25">
      <c r="E729" t="str">
        <f>"207827"</f>
        <v>207827</v>
      </c>
      <c r="F729" t="str">
        <f>"SUPPLIES/OEM"</f>
        <v>SUPPLIES/OEM</v>
      </c>
      <c r="G729" s="3">
        <v>340.89</v>
      </c>
      <c r="H729" t="str">
        <f>"SUPPLIES/OEM"</f>
        <v>SUPPLIES/OEM</v>
      </c>
    </row>
    <row r="730" spans="1:8" x14ac:dyDescent="0.25">
      <c r="E730" t="str">
        <f>"207847"</f>
        <v>207847</v>
      </c>
      <c r="F730" t="str">
        <f>"SUPPLIES/PCT#3"</f>
        <v>SUPPLIES/PCT#3</v>
      </c>
      <c r="G730" s="3">
        <v>91.04</v>
      </c>
      <c r="H730" t="str">
        <f>"SUPPLIES/PCT#3"</f>
        <v>SUPPLIES/PCT#3</v>
      </c>
    </row>
    <row r="731" spans="1:8" x14ac:dyDescent="0.25">
      <c r="E731" t="str">
        <f>"207877"</f>
        <v>207877</v>
      </c>
      <c r="F731" t="str">
        <f>"SUPPLIES/PCT#3"</f>
        <v>SUPPLIES/PCT#3</v>
      </c>
      <c r="G731" s="3">
        <v>91.5</v>
      </c>
      <c r="H731" t="str">
        <f>"SUPPLIES/PCT#3"</f>
        <v>SUPPLIES/PCT#3</v>
      </c>
    </row>
    <row r="732" spans="1:8" x14ac:dyDescent="0.25">
      <c r="A732" t="s">
        <v>168</v>
      </c>
      <c r="B732">
        <v>136918</v>
      </c>
      <c r="C732" s="3">
        <v>807.33</v>
      </c>
      <c r="D732" s="4">
        <v>44452</v>
      </c>
      <c r="E732" t="str">
        <f>"202109085634"</f>
        <v>202109085634</v>
      </c>
      <c r="F732" t="str">
        <f>"ACCT#187947/ANIMAL SHELTER"</f>
        <v>ACCT#187947/ANIMAL SHELTER</v>
      </c>
      <c r="G732" s="3">
        <v>612</v>
      </c>
      <c r="H732" t="str">
        <f>"ACCT#187947/ANIMAL SHELTER"</f>
        <v>ACCT#187947/ANIMAL SHELTER</v>
      </c>
    </row>
    <row r="733" spans="1:8" x14ac:dyDescent="0.25">
      <c r="E733" t="str">
        <f>""</f>
        <v/>
      </c>
      <c r="F733" t="str">
        <f>""</f>
        <v/>
      </c>
      <c r="G733" s="3">
        <v>195.33</v>
      </c>
      <c r="H733" t="str">
        <f>"ACCT#187947/ANIMAL SHELTER"</f>
        <v>ACCT#187947/ANIMAL SHELTER</v>
      </c>
    </row>
    <row r="734" spans="1:8" x14ac:dyDescent="0.25">
      <c r="A734" t="s">
        <v>169</v>
      </c>
      <c r="B734">
        <v>5151</v>
      </c>
      <c r="C734" s="3">
        <v>2430</v>
      </c>
      <c r="D734" s="4">
        <v>44467</v>
      </c>
      <c r="E734" t="str">
        <f>"72295"</f>
        <v>72295</v>
      </c>
      <c r="F734" t="str">
        <f>"PROFESSIONAL SVCS/OCTOBER"</f>
        <v>PROFESSIONAL SVCS/OCTOBER</v>
      </c>
      <c r="G734" s="3">
        <v>973</v>
      </c>
      <c r="H734" t="str">
        <f>"PROFESSIONAL SVCS/OCTOBER"</f>
        <v>PROFESSIONAL SVCS/OCTOBER</v>
      </c>
    </row>
    <row r="735" spans="1:8" x14ac:dyDescent="0.25">
      <c r="E735" t="str">
        <f>""</f>
        <v/>
      </c>
      <c r="F735" t="str">
        <f>""</f>
        <v/>
      </c>
      <c r="G735" s="3">
        <v>1457</v>
      </c>
      <c r="H735" t="str">
        <f>"PROFESSIONAL SVCS/OCTOBER"</f>
        <v>PROFESSIONAL SVCS/OCTOBER</v>
      </c>
    </row>
    <row r="736" spans="1:8" x14ac:dyDescent="0.25">
      <c r="A736" t="s">
        <v>170</v>
      </c>
      <c r="B736">
        <v>136919</v>
      </c>
      <c r="C736" s="3">
        <v>485.94</v>
      </c>
      <c r="D736" s="4">
        <v>44452</v>
      </c>
      <c r="E736" t="str">
        <f>"202109065534"</f>
        <v>202109065534</v>
      </c>
      <c r="F736" t="str">
        <f>"Canopy"</f>
        <v>Canopy</v>
      </c>
      <c r="G736" s="3">
        <v>636</v>
      </c>
      <c r="H736" t="str">
        <f>"Canopy"</f>
        <v>Canopy</v>
      </c>
    </row>
    <row r="737" spans="1:8" x14ac:dyDescent="0.25">
      <c r="E737" t="str">
        <f>""</f>
        <v/>
      </c>
      <c r="F737" t="str">
        <f>""</f>
        <v/>
      </c>
      <c r="G737" s="3">
        <v>-190.8</v>
      </c>
      <c r="H737" t="str">
        <f>"Discount"</f>
        <v>Discount</v>
      </c>
    </row>
    <row r="738" spans="1:8" x14ac:dyDescent="0.25">
      <c r="E738" t="str">
        <f>""</f>
        <v/>
      </c>
      <c r="F738" t="str">
        <f>""</f>
        <v/>
      </c>
      <c r="G738" s="3">
        <v>40.74</v>
      </c>
      <c r="H738" t="str">
        <f>"Shipping"</f>
        <v>Shipping</v>
      </c>
    </row>
    <row r="739" spans="1:8" x14ac:dyDescent="0.25">
      <c r="A739" t="s">
        <v>171</v>
      </c>
      <c r="B739">
        <v>136920</v>
      </c>
      <c r="C739" s="3">
        <v>171.04</v>
      </c>
      <c r="D739" s="4">
        <v>44452</v>
      </c>
      <c r="E739" t="str">
        <f>"DWMS993"</f>
        <v>DWMS993</v>
      </c>
      <c r="F739" t="str">
        <f>"CUST ID AX773/COUNTY CLERK"</f>
        <v>CUST ID AX773/COUNTY CLERK</v>
      </c>
      <c r="G739" s="3">
        <v>171.04</v>
      </c>
      <c r="H739" t="str">
        <f>"CUST ID AX773/COUNTY CLERK"</f>
        <v>CUST ID AX773/COUNTY CLERK</v>
      </c>
    </row>
    <row r="740" spans="1:8" x14ac:dyDescent="0.25">
      <c r="A740" t="s">
        <v>172</v>
      </c>
      <c r="B740">
        <v>137099</v>
      </c>
      <c r="C740" s="3">
        <v>1196.78</v>
      </c>
      <c r="D740" s="4">
        <v>44466</v>
      </c>
      <c r="E740" t="str">
        <f>"0553024"</f>
        <v>0553024</v>
      </c>
      <c r="F740" t="str">
        <f>"INV 0553024"</f>
        <v>INV 0553024</v>
      </c>
      <c r="G740" s="3">
        <v>1008.78</v>
      </c>
      <c r="H740" t="str">
        <f>"INV 0553024"</f>
        <v>INV 0553024</v>
      </c>
    </row>
    <row r="741" spans="1:8" x14ac:dyDescent="0.25">
      <c r="E741" t="str">
        <f>"0565098"</f>
        <v>0565098</v>
      </c>
      <c r="F741" t="str">
        <f>"ACCT#97482/PCT#2"</f>
        <v>ACCT#97482/PCT#2</v>
      </c>
      <c r="G741" s="3">
        <v>188</v>
      </c>
      <c r="H741" t="str">
        <f>"ACCT#97482/PCT#2"</f>
        <v>ACCT#97482/PCT#2</v>
      </c>
    </row>
    <row r="742" spans="1:8" x14ac:dyDescent="0.25">
      <c r="A742" t="s">
        <v>173</v>
      </c>
      <c r="B742">
        <v>5123</v>
      </c>
      <c r="C742" s="3">
        <v>1405.35</v>
      </c>
      <c r="D742" s="4">
        <v>44467</v>
      </c>
      <c r="E742" t="str">
        <f>"202109155697"</f>
        <v>202109155697</v>
      </c>
      <c r="F742" t="str">
        <f>"CASE NO.8701"</f>
        <v>CASE NO.8701</v>
      </c>
      <c r="G742" s="3">
        <v>762.33</v>
      </c>
      <c r="H742" t="str">
        <f>"CASE NO.8701"</f>
        <v>CASE NO.8701</v>
      </c>
    </row>
    <row r="743" spans="1:8" x14ac:dyDescent="0.25">
      <c r="E743" t="str">
        <f>"202109155698"</f>
        <v>202109155698</v>
      </c>
      <c r="F743" t="str">
        <f>"CASE NO.8701"</f>
        <v>CASE NO.8701</v>
      </c>
      <c r="G743" s="3">
        <v>643.02</v>
      </c>
      <c r="H743" t="str">
        <f>"CASE NO.8701"</f>
        <v>CASE NO.8701</v>
      </c>
    </row>
    <row r="744" spans="1:8" x14ac:dyDescent="0.25">
      <c r="A744" t="s">
        <v>174</v>
      </c>
      <c r="B744">
        <v>136921</v>
      </c>
      <c r="C744" s="3">
        <v>12.5</v>
      </c>
      <c r="D744" s="4">
        <v>44452</v>
      </c>
      <c r="E744" t="str">
        <f>"202109075595"</f>
        <v>202109075595</v>
      </c>
      <c r="F744" t="str">
        <f>"REIMBURSEMENT"</f>
        <v>REIMBURSEMENT</v>
      </c>
      <c r="G744" s="3">
        <v>12.5</v>
      </c>
      <c r="H744" t="str">
        <f>"REIMBURSEMENT"</f>
        <v>REIMBURSEMENT</v>
      </c>
    </row>
    <row r="745" spans="1:8" x14ac:dyDescent="0.25">
      <c r="A745" t="s">
        <v>175</v>
      </c>
      <c r="B745">
        <v>137100</v>
      </c>
      <c r="C745" s="3">
        <v>41.76</v>
      </c>
      <c r="D745" s="4">
        <v>44466</v>
      </c>
      <c r="E745" t="str">
        <f>"202109205813"</f>
        <v>202109205813</v>
      </c>
      <c r="F745" t="str">
        <f>"MILEAGE/9/15/2021"</f>
        <v>MILEAGE/9/15/2021</v>
      </c>
      <c r="G745" s="3">
        <v>41.76</v>
      </c>
      <c r="H745" t="str">
        <f>"MILEAGE/9/15/2021"</f>
        <v>MILEAGE/9/15/2021</v>
      </c>
    </row>
    <row r="746" spans="1:8" x14ac:dyDescent="0.25">
      <c r="A746" t="s">
        <v>176</v>
      </c>
      <c r="B746">
        <v>136922</v>
      </c>
      <c r="C746" s="3">
        <v>104</v>
      </c>
      <c r="D746" s="4">
        <v>44452</v>
      </c>
      <c r="E746" t="str">
        <f>"202108265318"</f>
        <v>202108265318</v>
      </c>
      <c r="F746" t="str">
        <f>"REIMBURSE/JAYCEE DAWSON"</f>
        <v>REIMBURSE/JAYCEE DAWSON</v>
      </c>
      <c r="G746" s="3">
        <v>104</v>
      </c>
      <c r="H746" t="str">
        <f>"REIMBURSE/JAYCEE DAWSON"</f>
        <v>REIMBURSE/JAYCEE DAWSON</v>
      </c>
    </row>
    <row r="747" spans="1:8" x14ac:dyDescent="0.25">
      <c r="A747" t="s">
        <v>177</v>
      </c>
      <c r="B747">
        <v>5070</v>
      </c>
      <c r="C747" s="3">
        <v>2302.2199999999998</v>
      </c>
      <c r="D747" s="4">
        <v>44453</v>
      </c>
      <c r="E747" t="str">
        <f>"13186"</f>
        <v>13186</v>
      </c>
      <c r="F747" t="str">
        <f>"AD LITEM FEE/PARTIAL"</f>
        <v>AD LITEM FEE/PARTIAL</v>
      </c>
      <c r="G747" s="3">
        <v>52.22</v>
      </c>
      <c r="H747" t="str">
        <f>"AD LITEM FEE/PARTIAL"</f>
        <v>AD LITEM FEE/PARTIAL</v>
      </c>
    </row>
    <row r="748" spans="1:8" x14ac:dyDescent="0.25">
      <c r="E748" t="str">
        <f>"202108265363"</f>
        <v>202108265363</v>
      </c>
      <c r="F748" t="str">
        <f>"423-7832"</f>
        <v>423-7832</v>
      </c>
      <c r="G748" s="3">
        <v>1200</v>
      </c>
      <c r="H748" t="str">
        <f>"423-7832"</f>
        <v>423-7832</v>
      </c>
    </row>
    <row r="749" spans="1:8" x14ac:dyDescent="0.25">
      <c r="E749" t="str">
        <f>"202108275388"</f>
        <v>202108275388</v>
      </c>
      <c r="F749" t="str">
        <f>"57208"</f>
        <v>57208</v>
      </c>
      <c r="G749" s="3">
        <v>250</v>
      </c>
      <c r="H749" t="str">
        <f>"57208"</f>
        <v>57208</v>
      </c>
    </row>
    <row r="750" spans="1:8" x14ac:dyDescent="0.25">
      <c r="E750" t="str">
        <f>"202109065512"</f>
        <v>202109065512</v>
      </c>
      <c r="F750" t="str">
        <f>"57-772"</f>
        <v>57-772</v>
      </c>
      <c r="G750" s="3">
        <v>250</v>
      </c>
      <c r="H750" t="str">
        <f>"57-772"</f>
        <v>57-772</v>
      </c>
    </row>
    <row r="751" spans="1:8" x14ac:dyDescent="0.25">
      <c r="E751" t="str">
        <f>"202109065513"</f>
        <v>202109065513</v>
      </c>
      <c r="F751" t="str">
        <f>"57-437"</f>
        <v>57-437</v>
      </c>
      <c r="G751" s="3">
        <v>250</v>
      </c>
      <c r="H751" t="str">
        <f>"57-437"</f>
        <v>57-437</v>
      </c>
    </row>
    <row r="752" spans="1:8" x14ac:dyDescent="0.25">
      <c r="E752" t="str">
        <f>"202109075557"</f>
        <v>202109075557</v>
      </c>
      <c r="F752" t="str">
        <f>"20-20215"</f>
        <v>20-20215</v>
      </c>
      <c r="G752" s="3">
        <v>100</v>
      </c>
      <c r="H752" t="str">
        <f>"20-20215"</f>
        <v>20-20215</v>
      </c>
    </row>
    <row r="753" spans="1:8" x14ac:dyDescent="0.25">
      <c r="E753" t="str">
        <f>"202109075558"</f>
        <v>202109075558</v>
      </c>
      <c r="F753" t="str">
        <f>"20-20372"</f>
        <v>20-20372</v>
      </c>
      <c r="G753" s="3">
        <v>100</v>
      </c>
      <c r="H753" t="str">
        <f>"20-20372"</f>
        <v>20-20372</v>
      </c>
    </row>
    <row r="754" spans="1:8" x14ac:dyDescent="0.25">
      <c r="E754" t="str">
        <f>"202109085612"</f>
        <v>202109085612</v>
      </c>
      <c r="F754" t="str">
        <f>"21-20881"</f>
        <v>21-20881</v>
      </c>
      <c r="G754" s="3">
        <v>100</v>
      </c>
      <c r="H754" t="str">
        <f>"21-20881"</f>
        <v>21-20881</v>
      </c>
    </row>
    <row r="755" spans="1:8" x14ac:dyDescent="0.25">
      <c r="A755" t="s">
        <v>178</v>
      </c>
      <c r="B755">
        <v>136923</v>
      </c>
      <c r="C755" s="3">
        <v>111.5</v>
      </c>
      <c r="D755" s="4">
        <v>44452</v>
      </c>
      <c r="E755" t="str">
        <f>"202109075596"</f>
        <v>202109075596</v>
      </c>
      <c r="F755" t="str">
        <f>"REIMBURSEMENT"</f>
        <v>REIMBURSEMENT</v>
      </c>
      <c r="G755" s="3">
        <v>100</v>
      </c>
      <c r="H755" t="str">
        <f>"TIRE FOR UNIT 9379"</f>
        <v>TIRE FOR UNIT 9379</v>
      </c>
    </row>
    <row r="756" spans="1:8" x14ac:dyDescent="0.25">
      <c r="E756" t="str">
        <f>""</f>
        <v/>
      </c>
      <c r="F756" t="str">
        <f>""</f>
        <v/>
      </c>
      <c r="G756" s="3">
        <v>11.5</v>
      </c>
      <c r="H756" t="str">
        <f>"FUEL UNIT 9379"</f>
        <v>FUEL UNIT 9379</v>
      </c>
    </row>
    <row r="757" spans="1:8" x14ac:dyDescent="0.25">
      <c r="A757" t="s">
        <v>179</v>
      </c>
      <c r="B757">
        <v>136924</v>
      </c>
      <c r="C757" s="3">
        <v>375</v>
      </c>
      <c r="D757" s="4">
        <v>44452</v>
      </c>
      <c r="E757" t="str">
        <f>"1388"</f>
        <v>1388</v>
      </c>
      <c r="F757" t="str">
        <f>"MOTOROLA RADIO INSTALL"</f>
        <v>MOTOROLA RADIO INSTALL</v>
      </c>
      <c r="G757" s="3">
        <v>375</v>
      </c>
      <c r="H757" t="str">
        <f>"MOTOROLA RADIO INSTALL"</f>
        <v>MOTOROLA RADIO INSTALL</v>
      </c>
    </row>
    <row r="758" spans="1:8" x14ac:dyDescent="0.25">
      <c r="A758" t="s">
        <v>180</v>
      </c>
      <c r="B758">
        <v>5122</v>
      </c>
      <c r="C758" s="3">
        <v>561.21</v>
      </c>
      <c r="D758" s="4">
        <v>44467</v>
      </c>
      <c r="E758" t="str">
        <f>"202109215843"</f>
        <v>202109215843</v>
      </c>
      <c r="F758" t="str">
        <f>"REIMBURSE/JO DAWN BOMAR"</f>
        <v>REIMBURSE/JO DAWN BOMAR</v>
      </c>
      <c r="G758" s="3">
        <v>561.21</v>
      </c>
      <c r="H758" t="str">
        <f>"REIMBURSE/JO DAWN BOMAR"</f>
        <v>REIMBURSE/JO DAWN BOMAR</v>
      </c>
    </row>
    <row r="759" spans="1:8" x14ac:dyDescent="0.25">
      <c r="A759" t="s">
        <v>181</v>
      </c>
      <c r="B759">
        <v>137101</v>
      </c>
      <c r="C759" s="3">
        <v>50</v>
      </c>
      <c r="D759" s="4">
        <v>44466</v>
      </c>
      <c r="E759" t="str">
        <f>"202109175738"</f>
        <v>202109175738</v>
      </c>
      <c r="F759" t="str">
        <f>"RESTITUTION/MARCUS MANZANARES"</f>
        <v>RESTITUTION/MARCUS MANZANARES</v>
      </c>
      <c r="G759" s="3">
        <v>50</v>
      </c>
      <c r="H759" t="str">
        <f>"RESTITUTION/MARCUS MANZANARES"</f>
        <v>RESTITUTION/MARCUS MANZANARES</v>
      </c>
    </row>
    <row r="760" spans="1:8" x14ac:dyDescent="0.25">
      <c r="A760" t="s">
        <v>182</v>
      </c>
      <c r="B760">
        <v>137102</v>
      </c>
      <c r="C760" s="3">
        <v>92.32</v>
      </c>
      <c r="D760" s="4">
        <v>44466</v>
      </c>
      <c r="E760" t="str">
        <f>"202109175762"</f>
        <v>202109175762</v>
      </c>
      <c r="F760" t="str">
        <f>"VISITING JUDGE/JOSEPH ANN OTIS"</f>
        <v>VISITING JUDGE/JOSEPH ANN OTIS</v>
      </c>
      <c r="G760" s="3">
        <v>92.32</v>
      </c>
      <c r="H760" t="str">
        <f>"VISITING JUDGE/JOSEPH ANN OTIS"</f>
        <v>VISITING JUDGE/JOSEPH ANN OTIS</v>
      </c>
    </row>
    <row r="761" spans="1:8" x14ac:dyDescent="0.25">
      <c r="A761" t="s">
        <v>183</v>
      </c>
      <c r="B761">
        <v>5064</v>
      </c>
      <c r="C761" s="3">
        <v>4900</v>
      </c>
      <c r="D761" s="4">
        <v>44453</v>
      </c>
      <c r="E761" t="str">
        <f>"202108265326"</f>
        <v>202108265326</v>
      </c>
      <c r="F761" t="str">
        <f>"306032021C"</f>
        <v>306032021C</v>
      </c>
      <c r="G761" s="3">
        <v>250</v>
      </c>
      <c r="H761" t="str">
        <f>"306032021C"</f>
        <v>306032021C</v>
      </c>
    </row>
    <row r="762" spans="1:8" x14ac:dyDescent="0.25">
      <c r="E762" t="str">
        <f>"202108265331"</f>
        <v>202108265331</v>
      </c>
      <c r="F762" t="str">
        <f>"02-0525-1"</f>
        <v>02-0525-1</v>
      </c>
      <c r="G762" s="3">
        <v>250</v>
      </c>
      <c r="H762" t="str">
        <f>"02-0525-1"</f>
        <v>02-0525-1</v>
      </c>
    </row>
    <row r="763" spans="1:8" x14ac:dyDescent="0.25">
      <c r="E763" t="str">
        <f>"202108265339"</f>
        <v>202108265339</v>
      </c>
      <c r="F763" t="str">
        <f>"17028"</f>
        <v>17028</v>
      </c>
      <c r="G763" s="3">
        <v>400</v>
      </c>
      <c r="H763" t="str">
        <f>"17028"</f>
        <v>17028</v>
      </c>
    </row>
    <row r="764" spans="1:8" x14ac:dyDescent="0.25">
      <c r="E764" t="str">
        <f>"202108265340"</f>
        <v>202108265340</v>
      </c>
      <c r="F764" t="str">
        <f>"17223"</f>
        <v>17223</v>
      </c>
      <c r="G764" s="3">
        <v>400</v>
      </c>
      <c r="H764" t="str">
        <f>"17223"</f>
        <v>17223</v>
      </c>
    </row>
    <row r="765" spans="1:8" x14ac:dyDescent="0.25">
      <c r="E765" t="str">
        <f>"202108265353"</f>
        <v>202108265353</v>
      </c>
      <c r="F765" t="str">
        <f>"17384"</f>
        <v>17384</v>
      </c>
      <c r="G765" s="3">
        <v>400</v>
      </c>
      <c r="H765" t="str">
        <f>"17384"</f>
        <v>17384</v>
      </c>
    </row>
    <row r="766" spans="1:8" x14ac:dyDescent="0.25">
      <c r="E766" t="str">
        <f>"202108265354"</f>
        <v>202108265354</v>
      </c>
      <c r="F766" t="str">
        <f>"16960"</f>
        <v>16960</v>
      </c>
      <c r="G766" s="3">
        <v>700</v>
      </c>
      <c r="H766" t="str">
        <f>"16960"</f>
        <v>16960</v>
      </c>
    </row>
    <row r="767" spans="1:8" x14ac:dyDescent="0.25">
      <c r="E767" t="str">
        <f>"202108265355"</f>
        <v>202108265355</v>
      </c>
      <c r="F767" t="str">
        <f>"17020"</f>
        <v>17020</v>
      </c>
      <c r="G767" s="3">
        <v>700</v>
      </c>
      <c r="H767" t="str">
        <f>"17020"</f>
        <v>17020</v>
      </c>
    </row>
    <row r="768" spans="1:8" x14ac:dyDescent="0.25">
      <c r="E768" t="str">
        <f>"202108265356"</f>
        <v>202108265356</v>
      </c>
      <c r="F768" t="str">
        <f>"JP110042019"</f>
        <v>JP110042019</v>
      </c>
      <c r="G768" s="3">
        <v>400</v>
      </c>
      <c r="H768" t="str">
        <f>"JP110042019"</f>
        <v>JP110042019</v>
      </c>
    </row>
    <row r="769" spans="1:8" x14ac:dyDescent="0.25">
      <c r="E769" t="str">
        <f>"202108265357"</f>
        <v>202108265357</v>
      </c>
      <c r="F769" t="str">
        <f>"16966"</f>
        <v>16966</v>
      </c>
      <c r="G769" s="3">
        <v>1150</v>
      </c>
      <c r="H769" t="str">
        <f>"16966"</f>
        <v>16966</v>
      </c>
    </row>
    <row r="770" spans="1:8" x14ac:dyDescent="0.25">
      <c r="E770" t="str">
        <f>"202108265366"</f>
        <v>202108265366</v>
      </c>
      <c r="F770" t="str">
        <f>"CM20210508A"</f>
        <v>CM20210508A</v>
      </c>
      <c r="G770" s="3">
        <v>250</v>
      </c>
      <c r="H770" t="str">
        <f>"CM20210508A"</f>
        <v>CM20210508A</v>
      </c>
    </row>
    <row r="771" spans="1:8" x14ac:dyDescent="0.25">
      <c r="A771" t="s">
        <v>183</v>
      </c>
      <c r="B771">
        <v>5155</v>
      </c>
      <c r="C771" s="3">
        <v>625</v>
      </c>
      <c r="D771" s="4">
        <v>44467</v>
      </c>
      <c r="E771" t="str">
        <f>"202109205804"</f>
        <v>202109205804</v>
      </c>
      <c r="F771" t="str">
        <f>"56429"</f>
        <v>56429</v>
      </c>
      <c r="G771" s="3">
        <v>250</v>
      </c>
      <c r="H771" t="str">
        <f>"56429"</f>
        <v>56429</v>
      </c>
    </row>
    <row r="772" spans="1:8" x14ac:dyDescent="0.25">
      <c r="E772" t="str">
        <f>"202109215838"</f>
        <v>202109215838</v>
      </c>
      <c r="F772" t="str">
        <f>"4060721-5 4060721-9"</f>
        <v>4060721-5 4060721-9</v>
      </c>
      <c r="G772" s="3">
        <v>375</v>
      </c>
      <c r="H772" t="str">
        <f>"4060721-5 4060721-9"</f>
        <v>4060721-5 4060721-9</v>
      </c>
    </row>
    <row r="773" spans="1:8" x14ac:dyDescent="0.25">
      <c r="A773" t="s">
        <v>184</v>
      </c>
      <c r="B773">
        <v>136925</v>
      </c>
      <c r="C773" s="3">
        <v>300</v>
      </c>
      <c r="D773" s="4">
        <v>44452</v>
      </c>
      <c r="E773" t="str">
        <f>"1223"</f>
        <v>1223</v>
      </c>
      <c r="F773" t="str">
        <f>"INTERPRETING"</f>
        <v>INTERPRETING</v>
      </c>
      <c r="G773" s="3">
        <v>300</v>
      </c>
      <c r="H773" t="str">
        <f>"INTERPRETING"</f>
        <v>INTERPRETING</v>
      </c>
    </row>
    <row r="774" spans="1:8" x14ac:dyDescent="0.25">
      <c r="A774" t="s">
        <v>185</v>
      </c>
      <c r="B774">
        <v>137103</v>
      </c>
      <c r="C774" s="3">
        <v>410</v>
      </c>
      <c r="D774" s="4">
        <v>44466</v>
      </c>
      <c r="E774" t="str">
        <f>"533023"</f>
        <v>533023</v>
      </c>
      <c r="F774" t="str">
        <f>"TRASH REMOVAL/KENNETH LIMUEL"</f>
        <v>TRASH REMOVAL/KENNETH LIMUEL</v>
      </c>
      <c r="G774" s="3">
        <v>410</v>
      </c>
      <c r="H774" t="str">
        <f>"TRASH REMOVAL/KENNETH LIMUEL"</f>
        <v>TRASH REMOVAL/KENNETH LIMUEL</v>
      </c>
    </row>
    <row r="775" spans="1:8" x14ac:dyDescent="0.25">
      <c r="A775" t="s">
        <v>186</v>
      </c>
      <c r="B775">
        <v>5054</v>
      </c>
      <c r="C775" s="3">
        <v>2717</v>
      </c>
      <c r="D775" s="4">
        <v>44453</v>
      </c>
      <c r="E775" t="str">
        <f>"464"</f>
        <v>464</v>
      </c>
      <c r="F775" t="str">
        <f>"TOWER RENTAL"</f>
        <v>TOWER RENTAL</v>
      </c>
      <c r="G775" s="3">
        <v>2717</v>
      </c>
      <c r="H775" t="str">
        <f>"TOWER RENTAL"</f>
        <v>TOWER RENTAL</v>
      </c>
    </row>
    <row r="776" spans="1:8" x14ac:dyDescent="0.25">
      <c r="A776" t="s">
        <v>187</v>
      </c>
      <c r="B776">
        <v>5021</v>
      </c>
      <c r="C776" s="3">
        <v>2370</v>
      </c>
      <c r="D776" s="4">
        <v>44453</v>
      </c>
      <c r="E776" t="str">
        <f>"282422"</f>
        <v>282422</v>
      </c>
      <c r="F776" t="str">
        <f>"ORDER#22110623/MIKE FISHER BLD"</f>
        <v>ORDER#22110623/MIKE FISHER BLD</v>
      </c>
      <c r="G776" s="3">
        <v>1410</v>
      </c>
      <c r="H776" t="str">
        <f>"ORDER#22110623/MIKE FISHER BLD"</f>
        <v>ORDER#22110623/MIKE FISHER BLD</v>
      </c>
    </row>
    <row r="777" spans="1:8" x14ac:dyDescent="0.25">
      <c r="E777" t="str">
        <f>"282475"</f>
        <v>282475</v>
      </c>
      <c r="F777" t="str">
        <f>"ORDER/22565007"</f>
        <v>ORDER/22565007</v>
      </c>
      <c r="G777" s="3">
        <v>240</v>
      </c>
      <c r="H777" t="str">
        <f>"ORDER/22565007"</f>
        <v>ORDER/22565007</v>
      </c>
    </row>
    <row r="778" spans="1:8" x14ac:dyDescent="0.25">
      <c r="E778" t="str">
        <f>"282635"</f>
        <v>282635</v>
      </c>
      <c r="F778" t="str">
        <f>"ORDER#1269-F1240"</f>
        <v>ORDER#1269-F1240</v>
      </c>
      <c r="G778" s="3">
        <v>720</v>
      </c>
      <c r="H778" t="str">
        <f>"ORDER#1269-F1240"</f>
        <v>ORDER#1269-F1240</v>
      </c>
    </row>
    <row r="779" spans="1:8" x14ac:dyDescent="0.25">
      <c r="A779" t="s">
        <v>188</v>
      </c>
      <c r="B779">
        <v>136926</v>
      </c>
      <c r="C779" s="3">
        <v>1620.86</v>
      </c>
      <c r="D779" s="4">
        <v>44452</v>
      </c>
      <c r="E779" t="str">
        <f>"202108265323"</f>
        <v>202108265323</v>
      </c>
      <c r="F779" t="str">
        <f>"THE LA GRANGE PARTS HOUSE INC"</f>
        <v>THE LA GRANGE PARTS HOUSE INC</v>
      </c>
      <c r="G779" s="3">
        <v>117.92</v>
      </c>
      <c r="H779" t="str">
        <f>"Hose Fittings"</f>
        <v>Hose Fittings</v>
      </c>
    </row>
    <row r="780" spans="1:8" x14ac:dyDescent="0.25">
      <c r="E780" t="str">
        <f>"213588672"</f>
        <v>213588672</v>
      </c>
      <c r="F780" t="str">
        <f>"ACCT#1645/WILDFIRE MIT"</f>
        <v>ACCT#1645/WILDFIRE MIT</v>
      </c>
      <c r="G780" s="3">
        <v>269.39999999999998</v>
      </c>
      <c r="H780" t="str">
        <f>"ACCT#1645/WILDFIRE MIT"</f>
        <v>ACCT#1645/WILDFIRE MIT</v>
      </c>
    </row>
    <row r="781" spans="1:8" x14ac:dyDescent="0.25">
      <c r="E781" t="str">
        <f>"213588673"</f>
        <v>213588673</v>
      </c>
      <c r="F781" t="str">
        <f>"ACCT#1650/PCT#1"</f>
        <v>ACCT#1650/PCT#1</v>
      </c>
      <c r="G781" s="3">
        <v>527.17999999999995</v>
      </c>
      <c r="H781" t="str">
        <f>"ACCT#1650/PCT#1"</f>
        <v>ACCT#1650/PCT#1</v>
      </c>
    </row>
    <row r="782" spans="1:8" x14ac:dyDescent="0.25">
      <c r="E782" t="str">
        <f>"213588675"</f>
        <v>213588675</v>
      </c>
      <c r="F782" t="str">
        <f>"ACCT#1700/PCT#2"</f>
        <v>ACCT#1700/PCT#2</v>
      </c>
      <c r="G782" s="3">
        <v>364.85</v>
      </c>
      <c r="H782" t="str">
        <f>"ACCT#1700/PCT#2"</f>
        <v>ACCT#1700/PCT#2</v>
      </c>
    </row>
    <row r="783" spans="1:8" x14ac:dyDescent="0.25">
      <c r="E783" t="str">
        <f>"213588680"</f>
        <v>213588680</v>
      </c>
      <c r="F783" t="str">
        <f>"ACCT#1750/PCT#3"</f>
        <v>ACCT#1750/PCT#3</v>
      </c>
      <c r="G783" s="3">
        <v>341.51</v>
      </c>
      <c r="H783" t="str">
        <f>"ACCT#1750/PCT#3"</f>
        <v>ACCT#1750/PCT#3</v>
      </c>
    </row>
    <row r="784" spans="1:8" x14ac:dyDescent="0.25">
      <c r="A784" t="s">
        <v>189</v>
      </c>
      <c r="B784">
        <v>5011</v>
      </c>
      <c r="C784" s="3">
        <v>2069.9699999999998</v>
      </c>
      <c r="D784" s="4">
        <v>44453</v>
      </c>
      <c r="E784" t="str">
        <f>"0818251"</f>
        <v>0818251</v>
      </c>
      <c r="F784" t="str">
        <f>"INV 08181251  08253088"</f>
        <v>INV 08181251  08253088</v>
      </c>
      <c r="G784" s="3">
        <v>851.76</v>
      </c>
      <c r="H784" t="str">
        <f>"INV 08181251"</f>
        <v>INV 08181251</v>
      </c>
    </row>
    <row r="785" spans="1:8" x14ac:dyDescent="0.25">
      <c r="E785" t="str">
        <f>""</f>
        <v/>
      </c>
      <c r="F785" t="str">
        <f>""</f>
        <v/>
      </c>
      <c r="G785" s="3">
        <v>1218.21</v>
      </c>
      <c r="H785" t="str">
        <f>"INV 08253088"</f>
        <v>INV 08253088</v>
      </c>
    </row>
    <row r="786" spans="1:8" x14ac:dyDescent="0.25">
      <c r="A786" t="s">
        <v>189</v>
      </c>
      <c r="B786">
        <v>5104</v>
      </c>
      <c r="C786" s="3">
        <v>4087.05</v>
      </c>
      <c r="D786" s="4">
        <v>44467</v>
      </c>
      <c r="E786" t="str">
        <f>"09014782"</f>
        <v>09014782</v>
      </c>
      <c r="F786" t="str">
        <f>"INV 09014782  09084595  0"</f>
        <v>INV 09014782  09084595  0</v>
      </c>
      <c r="G786" s="3">
        <v>706.97</v>
      </c>
      <c r="H786" t="str">
        <f>"INV 09014782"</f>
        <v>INV 09014782</v>
      </c>
    </row>
    <row r="787" spans="1:8" x14ac:dyDescent="0.25">
      <c r="E787" t="str">
        <f>""</f>
        <v/>
      </c>
      <c r="F787" t="str">
        <f>""</f>
        <v/>
      </c>
      <c r="G787" s="3">
        <v>1680.91</v>
      </c>
      <c r="H787" t="str">
        <f>"INV 09084595"</f>
        <v>INV 09084595</v>
      </c>
    </row>
    <row r="788" spans="1:8" x14ac:dyDescent="0.25">
      <c r="E788" t="str">
        <f>""</f>
        <v/>
      </c>
      <c r="F788" t="str">
        <f>""</f>
        <v/>
      </c>
      <c r="G788" s="3">
        <v>1908.77</v>
      </c>
      <c r="H788" t="str">
        <f>"INV 09156892"</f>
        <v>INV 09156892</v>
      </c>
    </row>
    <row r="789" spans="1:8" x14ac:dyDescent="0.25">
      <c r="E789" t="str">
        <f>""</f>
        <v/>
      </c>
      <c r="F789" t="str">
        <f>""</f>
        <v/>
      </c>
      <c r="G789" s="3">
        <v>-32.619999999999997</v>
      </c>
      <c r="H789" t="str">
        <f>"INV 03243995"</f>
        <v>INV 03243995</v>
      </c>
    </row>
    <row r="790" spans="1:8" x14ac:dyDescent="0.25">
      <c r="E790" t="str">
        <f>""</f>
        <v/>
      </c>
      <c r="F790" t="str">
        <f>""</f>
        <v/>
      </c>
      <c r="G790" s="3">
        <v>-10</v>
      </c>
      <c r="H790" t="str">
        <f>"INV 06161646"</f>
        <v>INV 06161646</v>
      </c>
    </row>
    <row r="791" spans="1:8" x14ac:dyDescent="0.25">
      <c r="E791" t="str">
        <f>""</f>
        <v/>
      </c>
      <c r="F791" t="str">
        <f>""</f>
        <v/>
      </c>
      <c r="G791" s="3">
        <v>-11.37</v>
      </c>
      <c r="H791" t="str">
        <f>"INV 07041734"</f>
        <v>INV 07041734</v>
      </c>
    </row>
    <row r="792" spans="1:8" x14ac:dyDescent="0.25">
      <c r="E792" t="str">
        <f>""</f>
        <v/>
      </c>
      <c r="F792" t="str">
        <f>""</f>
        <v/>
      </c>
      <c r="G792" s="3">
        <v>-110.72</v>
      </c>
      <c r="H792" t="str">
        <f>"INV 08012139"</f>
        <v>INV 08012139</v>
      </c>
    </row>
    <row r="793" spans="1:8" x14ac:dyDescent="0.25">
      <c r="E793" t="str">
        <f>""</f>
        <v/>
      </c>
      <c r="F793" t="str">
        <f>""</f>
        <v/>
      </c>
      <c r="G793" s="3">
        <v>-10.06</v>
      </c>
      <c r="H793" t="str">
        <f>"INV 09050866"</f>
        <v>INV 09050866</v>
      </c>
    </row>
    <row r="794" spans="1:8" x14ac:dyDescent="0.25">
      <c r="E794" t="str">
        <f>""</f>
        <v/>
      </c>
      <c r="F794" t="str">
        <f>""</f>
        <v/>
      </c>
      <c r="G794" s="3">
        <v>-12.5</v>
      </c>
      <c r="H794" t="str">
        <f>"INV 09161700"</f>
        <v>INV 09161700</v>
      </c>
    </row>
    <row r="795" spans="1:8" x14ac:dyDescent="0.25">
      <c r="E795" t="str">
        <f>""</f>
        <v/>
      </c>
      <c r="F795" t="str">
        <f>""</f>
        <v/>
      </c>
      <c r="G795" s="3">
        <v>-22.33</v>
      </c>
      <c r="H795" t="str">
        <f>"INV 12058673"</f>
        <v>INV 12058673</v>
      </c>
    </row>
    <row r="796" spans="1:8" x14ac:dyDescent="0.25">
      <c r="A796" t="s">
        <v>190</v>
      </c>
      <c r="B796">
        <v>136927</v>
      </c>
      <c r="C796" s="3">
        <v>33042.58</v>
      </c>
      <c r="D796" s="4">
        <v>44452</v>
      </c>
      <c r="E796" t="str">
        <f>"F95674"</f>
        <v>F95674</v>
      </c>
      <c r="F796" t="str">
        <f>"LAKE COUNTRY CHEVROLET  INC."</f>
        <v>LAKE COUNTRY CHEVROLET  INC.</v>
      </c>
      <c r="G796" s="3">
        <v>34742.58</v>
      </c>
      <c r="H796" t="str">
        <f>"2021 Cevy Tahoe"</f>
        <v>2021 Cevy Tahoe</v>
      </c>
    </row>
    <row r="797" spans="1:8" x14ac:dyDescent="0.25">
      <c r="E797" t="str">
        <f>""</f>
        <v/>
      </c>
      <c r="F797" t="str">
        <f>""</f>
        <v/>
      </c>
      <c r="G797" s="3">
        <v>-2000</v>
      </c>
      <c r="H797" t="str">
        <f>"Trade In"</f>
        <v>Trade In</v>
      </c>
    </row>
    <row r="798" spans="1:8" x14ac:dyDescent="0.25">
      <c r="E798" t="str">
        <f>""</f>
        <v/>
      </c>
      <c r="F798" t="str">
        <f>""</f>
        <v/>
      </c>
      <c r="G798" s="3">
        <v>300</v>
      </c>
      <c r="H798" t="str">
        <f>"Goodbuy Fee"</f>
        <v>Goodbuy Fee</v>
      </c>
    </row>
    <row r="799" spans="1:8" x14ac:dyDescent="0.25">
      <c r="A799" t="s">
        <v>191</v>
      </c>
      <c r="B799">
        <v>137104</v>
      </c>
      <c r="C799" s="3">
        <v>153.69</v>
      </c>
      <c r="D799" s="4">
        <v>44466</v>
      </c>
      <c r="E799" t="str">
        <f>"202109205823"</f>
        <v>202109205823</v>
      </c>
      <c r="F799" t="str">
        <f>"REIMBURSE/LARA WILSON"</f>
        <v>REIMBURSE/LARA WILSON</v>
      </c>
      <c r="G799" s="3">
        <v>153.69</v>
      </c>
      <c r="H799" t="str">
        <f>"REIMBURSE/LARA WILSON"</f>
        <v>REIMBURSE/LARA WILSON</v>
      </c>
    </row>
    <row r="800" spans="1:8" x14ac:dyDescent="0.25">
      <c r="A800" t="s">
        <v>192</v>
      </c>
      <c r="B800">
        <v>137105</v>
      </c>
      <c r="C800" s="3">
        <v>89.62</v>
      </c>
      <c r="D800" s="4">
        <v>44466</v>
      </c>
      <c r="E800" t="str">
        <f>"202109215830"</f>
        <v>202109215830</v>
      </c>
      <c r="F800" t="str">
        <f>"REIMBURSE/LAUREN OTT"</f>
        <v>REIMBURSE/LAUREN OTT</v>
      </c>
      <c r="G800" s="3">
        <v>89.62</v>
      </c>
      <c r="H800" t="str">
        <f>"REIMBURSE/LAUREN OTT"</f>
        <v>REIMBURSE/LAUREN OTT</v>
      </c>
    </row>
    <row r="801" spans="1:8" s="5" customFormat="1" x14ac:dyDescent="0.25">
      <c r="A801" s="5" t="s">
        <v>193</v>
      </c>
      <c r="B801" s="5">
        <v>137106</v>
      </c>
      <c r="C801" s="6">
        <v>1245</v>
      </c>
      <c r="D801" s="7">
        <v>44466</v>
      </c>
      <c r="E801" s="5" t="str">
        <f>"202109215833"</f>
        <v>202109215833</v>
      </c>
      <c r="F801" s="5" t="str">
        <f>"20-20394"</f>
        <v>20-20394</v>
      </c>
      <c r="G801" s="6"/>
    </row>
    <row r="802" spans="1:8" x14ac:dyDescent="0.25">
      <c r="E802" t="str">
        <f>"202109215834"</f>
        <v>202109215834</v>
      </c>
      <c r="F802" t="str">
        <f>"21-20868"</f>
        <v>21-20868</v>
      </c>
    </row>
    <row r="803" spans="1:8" x14ac:dyDescent="0.25">
      <c r="E803" t="str">
        <f>"202109215835"</f>
        <v>202109215835</v>
      </c>
      <c r="F803" t="str">
        <f>"20-20403"</f>
        <v>20-20403</v>
      </c>
    </row>
    <row r="804" spans="1:8" x14ac:dyDescent="0.25">
      <c r="A804" t="s">
        <v>194</v>
      </c>
      <c r="B804">
        <v>136842</v>
      </c>
      <c r="C804" s="3">
        <v>75</v>
      </c>
      <c r="D804" s="4">
        <v>44447</v>
      </c>
      <c r="E804" t="str">
        <f>"13227"</f>
        <v>13227</v>
      </c>
      <c r="F804" t="str">
        <f>"SERVICE  04/05/2021"</f>
        <v>SERVICE  04/05/2021</v>
      </c>
      <c r="G804" s="3">
        <v>75</v>
      </c>
      <c r="H804" t="str">
        <f>"LEE COUNTY SHERIFF"</f>
        <v>LEE COUNTY SHERIFF</v>
      </c>
    </row>
    <row r="805" spans="1:8" x14ac:dyDescent="0.25">
      <c r="A805" t="s">
        <v>195</v>
      </c>
      <c r="B805">
        <v>136846</v>
      </c>
      <c r="C805" s="3">
        <v>50.25</v>
      </c>
      <c r="D805" s="4">
        <v>44448</v>
      </c>
      <c r="E805" t="str">
        <f>"202109095648"</f>
        <v>202109095648</v>
      </c>
      <c r="F805" t="str">
        <f>"ACCT#1-09-00072-02 1 / 082521"</f>
        <v>ACCT#1-09-00072-02 1 / 082521</v>
      </c>
      <c r="G805" s="3">
        <v>50.25</v>
      </c>
      <c r="H805" t="str">
        <f>"ACCT#1-09-00072-02 1 / 082521"</f>
        <v>ACCT#1-09-00072-02 1 / 082521</v>
      </c>
    </row>
    <row r="806" spans="1:8" x14ac:dyDescent="0.25">
      <c r="A806" t="s">
        <v>196</v>
      </c>
      <c r="B806">
        <v>136928</v>
      </c>
      <c r="C806" s="3">
        <v>121</v>
      </c>
      <c r="D806" s="4">
        <v>44452</v>
      </c>
      <c r="E806" t="str">
        <f>"0562719007"</f>
        <v>0562719007</v>
      </c>
      <c r="F806" t="str">
        <f>"CUST#C20632/ORD#33176184"</f>
        <v>CUST#C20632/ORD#33176184</v>
      </c>
      <c r="G806" s="3">
        <v>121</v>
      </c>
      <c r="H806" t="str">
        <f>"CUST#C20632/ORD#33176184"</f>
        <v>CUST#C20632/ORD#33176184</v>
      </c>
    </row>
    <row r="807" spans="1:8" x14ac:dyDescent="0.25">
      <c r="A807" t="s">
        <v>197</v>
      </c>
      <c r="B807">
        <v>136929</v>
      </c>
      <c r="C807" s="3">
        <v>12.74</v>
      </c>
      <c r="D807" s="4">
        <v>44452</v>
      </c>
      <c r="E807" t="str">
        <f>"202109065537"</f>
        <v>202109065537</v>
      </c>
      <c r="F807" t="str">
        <f>"REIMBURSE/LEON A PRASEK"</f>
        <v>REIMBURSE/LEON A PRASEK</v>
      </c>
      <c r="G807" s="3">
        <v>12.74</v>
      </c>
      <c r="H807" t="str">
        <f>"REIMBURSE/LEON A PRASEK"</f>
        <v>REIMBURSE/LEON A PRASEK</v>
      </c>
    </row>
    <row r="808" spans="1:8" x14ac:dyDescent="0.25">
      <c r="A808" t="s">
        <v>197</v>
      </c>
      <c r="B808">
        <v>137107</v>
      </c>
      <c r="C808" s="3">
        <v>105</v>
      </c>
      <c r="D808" s="4">
        <v>44466</v>
      </c>
      <c r="E808" t="str">
        <f>"202109215836"</f>
        <v>202109215836</v>
      </c>
      <c r="F808" t="str">
        <f>"REIMBURSE/LEON A PRASEK"</f>
        <v>REIMBURSE/LEON A PRASEK</v>
      </c>
      <c r="G808" s="3">
        <v>105</v>
      </c>
      <c r="H808" t="str">
        <f>"REIMBURSE/LEON A PRASEK"</f>
        <v>REIMBURSE/LEON A PRASEK</v>
      </c>
    </row>
    <row r="809" spans="1:8" x14ac:dyDescent="0.25">
      <c r="A809" t="s">
        <v>198</v>
      </c>
      <c r="B809">
        <v>136930</v>
      </c>
      <c r="C809" s="3">
        <v>541.5</v>
      </c>
      <c r="D809" s="4">
        <v>44452</v>
      </c>
      <c r="E809" t="str">
        <f>"1211621-20210731"</f>
        <v>1211621-20210731</v>
      </c>
      <c r="F809" t="str">
        <f>"BILL#1211621"</f>
        <v>BILL#1211621</v>
      </c>
      <c r="G809" s="3">
        <v>143</v>
      </c>
      <c r="H809" t="str">
        <f>"BILL#1211621"</f>
        <v>BILL#1211621</v>
      </c>
    </row>
    <row r="810" spans="1:8" x14ac:dyDescent="0.25">
      <c r="E810" t="str">
        <f>"1420944-20210831"</f>
        <v>1420944-20210831</v>
      </c>
      <c r="F810" t="str">
        <f>"BILL#1420944/SO"</f>
        <v>BILL#1420944/SO</v>
      </c>
      <c r="G810" s="3">
        <v>298.5</v>
      </c>
      <c r="H810" t="str">
        <f>"BILL#1420944/SO"</f>
        <v>BILL#1420944/SO</v>
      </c>
    </row>
    <row r="811" spans="1:8" x14ac:dyDescent="0.25">
      <c r="E811" t="str">
        <f>"1489870-20210731"</f>
        <v>1489870-20210731</v>
      </c>
      <c r="F811" t="str">
        <f>"BILL#1489870"</f>
        <v>BILL#1489870</v>
      </c>
      <c r="G811" s="3">
        <v>50</v>
      </c>
      <c r="H811" t="str">
        <f>"BILL#1489870"</f>
        <v>BILL#1489870</v>
      </c>
    </row>
    <row r="812" spans="1:8" x14ac:dyDescent="0.25">
      <c r="E812" t="str">
        <f>"1489870-20210831"</f>
        <v>1489870-20210831</v>
      </c>
      <c r="F812" t="str">
        <f>"BILL ID# 1489870"</f>
        <v>BILL ID# 1489870</v>
      </c>
      <c r="G812" s="3">
        <v>50</v>
      </c>
      <c r="H812" t="str">
        <f>"BILL ID# 1489870"</f>
        <v>BILL ID# 1489870</v>
      </c>
    </row>
    <row r="813" spans="1:8" x14ac:dyDescent="0.25">
      <c r="A813" t="s">
        <v>198</v>
      </c>
      <c r="B813">
        <v>137108</v>
      </c>
      <c r="C813" s="3">
        <v>124</v>
      </c>
      <c r="D813" s="4">
        <v>44466</v>
      </c>
      <c r="E813" t="str">
        <f>"1211621-20210831"</f>
        <v>1211621-20210831</v>
      </c>
      <c r="F813" t="str">
        <f>"BILL #111621"</f>
        <v>BILL #111621</v>
      </c>
      <c r="G813" s="3">
        <v>74</v>
      </c>
      <c r="H813" t="str">
        <f>"BILL #111621"</f>
        <v>BILL #111621</v>
      </c>
    </row>
    <row r="814" spans="1:8" x14ac:dyDescent="0.25">
      <c r="E814" t="str">
        <f>"1394645-20210831"</f>
        <v>1394645-20210831</v>
      </c>
      <c r="F814" t="str">
        <f>"BILL #1394645"</f>
        <v>BILL #1394645</v>
      </c>
      <c r="G814" s="3">
        <v>50</v>
      </c>
      <c r="H814" t="str">
        <f>"BILL #1394645"</f>
        <v>BILL #1394645</v>
      </c>
    </row>
    <row r="815" spans="1:8" x14ac:dyDescent="0.25">
      <c r="A815" t="s">
        <v>199</v>
      </c>
      <c r="B815">
        <v>136931</v>
      </c>
      <c r="C815" s="3">
        <v>3397.68</v>
      </c>
      <c r="D815" s="4">
        <v>44452</v>
      </c>
      <c r="E815" t="str">
        <f>" 2107557"</f>
        <v xml:space="preserve"> 2107557</v>
      </c>
      <c r="F815" t="str">
        <f>"ACCT#15717/PCT#4"</f>
        <v>ACCT#15717/PCT#4</v>
      </c>
      <c r="G815" s="3">
        <v>1520.02</v>
      </c>
      <c r="H815" t="str">
        <f>"ACCT#15717/PCT#4"</f>
        <v>ACCT#15717/PCT#4</v>
      </c>
    </row>
    <row r="816" spans="1:8" x14ac:dyDescent="0.25">
      <c r="E816" t="str">
        <f>"2107557"</f>
        <v>2107557</v>
      </c>
      <c r="F816" t="str">
        <f>"ACCT#15717/TIRES"</f>
        <v>ACCT#15717/TIRES</v>
      </c>
      <c r="G816" s="3">
        <v>1877.66</v>
      </c>
      <c r="H816" t="str">
        <f>"ACCT#15717/TIRES"</f>
        <v>ACCT#15717/TIRES</v>
      </c>
    </row>
    <row r="817" spans="1:8" x14ac:dyDescent="0.25">
      <c r="A817" t="s">
        <v>200</v>
      </c>
      <c r="B817">
        <v>5118</v>
      </c>
      <c r="C817" s="3">
        <v>350</v>
      </c>
      <c r="D817" s="4">
        <v>44467</v>
      </c>
      <c r="E817" t="str">
        <f>"202109205780"</f>
        <v>202109205780</v>
      </c>
      <c r="F817" t="str">
        <f>"REIMBURSEMENT/LINDSEY SIMMONS"</f>
        <v>REIMBURSEMENT/LINDSEY SIMMONS</v>
      </c>
      <c r="G817" s="3">
        <v>350</v>
      </c>
      <c r="H817" t="str">
        <f>"REIMBURSEMENT/LINDSEY SIMMONS"</f>
        <v>REIMBURSEMENT/LINDSEY SIMMONS</v>
      </c>
    </row>
    <row r="818" spans="1:8" x14ac:dyDescent="0.25">
      <c r="A818" t="s">
        <v>201</v>
      </c>
      <c r="B818">
        <v>136932</v>
      </c>
      <c r="C818" s="3">
        <v>80</v>
      </c>
      <c r="D818" s="4">
        <v>44452</v>
      </c>
      <c r="E818" t="str">
        <f>"13754"</f>
        <v>13754</v>
      </c>
      <c r="F818" t="str">
        <f>"SERVICE"</f>
        <v>SERVICE</v>
      </c>
      <c r="G818" s="3">
        <v>80</v>
      </c>
      <c r="H818" t="str">
        <f>"SERVICE"</f>
        <v>SERVICE</v>
      </c>
    </row>
    <row r="819" spans="1:8" x14ac:dyDescent="0.25">
      <c r="A819" t="s">
        <v>202</v>
      </c>
      <c r="B819">
        <v>5044</v>
      </c>
      <c r="C819" s="3">
        <v>65182.44</v>
      </c>
      <c r="D819" s="4">
        <v>44453</v>
      </c>
      <c r="E819" t="str">
        <f>"65515-1"</f>
        <v>65515-1</v>
      </c>
      <c r="F819" t="str">
        <f>"STREET OVERLAY BASTROP/PCT#2"</f>
        <v>STREET OVERLAY BASTROP/PCT#2</v>
      </c>
      <c r="G819" s="3">
        <v>65182.44</v>
      </c>
      <c r="H819" t="str">
        <f>"STREET OVERLAY BASTROP/PCT#2"</f>
        <v>STREET OVERLAY BASTROP/PCT#2</v>
      </c>
    </row>
    <row r="820" spans="1:8" x14ac:dyDescent="0.25">
      <c r="A820" t="s">
        <v>203</v>
      </c>
      <c r="B820">
        <v>5062</v>
      </c>
      <c r="C820" s="3">
        <v>175</v>
      </c>
      <c r="D820" s="4">
        <v>44453</v>
      </c>
      <c r="E820" t="str">
        <f>"202109075590"</f>
        <v>202109075590</v>
      </c>
      <c r="F820" t="str">
        <f>"STATEMENT 10-000613"</f>
        <v>STATEMENT 10-000613</v>
      </c>
      <c r="G820" s="3">
        <v>50</v>
      </c>
      <c r="H820" t="str">
        <f>"INV 10-0122386"</f>
        <v>INV 10-0122386</v>
      </c>
    </row>
    <row r="821" spans="1:8" x14ac:dyDescent="0.25">
      <c r="E821" t="str">
        <f>""</f>
        <v/>
      </c>
      <c r="F821" t="str">
        <f>""</f>
        <v/>
      </c>
      <c r="G821" s="3">
        <v>25</v>
      </c>
      <c r="H821" t="str">
        <f>"INV10-0125998"</f>
        <v>INV10-0125998</v>
      </c>
    </row>
    <row r="822" spans="1:8" x14ac:dyDescent="0.25">
      <c r="E822" t="str">
        <f>""</f>
        <v/>
      </c>
      <c r="F822" t="str">
        <f>""</f>
        <v/>
      </c>
      <c r="G822" s="3">
        <v>50</v>
      </c>
      <c r="H822" t="str">
        <f>"INV 10-0126139"</f>
        <v>INV 10-0126139</v>
      </c>
    </row>
    <row r="823" spans="1:8" x14ac:dyDescent="0.25">
      <c r="E823" t="str">
        <f>""</f>
        <v/>
      </c>
      <c r="F823" t="str">
        <f>""</f>
        <v/>
      </c>
      <c r="G823" s="3">
        <v>50</v>
      </c>
      <c r="H823" t="str">
        <f>"INV 10-0127684"</f>
        <v>INV 10-0127684</v>
      </c>
    </row>
    <row r="824" spans="1:8" x14ac:dyDescent="0.25">
      <c r="A824" t="s">
        <v>204</v>
      </c>
      <c r="B824">
        <v>136933</v>
      </c>
      <c r="C824" s="3">
        <v>235.68</v>
      </c>
      <c r="D824" s="4">
        <v>44452</v>
      </c>
      <c r="E824" t="str">
        <f>"919335"</f>
        <v>919335</v>
      </c>
      <c r="F824" t="str">
        <f>"Lowes"</f>
        <v>Lowes</v>
      </c>
      <c r="G824" s="3">
        <v>188.18</v>
      </c>
      <c r="H824" t="str">
        <f>"Invoice#91935"</f>
        <v>Invoice#91935</v>
      </c>
    </row>
    <row r="825" spans="1:8" x14ac:dyDescent="0.25">
      <c r="E825" t="str">
        <f>""</f>
        <v/>
      </c>
      <c r="F825" t="str">
        <f>""</f>
        <v/>
      </c>
      <c r="G825" s="3">
        <v>47.5</v>
      </c>
      <c r="H825" t="str">
        <f>"Invoice#901537"</f>
        <v>Invoice#901537</v>
      </c>
    </row>
    <row r="826" spans="1:8" x14ac:dyDescent="0.25">
      <c r="A826" t="s">
        <v>205</v>
      </c>
      <c r="B826">
        <v>5148</v>
      </c>
      <c r="C826" s="3">
        <v>497.4</v>
      </c>
      <c r="D826" s="4">
        <v>44467</v>
      </c>
      <c r="E826" t="str">
        <f>"382988"</f>
        <v>382988</v>
      </c>
      <c r="F826" t="str">
        <f>"INV 382988"</f>
        <v>INV 382988</v>
      </c>
      <c r="G826" s="3">
        <v>497.4</v>
      </c>
      <c r="H826" t="str">
        <f>"INV 382988"</f>
        <v>INV 382988</v>
      </c>
    </row>
    <row r="827" spans="1:8" x14ac:dyDescent="0.25">
      <c r="A827" t="s">
        <v>206</v>
      </c>
      <c r="B827">
        <v>137109</v>
      </c>
      <c r="C827" s="3">
        <v>0.5</v>
      </c>
      <c r="D827" s="4">
        <v>44466</v>
      </c>
      <c r="E827" t="str">
        <f>"G079863"</f>
        <v>G079863</v>
      </c>
      <c r="F827" t="str">
        <f>"ACCT#G001473/513148"</f>
        <v>ACCT#G001473/513148</v>
      </c>
      <c r="G827" s="3">
        <v>0.5</v>
      </c>
      <c r="H827" t="str">
        <f>"ACCT#G001473/513148"</f>
        <v>ACCT#G001473/513148</v>
      </c>
    </row>
    <row r="828" spans="1:8" x14ac:dyDescent="0.25">
      <c r="A828" t="s">
        <v>207</v>
      </c>
      <c r="B828">
        <v>136934</v>
      </c>
      <c r="C828" s="3">
        <v>280</v>
      </c>
      <c r="D828" s="4">
        <v>44452</v>
      </c>
      <c r="E828" t="str">
        <f>"MANXT0000092"</f>
        <v>MANXT0000092</v>
      </c>
      <c r="F828" t="str">
        <f>"CUST#4301300/LABELS/SHIPPING"</f>
        <v>CUST#4301300/LABELS/SHIPPING</v>
      </c>
      <c r="G828" s="3">
        <v>280</v>
      </c>
      <c r="H828" t="str">
        <f>"CUST#4301300/LABELS/SHIPPING"</f>
        <v>CUST#4301300/LABELS/SHIPPING</v>
      </c>
    </row>
    <row r="829" spans="1:8" x14ac:dyDescent="0.25">
      <c r="A829" t="s">
        <v>208</v>
      </c>
      <c r="B829">
        <v>5022</v>
      </c>
      <c r="C829" s="3">
        <v>437.5</v>
      </c>
      <c r="D829" s="4">
        <v>44453</v>
      </c>
      <c r="E829" t="str">
        <f>"202108265368"</f>
        <v>202108265368</v>
      </c>
      <c r="F829" t="str">
        <f>"2022021"</f>
        <v>2022021</v>
      </c>
      <c r="G829" s="3">
        <v>112.5</v>
      </c>
      <c r="H829" t="str">
        <f>"2022021"</f>
        <v>2022021</v>
      </c>
    </row>
    <row r="830" spans="1:8" x14ac:dyDescent="0.25">
      <c r="E830" t="str">
        <f>"202108265375"</f>
        <v>202108265375</v>
      </c>
      <c r="F830" t="str">
        <f>"8172021"</f>
        <v>8172021</v>
      </c>
      <c r="G830" s="3">
        <v>325</v>
      </c>
      <c r="H830" t="str">
        <f>"8172021"</f>
        <v>8172021</v>
      </c>
    </row>
    <row r="831" spans="1:8" x14ac:dyDescent="0.25">
      <c r="A831" t="s">
        <v>208</v>
      </c>
      <c r="B831">
        <v>5113</v>
      </c>
      <c r="C831" s="3">
        <v>250</v>
      </c>
      <c r="D831" s="4">
        <v>44467</v>
      </c>
      <c r="E831" t="str">
        <f>"202109155696"</f>
        <v>202109155696</v>
      </c>
      <c r="F831" t="str">
        <f>"9072021"</f>
        <v>9072021</v>
      </c>
      <c r="G831" s="3">
        <v>125</v>
      </c>
      <c r="H831" t="str">
        <f>"9072021"</f>
        <v>9072021</v>
      </c>
    </row>
    <row r="832" spans="1:8" x14ac:dyDescent="0.25">
      <c r="E832" t="str">
        <f>"202109155703"</f>
        <v>202109155703</v>
      </c>
      <c r="F832" t="str">
        <f>"9072021"</f>
        <v>9072021</v>
      </c>
      <c r="G832" s="3">
        <v>125</v>
      </c>
      <c r="H832" t="str">
        <f>"9072021"</f>
        <v>9072021</v>
      </c>
    </row>
    <row r="833" spans="1:8" x14ac:dyDescent="0.25">
      <c r="A833" t="s">
        <v>209</v>
      </c>
      <c r="B833">
        <v>5015</v>
      </c>
      <c r="C833" s="3">
        <v>419.4</v>
      </c>
      <c r="D833" s="4">
        <v>44453</v>
      </c>
      <c r="E833" t="str">
        <f>"202108245300"</f>
        <v>202108245300</v>
      </c>
      <c r="F833" t="str">
        <f>"REIMBURSE/MARIDEL BORREGO"</f>
        <v>REIMBURSE/MARIDEL BORREGO</v>
      </c>
      <c r="G833" s="3">
        <v>419.4</v>
      </c>
      <c r="H833" t="str">
        <f>"REIMBURSE/MARIDEL BORREGO"</f>
        <v>REIMBURSE/MARIDEL BORREGO</v>
      </c>
    </row>
    <row r="834" spans="1:8" x14ac:dyDescent="0.25">
      <c r="A834" t="s">
        <v>210</v>
      </c>
      <c r="B834">
        <v>5134</v>
      </c>
      <c r="C834" s="3">
        <v>735</v>
      </c>
      <c r="D834" s="4">
        <v>44467</v>
      </c>
      <c r="E834" t="str">
        <f>"202109215890"</f>
        <v>202109215890</v>
      </c>
      <c r="F834" t="str">
        <f>"STATE BAR DUES REIMBURSEMENT"</f>
        <v>STATE BAR DUES REIMBURSEMENT</v>
      </c>
      <c r="G834" s="3">
        <v>240</v>
      </c>
      <c r="H834" t="str">
        <f>"STATE BAR DUES REIMBURSEMENT"</f>
        <v>STATE BAR DUES REIMBURSEMENT</v>
      </c>
    </row>
    <row r="835" spans="1:8" x14ac:dyDescent="0.25">
      <c r="E835" t="str">
        <f>"202109215891"</f>
        <v>202109215891</v>
      </c>
      <c r="F835" t="str">
        <f>"REIMBURSE CRIMINAL LAW COURSE"</f>
        <v>REIMBURSE CRIMINAL LAW COURSE</v>
      </c>
      <c r="G835" s="3">
        <v>495</v>
      </c>
      <c r="H835" t="str">
        <f>"REIMBURSE CRIMINAL LAW COURSE"</f>
        <v>REIMBURSE CRIMINAL LAW COURSE</v>
      </c>
    </row>
    <row r="836" spans="1:8" x14ac:dyDescent="0.25">
      <c r="A836" t="s">
        <v>211</v>
      </c>
      <c r="B836">
        <v>136935</v>
      </c>
      <c r="C836" s="3">
        <v>83.73</v>
      </c>
      <c r="D836" s="4">
        <v>44452</v>
      </c>
      <c r="E836" t="str">
        <f>"001966715"</f>
        <v>001966715</v>
      </c>
      <c r="F836" t="str">
        <f>"INV001966715  RTN121303"</f>
        <v>INV001966715  RTN121303</v>
      </c>
      <c r="G836" s="3">
        <v>140.34</v>
      </c>
      <c r="H836" t="str">
        <f>"INV001966715"</f>
        <v>INV001966715</v>
      </c>
    </row>
    <row r="837" spans="1:8" x14ac:dyDescent="0.25">
      <c r="E837" t="str">
        <f>""</f>
        <v/>
      </c>
      <c r="F837" t="str">
        <f>""</f>
        <v/>
      </c>
      <c r="G837" s="3">
        <v>-56.61</v>
      </c>
      <c r="H837" t="str">
        <f>"RTN121303"</f>
        <v>RTN121303</v>
      </c>
    </row>
    <row r="838" spans="1:8" x14ac:dyDescent="0.25">
      <c r="A838" t="s">
        <v>212</v>
      </c>
      <c r="B838">
        <v>137110</v>
      </c>
      <c r="C838" s="3">
        <v>350</v>
      </c>
      <c r="D838" s="4">
        <v>44466</v>
      </c>
      <c r="E838" t="str">
        <f>"090221"</f>
        <v>090221</v>
      </c>
      <c r="F838" t="str">
        <f>"INV 090221"</f>
        <v>INV 090221</v>
      </c>
      <c r="G838" s="3">
        <v>350</v>
      </c>
      <c r="H838" t="str">
        <f>"INV 090221"</f>
        <v>INV 090221</v>
      </c>
    </row>
    <row r="839" spans="1:8" x14ac:dyDescent="0.25">
      <c r="A839" t="s">
        <v>213</v>
      </c>
      <c r="B839">
        <v>5024</v>
      </c>
      <c r="C839" s="3">
        <v>2931.75</v>
      </c>
      <c r="D839" s="4">
        <v>44453</v>
      </c>
      <c r="E839" t="str">
        <f>"202108265328"</f>
        <v>202108265328</v>
      </c>
      <c r="F839" t="str">
        <f>"21-20565"</f>
        <v>21-20565</v>
      </c>
      <c r="G839" s="3">
        <v>1075</v>
      </c>
      <c r="H839" t="str">
        <f>"21-20565"</f>
        <v>21-20565</v>
      </c>
    </row>
    <row r="840" spans="1:8" x14ac:dyDescent="0.25">
      <c r="E840" t="str">
        <f>"202108275389"</f>
        <v>202108275389</v>
      </c>
      <c r="F840" t="str">
        <f>"17-18443"</f>
        <v>17-18443</v>
      </c>
      <c r="G840" s="3">
        <v>825</v>
      </c>
      <c r="H840" t="str">
        <f>"17-18443"</f>
        <v>17-18443</v>
      </c>
    </row>
    <row r="841" spans="1:8" x14ac:dyDescent="0.25">
      <c r="E841" t="str">
        <f>"202108315410"</f>
        <v>202108315410</v>
      </c>
      <c r="F841" t="str">
        <f>"20-20454"</f>
        <v>20-20454</v>
      </c>
      <c r="G841" s="3">
        <v>1031.75</v>
      </c>
      <c r="H841" t="str">
        <f>"20-20454"</f>
        <v>20-20454</v>
      </c>
    </row>
    <row r="842" spans="1:8" x14ac:dyDescent="0.25">
      <c r="A842" t="s">
        <v>213</v>
      </c>
      <c r="B842">
        <v>5115</v>
      </c>
      <c r="C842" s="3">
        <v>2262.5</v>
      </c>
      <c r="D842" s="4">
        <v>44467</v>
      </c>
      <c r="E842" t="str">
        <f>"202109155705"</f>
        <v>202109155705</v>
      </c>
      <c r="F842" t="str">
        <f>"57-425"</f>
        <v>57-425</v>
      </c>
      <c r="G842" s="3">
        <v>250</v>
      </c>
      <c r="H842" t="str">
        <f>"57-425"</f>
        <v>57-425</v>
      </c>
    </row>
    <row r="843" spans="1:8" x14ac:dyDescent="0.25">
      <c r="E843" t="str">
        <f>"202109155706"</f>
        <v>202109155706</v>
      </c>
      <c r="F843" t="str">
        <f>"57-884"</f>
        <v>57-884</v>
      </c>
      <c r="G843" s="3">
        <v>250</v>
      </c>
      <c r="H843" t="str">
        <f>"57-884"</f>
        <v>57-884</v>
      </c>
    </row>
    <row r="844" spans="1:8" x14ac:dyDescent="0.25">
      <c r="E844" t="str">
        <f>"202109155707"</f>
        <v>202109155707</v>
      </c>
      <c r="F844" t="str">
        <f>"57-654"</f>
        <v>57-654</v>
      </c>
      <c r="G844" s="3">
        <v>250</v>
      </c>
      <c r="H844" t="str">
        <f>"57-654"</f>
        <v>57-654</v>
      </c>
    </row>
    <row r="845" spans="1:8" x14ac:dyDescent="0.25">
      <c r="E845" t="str">
        <f>"202109205793"</f>
        <v>202109205793</v>
      </c>
      <c r="F845" t="str">
        <f>"JP105 182021D"</f>
        <v>JP105 182021D</v>
      </c>
      <c r="G845" s="3">
        <v>250</v>
      </c>
      <c r="H845" t="str">
        <f>"JP105 182021D"</f>
        <v>JP105 182021D</v>
      </c>
    </row>
    <row r="846" spans="1:8" x14ac:dyDescent="0.25">
      <c r="E846" t="str">
        <f>"202109205794"</f>
        <v>202109205794</v>
      </c>
      <c r="F846" t="str">
        <f>"DETENTION HEARING"</f>
        <v>DETENTION HEARING</v>
      </c>
      <c r="G846" s="3">
        <v>100</v>
      </c>
      <c r="H846" t="str">
        <f>"DETENTION HEARING"</f>
        <v>DETENTION HEARING</v>
      </c>
    </row>
    <row r="847" spans="1:8" x14ac:dyDescent="0.25">
      <c r="E847" t="str">
        <f>"202109205805"</f>
        <v>202109205805</v>
      </c>
      <c r="F847" t="str">
        <f>"20-20403"</f>
        <v>20-20403</v>
      </c>
      <c r="G847" s="3">
        <v>1162.5</v>
      </c>
      <c r="H847" t="str">
        <f>"20-20403"</f>
        <v>20-20403</v>
      </c>
    </row>
    <row r="848" spans="1:8" x14ac:dyDescent="0.25">
      <c r="A848" t="s">
        <v>214</v>
      </c>
      <c r="B848">
        <v>136936</v>
      </c>
      <c r="C848" s="3">
        <v>250.24</v>
      </c>
      <c r="D848" s="4">
        <v>44452</v>
      </c>
      <c r="E848" t="str">
        <f>"124304"</f>
        <v>124304</v>
      </c>
      <c r="F848" t="str">
        <f>"INTERPRETATION"</f>
        <v>INTERPRETATION</v>
      </c>
      <c r="G848" s="3">
        <v>250.24</v>
      </c>
      <c r="H848" t="str">
        <f>"INTERPRETATION"</f>
        <v>INTERPRETATION</v>
      </c>
    </row>
    <row r="849" spans="1:8" x14ac:dyDescent="0.25">
      <c r="A849" t="s">
        <v>215</v>
      </c>
      <c r="B849">
        <v>137111</v>
      </c>
      <c r="C849" s="3">
        <v>351.68</v>
      </c>
      <c r="D849" s="4">
        <v>44466</v>
      </c>
      <c r="E849" t="str">
        <f>"0024140284"</f>
        <v>0024140284</v>
      </c>
      <c r="F849" t="str">
        <f>"ACCT#41472/PCT#1"</f>
        <v>ACCT#41472/PCT#1</v>
      </c>
      <c r="G849" s="3">
        <v>31.23</v>
      </c>
      <c r="H849" t="str">
        <f>"ACCT#41472/PCT#1"</f>
        <v>ACCT#41472/PCT#1</v>
      </c>
    </row>
    <row r="850" spans="1:8" x14ac:dyDescent="0.25">
      <c r="E850" t="str">
        <f>"0024140347"</f>
        <v>0024140347</v>
      </c>
      <c r="F850" t="str">
        <f>"ACCT#45057/PCT#4"</f>
        <v>ACCT#45057/PCT#4</v>
      </c>
      <c r="G850" s="3">
        <v>57.73</v>
      </c>
      <c r="H850" t="str">
        <f>"ACCT#45057/PCT#4"</f>
        <v>ACCT#45057/PCT#4</v>
      </c>
    </row>
    <row r="851" spans="1:8" x14ac:dyDescent="0.25">
      <c r="E851" t="str">
        <f>"0024140392"</f>
        <v>0024140392</v>
      </c>
      <c r="F851" t="str">
        <f>"INV 0024140392"</f>
        <v>INV 0024140392</v>
      </c>
      <c r="G851" s="3">
        <v>67.72</v>
      </c>
      <c r="H851" t="str">
        <f>"INV 0024140392"</f>
        <v>INV 0024140392</v>
      </c>
    </row>
    <row r="852" spans="1:8" x14ac:dyDescent="0.25">
      <c r="E852" t="str">
        <f>"0024140670"</f>
        <v>0024140670</v>
      </c>
      <c r="F852" t="str">
        <f>"CUST#S9549/PCT#1"</f>
        <v>CUST#S9549/PCT#1</v>
      </c>
      <c r="G852" s="3">
        <v>195</v>
      </c>
      <c r="H852" t="str">
        <f>"CUST#S9549/PCT#1"</f>
        <v>CUST#S9549/PCT#1</v>
      </c>
    </row>
    <row r="853" spans="1:8" x14ac:dyDescent="0.25">
      <c r="A853" t="s">
        <v>216</v>
      </c>
      <c r="B853">
        <v>5149</v>
      </c>
      <c r="C853" s="3">
        <v>125.02</v>
      </c>
      <c r="D853" s="4">
        <v>44467</v>
      </c>
      <c r="E853" t="str">
        <f>"611568"</f>
        <v>611568</v>
      </c>
      <c r="F853" t="str">
        <f>"ACCT#0900-98011130-001"</f>
        <v>ACCT#0900-98011130-001</v>
      </c>
      <c r="G853" s="3">
        <v>91.63</v>
      </c>
      <c r="H853" t="str">
        <f>"ACCT#0900-98011130-001"</f>
        <v>ACCT#0900-98011130-001</v>
      </c>
    </row>
    <row r="854" spans="1:8" x14ac:dyDescent="0.25">
      <c r="E854" t="str">
        <f>"612641"</f>
        <v>612641</v>
      </c>
      <c r="F854" t="str">
        <f>"ACCT#032704/PCT#3"</f>
        <v>ACCT#032704/PCT#3</v>
      </c>
      <c r="G854" s="3">
        <v>33.39</v>
      </c>
      <c r="H854" t="str">
        <f>"ACCT#032704/PCT#3"</f>
        <v>ACCT#032704/PCT#3</v>
      </c>
    </row>
    <row r="855" spans="1:8" x14ac:dyDescent="0.25">
      <c r="A855" t="s">
        <v>217</v>
      </c>
      <c r="B855">
        <v>136937</v>
      </c>
      <c r="C855" s="3">
        <v>37693.919999999998</v>
      </c>
      <c r="D855" s="4">
        <v>44452</v>
      </c>
      <c r="E855" t="str">
        <f>"13325 8/3/21"</f>
        <v>13325 8/3/21</v>
      </c>
      <c r="F855" t="str">
        <f t="shared" ref="F855:F861" si="14">"ABST FEE"</f>
        <v>ABST FEE</v>
      </c>
      <c r="G855" s="3">
        <v>25</v>
      </c>
      <c r="H855" t="str">
        <f t="shared" ref="H855:H861" si="15">"ABST FEE"</f>
        <v>ABST FEE</v>
      </c>
    </row>
    <row r="856" spans="1:8" x14ac:dyDescent="0.25">
      <c r="E856" t="str">
        <f>"13394 7/28/21"</f>
        <v>13394 7/28/21</v>
      </c>
      <c r="F856" t="str">
        <f t="shared" si="14"/>
        <v>ABST FEE</v>
      </c>
      <c r="G856" s="3">
        <v>25</v>
      </c>
      <c r="H856" t="str">
        <f t="shared" si="15"/>
        <v>ABST FEE</v>
      </c>
    </row>
    <row r="857" spans="1:8" x14ac:dyDescent="0.25">
      <c r="E857" t="str">
        <f>"13411"</f>
        <v>13411</v>
      </c>
      <c r="F857" t="str">
        <f t="shared" si="14"/>
        <v>ABST FEE</v>
      </c>
      <c r="G857" s="3">
        <v>225</v>
      </c>
      <c r="H857" t="str">
        <f t="shared" si="15"/>
        <v>ABST FEE</v>
      </c>
    </row>
    <row r="858" spans="1:8" x14ac:dyDescent="0.25">
      <c r="E858" t="str">
        <f>"13464 7/30/21"</f>
        <v>13464 7/30/21</v>
      </c>
      <c r="F858" t="str">
        <f t="shared" si="14"/>
        <v>ABST FEE</v>
      </c>
      <c r="G858" s="3">
        <v>50</v>
      </c>
      <c r="H858" t="str">
        <f t="shared" si="15"/>
        <v>ABST FEE</v>
      </c>
    </row>
    <row r="859" spans="1:8" x14ac:dyDescent="0.25">
      <c r="E859" t="str">
        <f>"13534"</f>
        <v>13534</v>
      </c>
      <c r="F859" t="str">
        <f t="shared" si="14"/>
        <v>ABST FEE</v>
      </c>
      <c r="G859" s="3">
        <v>7</v>
      </c>
      <c r="H859" t="str">
        <f t="shared" si="15"/>
        <v>ABST FEE</v>
      </c>
    </row>
    <row r="860" spans="1:8" x14ac:dyDescent="0.25">
      <c r="E860" t="str">
        <f>"13720"</f>
        <v>13720</v>
      </c>
      <c r="F860" t="str">
        <f t="shared" si="14"/>
        <v>ABST FEE</v>
      </c>
      <c r="G860" s="3">
        <v>225</v>
      </c>
      <c r="H860" t="str">
        <f t="shared" si="15"/>
        <v>ABST FEE</v>
      </c>
    </row>
    <row r="861" spans="1:8" x14ac:dyDescent="0.25">
      <c r="E861" t="str">
        <f>"13754"</f>
        <v>13754</v>
      </c>
      <c r="F861" t="str">
        <f t="shared" si="14"/>
        <v>ABST FEE</v>
      </c>
      <c r="G861" s="3">
        <v>225</v>
      </c>
      <c r="H861" t="str">
        <f t="shared" si="15"/>
        <v>ABST FEE</v>
      </c>
    </row>
    <row r="862" spans="1:8" x14ac:dyDescent="0.25">
      <c r="E862" t="str">
        <f>"202109075543"</f>
        <v>202109075543</v>
      </c>
      <c r="F862" t="str">
        <f>"AUGUST 2021"</f>
        <v>AUGUST 2021</v>
      </c>
      <c r="G862" s="3">
        <v>36911.919999999998</v>
      </c>
      <c r="H862" t="str">
        <f>"AUGUST 2021"</f>
        <v>AUGUST 2021</v>
      </c>
    </row>
    <row r="863" spans="1:8" x14ac:dyDescent="0.25">
      <c r="A863" t="s">
        <v>218</v>
      </c>
      <c r="B863">
        <v>137112</v>
      </c>
      <c r="C863" s="3">
        <v>1641.3</v>
      </c>
      <c r="D863" s="4">
        <v>44466</v>
      </c>
      <c r="E863" t="str">
        <f>"17119317"</f>
        <v>17119317</v>
      </c>
      <c r="F863" t="str">
        <f>"INV 17119317  17118740"</f>
        <v>INV 17119317  17118740</v>
      </c>
      <c r="G863" s="3">
        <v>165.71</v>
      </c>
      <c r="H863" t="str">
        <f>"INV 17119317"</f>
        <v>INV 17119317</v>
      </c>
    </row>
    <row r="864" spans="1:8" x14ac:dyDescent="0.25">
      <c r="E864" t="str">
        <f>""</f>
        <v/>
      </c>
      <c r="F864" t="str">
        <f>""</f>
        <v/>
      </c>
      <c r="G864" s="3">
        <v>1057.0899999999999</v>
      </c>
      <c r="H864" t="str">
        <f>"INV 17118740"</f>
        <v>INV 17118740</v>
      </c>
    </row>
    <row r="865" spans="1:8" x14ac:dyDescent="0.25">
      <c r="E865" t="str">
        <f>"18083331"</f>
        <v>18083331</v>
      </c>
      <c r="F865" t="str">
        <f>"INV 18083331  18106343"</f>
        <v>INV 18083331  18106343</v>
      </c>
      <c r="G865" s="3">
        <v>373.26</v>
      </c>
      <c r="H865" t="str">
        <f>"INV 18083331"</f>
        <v>INV 18083331</v>
      </c>
    </row>
    <row r="866" spans="1:8" x14ac:dyDescent="0.25">
      <c r="E866" t="str">
        <f>""</f>
        <v/>
      </c>
      <c r="F866" t="str">
        <f>""</f>
        <v/>
      </c>
      <c r="G866" s="3">
        <v>45.24</v>
      </c>
      <c r="H866" t="str">
        <f>"INV 18106343"</f>
        <v>INV 18106343</v>
      </c>
    </row>
    <row r="867" spans="1:8" x14ac:dyDescent="0.25">
      <c r="A867" t="s">
        <v>219</v>
      </c>
      <c r="B867">
        <v>137113</v>
      </c>
      <c r="C867" s="3">
        <v>1045.47</v>
      </c>
      <c r="D867" s="4">
        <v>44466</v>
      </c>
      <c r="E867" t="str">
        <f>"202109215855"</f>
        <v>202109215855</v>
      </c>
      <c r="F867" t="str">
        <f>"INDIGENT HEALTH"</f>
        <v>INDIGENT HEALTH</v>
      </c>
      <c r="G867" s="3">
        <v>1045.47</v>
      </c>
      <c r="H867" t="str">
        <f>"INDIGENT HEALTH"</f>
        <v>INDIGENT HEALTH</v>
      </c>
    </row>
    <row r="868" spans="1:8" x14ac:dyDescent="0.25">
      <c r="A868" t="s">
        <v>220</v>
      </c>
      <c r="B868">
        <v>5040</v>
      </c>
      <c r="C868" s="3">
        <v>51.93</v>
      </c>
      <c r="D868" s="4">
        <v>44453</v>
      </c>
      <c r="E868" t="str">
        <f>"202108315411"</f>
        <v>202108315411</v>
      </c>
      <c r="F868" t="str">
        <f>"REIMBURSE - MOUSE &amp; KEYBOARD"</f>
        <v>REIMBURSE - MOUSE &amp; KEYBOARD</v>
      </c>
      <c r="G868" s="3">
        <v>51.93</v>
      </c>
      <c r="H868" t="str">
        <f>"REIMBURSE - MOUSE &amp; KEYBOARD"</f>
        <v>REIMBURSE - MOUSE &amp; KEYBOARD</v>
      </c>
    </row>
    <row r="869" spans="1:8" x14ac:dyDescent="0.25">
      <c r="A869" t="s">
        <v>221</v>
      </c>
      <c r="B869">
        <v>136938</v>
      </c>
      <c r="C869" s="3">
        <v>200</v>
      </c>
      <c r="D869" s="4">
        <v>44452</v>
      </c>
      <c r="E869" t="str">
        <f>"242344765"</f>
        <v>242344765</v>
      </c>
      <c r="F869" t="str">
        <f>"CUST#10004926/ANIMAL SHELTER"</f>
        <v>CUST#10004926/ANIMAL SHELTER</v>
      </c>
      <c r="G869" s="3">
        <v>200</v>
      </c>
      <c r="H869" t="str">
        <f>"CUST#10004926/ANIMAL SHELTER"</f>
        <v>CUST#10004926/ANIMAL SHELTER</v>
      </c>
    </row>
    <row r="870" spans="1:8" x14ac:dyDescent="0.25">
      <c r="A870" t="s">
        <v>222</v>
      </c>
      <c r="B870">
        <v>5055</v>
      </c>
      <c r="C870" s="3">
        <v>100</v>
      </c>
      <c r="D870" s="4">
        <v>44453</v>
      </c>
      <c r="E870" t="str">
        <f>"21-024"</f>
        <v>21-024</v>
      </c>
      <c r="F870" t="str">
        <f>"423-7825"</f>
        <v>423-7825</v>
      </c>
      <c r="G870" s="3">
        <v>100</v>
      </c>
      <c r="H870" t="str">
        <f>"423-7825"</f>
        <v>423-7825</v>
      </c>
    </row>
    <row r="871" spans="1:8" x14ac:dyDescent="0.25">
      <c r="A871" t="s">
        <v>223</v>
      </c>
      <c r="B871">
        <v>5013</v>
      </c>
      <c r="C871" s="3">
        <v>1897.15</v>
      </c>
      <c r="D871" s="4">
        <v>44453</v>
      </c>
      <c r="E871" t="str">
        <f>"25331"</f>
        <v>25331</v>
      </c>
      <c r="F871" t="str">
        <f>"FRIGHT SALES/PCT#2"</f>
        <v>FRIGHT SALES/PCT#2</v>
      </c>
      <c r="G871" s="3">
        <v>371.15</v>
      </c>
      <c r="H871" t="str">
        <f>"FRIGHT SALES/PCT#2"</f>
        <v>FRIGHT SALES/PCT#2</v>
      </c>
    </row>
    <row r="872" spans="1:8" x14ac:dyDescent="0.25">
      <c r="E872" t="str">
        <f>"25373"</f>
        <v>25373</v>
      </c>
      <c r="F872" t="str">
        <f>"FRIGHT SALES/PCT#2"</f>
        <v>FRIGHT SALES/PCT#2</v>
      </c>
      <c r="G872" s="3">
        <v>708.9</v>
      </c>
      <c r="H872" t="str">
        <f>"FRIGHT SALES/PCT#2"</f>
        <v>FRIGHT SALES/PCT#2</v>
      </c>
    </row>
    <row r="873" spans="1:8" x14ac:dyDescent="0.25">
      <c r="E873" t="str">
        <f>"25431"</f>
        <v>25431</v>
      </c>
      <c r="F873" t="str">
        <f>"FREIGHT SALES/PCT#2"</f>
        <v>FREIGHT SALES/PCT#2</v>
      </c>
      <c r="G873" s="3">
        <v>817.1</v>
      </c>
      <c r="H873" t="str">
        <f>"FREIGHT SALES/PCT#2"</f>
        <v>FREIGHT SALES/PCT#2</v>
      </c>
    </row>
    <row r="874" spans="1:8" x14ac:dyDescent="0.25">
      <c r="A874" t="s">
        <v>223</v>
      </c>
      <c r="B874">
        <v>5106</v>
      </c>
      <c r="C874" s="3">
        <v>934.6</v>
      </c>
      <c r="D874" s="4">
        <v>44467</v>
      </c>
      <c r="E874" t="str">
        <f>"25484"</f>
        <v>25484</v>
      </c>
      <c r="F874" t="str">
        <f>"FRIGHT SALES/PCT#2"</f>
        <v>FRIGHT SALES/PCT#2</v>
      </c>
      <c r="G874" s="3">
        <v>470.8</v>
      </c>
      <c r="H874" t="str">
        <f>"FRIGHT SALES/PCT#2"</f>
        <v>FRIGHT SALES/PCT#2</v>
      </c>
    </row>
    <row r="875" spans="1:8" x14ac:dyDescent="0.25">
      <c r="E875" t="str">
        <f>"25531"</f>
        <v>25531</v>
      </c>
      <c r="F875" t="str">
        <f>"FRIGHT SALES/PCT#2"</f>
        <v>FRIGHT SALES/PCT#2</v>
      </c>
      <c r="G875" s="3">
        <v>463.8</v>
      </c>
      <c r="H875" t="str">
        <f>"FRIGHT SALES/PCT#2"</f>
        <v>FRIGHT SALES/PCT#2</v>
      </c>
    </row>
    <row r="876" spans="1:8" x14ac:dyDescent="0.25">
      <c r="A876" t="s">
        <v>224</v>
      </c>
      <c r="B876">
        <v>136939</v>
      </c>
      <c r="C876" s="3">
        <v>2500</v>
      </c>
      <c r="D876" s="4">
        <v>44452</v>
      </c>
      <c r="E876" t="str">
        <f>"202109075554"</f>
        <v>202109075554</v>
      </c>
      <c r="F876" t="str">
        <f>"TOAD SURVEY BILLING"</f>
        <v>TOAD SURVEY BILLING</v>
      </c>
      <c r="G876" s="3">
        <v>2500</v>
      </c>
      <c r="H876" t="str">
        <f>"TOAD SURVEY BILLING"</f>
        <v>TOAD SURVEY BILLING</v>
      </c>
    </row>
    <row r="877" spans="1:8" x14ac:dyDescent="0.25">
      <c r="A877" t="s">
        <v>225</v>
      </c>
      <c r="B877">
        <v>137023</v>
      </c>
      <c r="C877" s="3">
        <v>40</v>
      </c>
      <c r="D877" s="4">
        <v>44456</v>
      </c>
      <c r="E877" t="str">
        <f>"202109175745"</f>
        <v>202109175745</v>
      </c>
      <c r="F877" t="str">
        <f>"Misc"</f>
        <v>Misc</v>
      </c>
      <c r="G877" s="3">
        <v>40</v>
      </c>
      <c r="H877" t="str">
        <f>"FRANCES ELIZABETH DRUCK"</f>
        <v>FRANCES ELIZABETH DRUCK</v>
      </c>
    </row>
    <row r="878" spans="1:8" x14ac:dyDescent="0.25">
      <c r="A878" t="s">
        <v>226</v>
      </c>
      <c r="B878">
        <v>137024</v>
      </c>
      <c r="C878" s="3">
        <v>40</v>
      </c>
      <c r="D878" s="4">
        <v>44456</v>
      </c>
      <c r="E878" t="str">
        <f>"202109175746"</f>
        <v>202109175746</v>
      </c>
      <c r="F878" t="str">
        <f>"Miscel"</f>
        <v>Miscel</v>
      </c>
      <c r="G878" s="3">
        <v>40</v>
      </c>
      <c r="H878" t="str">
        <f>"KIRSTEN GILLIAM GLENN"</f>
        <v>KIRSTEN GILLIAM GLENN</v>
      </c>
    </row>
    <row r="879" spans="1:8" x14ac:dyDescent="0.25">
      <c r="A879" t="s">
        <v>227</v>
      </c>
      <c r="B879">
        <v>137025</v>
      </c>
      <c r="C879" s="3">
        <v>40</v>
      </c>
      <c r="D879" s="4">
        <v>44456</v>
      </c>
      <c r="E879" t="str">
        <f>"202109175747"</f>
        <v>202109175747</v>
      </c>
      <c r="F879" t="str">
        <f>"Miscellaneou"</f>
        <v>Miscellaneou</v>
      </c>
      <c r="G879" s="3">
        <v>40</v>
      </c>
      <c r="H879" t="str">
        <f>"ELIZABETH VALLE"</f>
        <v>ELIZABETH VALLE</v>
      </c>
    </row>
    <row r="880" spans="1:8" x14ac:dyDescent="0.25">
      <c r="A880" t="s">
        <v>228</v>
      </c>
      <c r="B880">
        <v>137026</v>
      </c>
      <c r="C880" s="3">
        <v>40</v>
      </c>
      <c r="D880" s="4">
        <v>44456</v>
      </c>
      <c r="E880" t="str">
        <f>"202109175748"</f>
        <v>202109175748</v>
      </c>
      <c r="F880" t="str">
        <f>"Miscell"</f>
        <v>Miscell</v>
      </c>
      <c r="G880" s="3">
        <v>40</v>
      </c>
      <c r="H880" t="str">
        <f>"HEATH EDWARD FREPPON"</f>
        <v>HEATH EDWARD FREPPON</v>
      </c>
    </row>
    <row r="881" spans="1:8" x14ac:dyDescent="0.25">
      <c r="A881" t="s">
        <v>229</v>
      </c>
      <c r="B881">
        <v>137027</v>
      </c>
      <c r="C881" s="3">
        <v>40</v>
      </c>
      <c r="D881" s="4">
        <v>44456</v>
      </c>
      <c r="E881" t="str">
        <f>"202109175749"</f>
        <v>202109175749</v>
      </c>
      <c r="F881" t="str">
        <f>"Miscella"</f>
        <v>Miscella</v>
      </c>
      <c r="G881" s="3">
        <v>40</v>
      </c>
      <c r="H881" t="str">
        <f>"GLENIS JANELL MCBEE"</f>
        <v>GLENIS JANELL MCBEE</v>
      </c>
    </row>
    <row r="882" spans="1:8" x14ac:dyDescent="0.25">
      <c r="A882" t="s">
        <v>230</v>
      </c>
      <c r="B882">
        <v>137028</v>
      </c>
      <c r="C882" s="3">
        <v>40</v>
      </c>
      <c r="D882" s="4">
        <v>44456</v>
      </c>
      <c r="E882" t="str">
        <f>"202109175750"</f>
        <v>202109175750</v>
      </c>
      <c r="F882" t="str">
        <f>"Miscella"</f>
        <v>Miscella</v>
      </c>
      <c r="G882" s="3">
        <v>40</v>
      </c>
      <c r="H882" t="str">
        <f>"JEFF BELL MILLER JR"</f>
        <v>JEFF BELL MILLER JR</v>
      </c>
    </row>
    <row r="883" spans="1:8" x14ac:dyDescent="0.25">
      <c r="A883" t="s">
        <v>231</v>
      </c>
      <c r="B883">
        <v>137029</v>
      </c>
      <c r="C883" s="3">
        <v>40</v>
      </c>
      <c r="D883" s="4">
        <v>44456</v>
      </c>
      <c r="E883" t="str">
        <f>"202109175751"</f>
        <v>202109175751</v>
      </c>
      <c r="F883" t="str">
        <f>"Miscell"</f>
        <v>Miscell</v>
      </c>
      <c r="G883" s="3">
        <v>40</v>
      </c>
      <c r="H883" t="str">
        <f>"RICHARD GERARD AMAYA"</f>
        <v>RICHARD GERARD AMAYA</v>
      </c>
    </row>
    <row r="884" spans="1:8" x14ac:dyDescent="0.25">
      <c r="A884" t="s">
        <v>232</v>
      </c>
      <c r="B884">
        <v>137030</v>
      </c>
      <c r="C884" s="3">
        <v>40</v>
      </c>
      <c r="D884" s="4">
        <v>44456</v>
      </c>
      <c r="E884" t="str">
        <f>"202109175752"</f>
        <v>202109175752</v>
      </c>
      <c r="F884" t="str">
        <f>"Miscella"</f>
        <v>Miscella</v>
      </c>
      <c r="G884" s="3">
        <v>40</v>
      </c>
      <c r="H884" t="str">
        <f>"AMY MICHELLE COLTER"</f>
        <v>AMY MICHELLE COLTER</v>
      </c>
    </row>
    <row r="885" spans="1:8" x14ac:dyDescent="0.25">
      <c r="A885" t="s">
        <v>225</v>
      </c>
      <c r="B885">
        <v>137031</v>
      </c>
      <c r="C885" s="3">
        <v>40</v>
      </c>
      <c r="D885" s="4">
        <v>44456</v>
      </c>
      <c r="E885" t="str">
        <f>"202109175753"</f>
        <v>202109175753</v>
      </c>
      <c r="F885" t="str">
        <f>"Misc"</f>
        <v>Misc</v>
      </c>
      <c r="G885" s="3">
        <v>40</v>
      </c>
      <c r="H885" t="str">
        <f>"FRANCES ELIZABETH DRUCK"</f>
        <v>FRANCES ELIZABETH DRUCK</v>
      </c>
    </row>
    <row r="886" spans="1:8" x14ac:dyDescent="0.25">
      <c r="A886" t="s">
        <v>226</v>
      </c>
      <c r="B886">
        <v>137032</v>
      </c>
      <c r="C886" s="3">
        <v>40</v>
      </c>
      <c r="D886" s="4">
        <v>44456</v>
      </c>
      <c r="E886" t="str">
        <f>"202109175754"</f>
        <v>202109175754</v>
      </c>
      <c r="F886" t="str">
        <f>"Miscel"</f>
        <v>Miscel</v>
      </c>
      <c r="G886" s="3">
        <v>40</v>
      </c>
      <c r="H886" t="str">
        <f>"KIRSTEN GILLIAM GLENN"</f>
        <v>KIRSTEN GILLIAM GLENN</v>
      </c>
    </row>
    <row r="887" spans="1:8" x14ac:dyDescent="0.25">
      <c r="A887" t="s">
        <v>229</v>
      </c>
      <c r="B887">
        <v>137033</v>
      </c>
      <c r="C887" s="3">
        <v>40</v>
      </c>
      <c r="D887" s="4">
        <v>44456</v>
      </c>
      <c r="E887" t="str">
        <f>"202109175755"</f>
        <v>202109175755</v>
      </c>
      <c r="F887" t="str">
        <f>"Miscella"</f>
        <v>Miscella</v>
      </c>
      <c r="G887" s="3">
        <v>40</v>
      </c>
      <c r="H887" t="str">
        <f>"GLENIS JANELL MCBEE"</f>
        <v>GLENIS JANELL MCBEE</v>
      </c>
    </row>
    <row r="888" spans="1:8" x14ac:dyDescent="0.25">
      <c r="A888" t="s">
        <v>233</v>
      </c>
      <c r="B888">
        <v>137034</v>
      </c>
      <c r="C888" s="3">
        <v>40</v>
      </c>
      <c r="D888" s="4">
        <v>44456</v>
      </c>
      <c r="E888" t="str">
        <f>"202109175756"</f>
        <v>202109175756</v>
      </c>
      <c r="F888" t="str">
        <f>"Miscellan"</f>
        <v>Miscellan</v>
      </c>
      <c r="G888" s="3">
        <v>40</v>
      </c>
      <c r="H888" t="str">
        <f>"STARBUCK LYNN GAUL"</f>
        <v>STARBUCK LYNN GAUL</v>
      </c>
    </row>
    <row r="889" spans="1:8" x14ac:dyDescent="0.25">
      <c r="A889" t="s">
        <v>234</v>
      </c>
      <c r="B889">
        <v>137035</v>
      </c>
      <c r="C889" s="3">
        <v>40</v>
      </c>
      <c r="D889" s="4">
        <v>44456</v>
      </c>
      <c r="E889" t="str">
        <f>"202109175757"</f>
        <v>202109175757</v>
      </c>
      <c r="F889" t="str">
        <f>"Miscellane"</f>
        <v>Miscellane</v>
      </c>
      <c r="G889" s="3">
        <v>40</v>
      </c>
      <c r="H889" t="str">
        <f>"ROBIN LYNN LILLEY"</f>
        <v>ROBIN LYNN LILLEY</v>
      </c>
    </row>
    <row r="890" spans="1:8" x14ac:dyDescent="0.25">
      <c r="A890" t="s">
        <v>231</v>
      </c>
      <c r="B890">
        <v>137036</v>
      </c>
      <c r="C890" s="3">
        <v>40</v>
      </c>
      <c r="D890" s="4">
        <v>44456</v>
      </c>
      <c r="E890" t="str">
        <f>"202109175758"</f>
        <v>202109175758</v>
      </c>
      <c r="F890" t="str">
        <f>"Miscell"</f>
        <v>Miscell</v>
      </c>
      <c r="G890" s="3">
        <v>40</v>
      </c>
      <c r="H890" t="str">
        <f>"RICHARD GERARD AMAYA"</f>
        <v>RICHARD GERARD AMAYA</v>
      </c>
    </row>
    <row r="891" spans="1:8" x14ac:dyDescent="0.25">
      <c r="A891" t="s">
        <v>230</v>
      </c>
      <c r="B891">
        <v>137037</v>
      </c>
      <c r="C891" s="3">
        <v>40</v>
      </c>
      <c r="D891" s="4">
        <v>44456</v>
      </c>
      <c r="E891" t="str">
        <f>"202109175759"</f>
        <v>202109175759</v>
      </c>
      <c r="F891" t="str">
        <f>"Miscella"</f>
        <v>Miscella</v>
      </c>
      <c r="G891" s="3">
        <v>40</v>
      </c>
      <c r="H891" t="str">
        <f>"JEFF BELL MILLER JR"</f>
        <v>JEFF BELL MILLER JR</v>
      </c>
    </row>
    <row r="892" spans="1:8" x14ac:dyDescent="0.25">
      <c r="A892" t="s">
        <v>235</v>
      </c>
      <c r="B892">
        <v>137038</v>
      </c>
      <c r="C892" s="3">
        <v>40</v>
      </c>
      <c r="D892" s="4">
        <v>44456</v>
      </c>
      <c r="E892" t="str">
        <f>"202109175760"</f>
        <v>202109175760</v>
      </c>
      <c r="F892" t="str">
        <f>"Miscel"</f>
        <v>Miscel</v>
      </c>
      <c r="G892" s="3">
        <v>40</v>
      </c>
      <c r="H892" t="str">
        <f>"CLARK RONALD BERNHARD"</f>
        <v>CLARK RONALD BERNHARD</v>
      </c>
    </row>
    <row r="893" spans="1:8" x14ac:dyDescent="0.25">
      <c r="A893" t="s">
        <v>232</v>
      </c>
      <c r="B893">
        <v>137039</v>
      </c>
      <c r="C893" s="3">
        <v>40</v>
      </c>
      <c r="D893" s="4">
        <v>44456</v>
      </c>
      <c r="E893" t="str">
        <f>"202109175761"</f>
        <v>202109175761</v>
      </c>
      <c r="F893" t="str">
        <f>"Miscella"</f>
        <v>Miscella</v>
      </c>
      <c r="G893" s="3">
        <v>40</v>
      </c>
      <c r="H893" t="str">
        <f>"AMY MICHELLE COLTER"</f>
        <v>AMY MICHELLE COLTER</v>
      </c>
    </row>
    <row r="894" spans="1:8" x14ac:dyDescent="0.25">
      <c r="A894" t="s">
        <v>236</v>
      </c>
      <c r="B894">
        <v>137114</v>
      </c>
      <c r="C894" s="3">
        <v>120</v>
      </c>
      <c r="D894" s="4">
        <v>44466</v>
      </c>
      <c r="E894" t="str">
        <f>"202109175736"</f>
        <v>202109175736</v>
      </c>
      <c r="F894" t="str">
        <f>"RESTITUTION/OMAR CABALLERO"</f>
        <v>RESTITUTION/OMAR CABALLERO</v>
      </c>
      <c r="G894" s="3">
        <v>120</v>
      </c>
      <c r="H894" t="str">
        <f>"RESTITUTION/OMAR CABALLERO"</f>
        <v>RESTITUTION/OMAR CABALLERO</v>
      </c>
    </row>
    <row r="895" spans="1:8" x14ac:dyDescent="0.25">
      <c r="A895" t="s">
        <v>237</v>
      </c>
      <c r="B895">
        <v>136940</v>
      </c>
      <c r="C895" s="3">
        <v>3790</v>
      </c>
      <c r="D895" s="4">
        <v>44452</v>
      </c>
      <c r="E895" t="str">
        <f>"21144"</f>
        <v>21144</v>
      </c>
      <c r="F895" t="str">
        <f>"Web Accessibility"</f>
        <v>Web Accessibility</v>
      </c>
      <c r="G895" s="3">
        <v>3330</v>
      </c>
      <c r="H895" t="str">
        <f>"Web Accessibility"</f>
        <v>Web Accessibility</v>
      </c>
    </row>
    <row r="896" spans="1:8" x14ac:dyDescent="0.25">
      <c r="E896" t="str">
        <f>""</f>
        <v/>
      </c>
      <c r="F896" t="str">
        <f>""</f>
        <v/>
      </c>
      <c r="G896" s="3">
        <v>460</v>
      </c>
      <c r="H896" t="str">
        <f>"PDF Accessibility"</f>
        <v>PDF Accessibility</v>
      </c>
    </row>
    <row r="897" spans="1:8" x14ac:dyDescent="0.25">
      <c r="A897" t="s">
        <v>238</v>
      </c>
      <c r="B897">
        <v>137115</v>
      </c>
      <c r="C897" s="3">
        <v>50094.720000000001</v>
      </c>
      <c r="D897" s="4">
        <v>44466</v>
      </c>
      <c r="E897" t="str">
        <f>"1188078956"</f>
        <v>1188078956</v>
      </c>
      <c r="F897" t="str">
        <f>"CUST#103621577/AUGUST"</f>
        <v>CUST#103621577/AUGUST</v>
      </c>
      <c r="G897" s="3">
        <v>25047.360000000001</v>
      </c>
      <c r="H897" t="str">
        <f>"CUST#103621577/AUGUST"</f>
        <v>CUST#103621577/AUGUST</v>
      </c>
    </row>
    <row r="898" spans="1:8" x14ac:dyDescent="0.25">
      <c r="E898" t="str">
        <f>"1188078957"</f>
        <v>1188078957</v>
      </c>
      <c r="F898" t="str">
        <f>"CUST#103621577/SEPTEMBER"</f>
        <v>CUST#103621577/SEPTEMBER</v>
      </c>
      <c r="G898" s="3">
        <v>25047.360000000001</v>
      </c>
      <c r="H898" t="str">
        <f>"CUST#103621577/SEPTEMBER"</f>
        <v>CUST#103621577/SEPTEMBER</v>
      </c>
    </row>
    <row r="899" spans="1:8" x14ac:dyDescent="0.25">
      <c r="A899" t="s">
        <v>239</v>
      </c>
      <c r="B899">
        <v>5065</v>
      </c>
      <c r="C899" s="3">
        <v>469.17</v>
      </c>
      <c r="D899" s="4">
        <v>44453</v>
      </c>
      <c r="E899" t="str">
        <f>"202103745"</f>
        <v>202103745</v>
      </c>
      <c r="F899" t="str">
        <f>"CUST#48021"</f>
        <v>CUST#48021</v>
      </c>
      <c r="G899" s="3">
        <v>469.17</v>
      </c>
      <c r="H899" t="str">
        <f>"CUST#48021"</f>
        <v>CUST#48021</v>
      </c>
    </row>
    <row r="900" spans="1:8" x14ac:dyDescent="0.25">
      <c r="A900" t="s">
        <v>240</v>
      </c>
      <c r="B900">
        <v>5004</v>
      </c>
      <c r="C900" s="3">
        <v>2327.9</v>
      </c>
      <c r="D900" s="4">
        <v>44453</v>
      </c>
      <c r="E900" t="str">
        <f>"IN0864160"</f>
        <v>IN0864160</v>
      </c>
      <c r="F900" t="str">
        <f>"INV IN0864160"</f>
        <v>INV IN0864160</v>
      </c>
      <c r="G900" s="3">
        <v>2327.9</v>
      </c>
      <c r="H900" t="str">
        <f>"INV IN0864160"</f>
        <v>INV IN0864160</v>
      </c>
    </row>
    <row r="901" spans="1:8" x14ac:dyDescent="0.25">
      <c r="A901" t="s">
        <v>240</v>
      </c>
      <c r="B901">
        <v>5099</v>
      </c>
      <c r="C901" s="3">
        <v>3326.25</v>
      </c>
      <c r="D901" s="4">
        <v>44467</v>
      </c>
      <c r="E901" t="str">
        <f>"INV0865215"</f>
        <v>INV0865215</v>
      </c>
      <c r="F901" t="str">
        <f>"INV IN0865215"</f>
        <v>INV IN0865215</v>
      </c>
      <c r="G901" s="3">
        <v>3326.25</v>
      </c>
      <c r="H901" t="str">
        <f>"INV IN0865215"</f>
        <v>INV IN0865215</v>
      </c>
    </row>
    <row r="902" spans="1:8" x14ac:dyDescent="0.25">
      <c r="A902" t="s">
        <v>241</v>
      </c>
      <c r="B902">
        <v>136941</v>
      </c>
      <c r="C902" s="3">
        <v>5320</v>
      </c>
      <c r="D902" s="4">
        <v>44452</v>
      </c>
      <c r="E902" t="str">
        <f>"11064"</f>
        <v>11064</v>
      </c>
      <c r="F902" t="str">
        <f>"Annual Equipement"</f>
        <v>Annual Equipement</v>
      </c>
      <c r="G902" s="3">
        <v>1920</v>
      </c>
      <c r="H902" t="str">
        <f>"Annual Equipement"</f>
        <v>Annual Equipement</v>
      </c>
    </row>
    <row r="903" spans="1:8" x14ac:dyDescent="0.25">
      <c r="E903" t="str">
        <f>""</f>
        <v/>
      </c>
      <c r="F903" t="str">
        <f>""</f>
        <v/>
      </c>
      <c r="G903" s="3">
        <v>2500</v>
      </c>
      <c r="H903" t="str">
        <f>"Annual Server Host"</f>
        <v>Annual Server Host</v>
      </c>
    </row>
    <row r="904" spans="1:8" x14ac:dyDescent="0.25">
      <c r="E904" t="str">
        <f>""</f>
        <v/>
      </c>
      <c r="F904" t="str">
        <f>""</f>
        <v/>
      </c>
      <c r="G904" s="3">
        <v>900</v>
      </c>
      <c r="H904" t="str">
        <f>"SMS"</f>
        <v>SMS</v>
      </c>
    </row>
    <row r="905" spans="1:8" x14ac:dyDescent="0.25">
      <c r="A905" t="s">
        <v>242</v>
      </c>
      <c r="B905">
        <v>137116</v>
      </c>
      <c r="C905" s="3">
        <v>395</v>
      </c>
      <c r="D905" s="4">
        <v>44466</v>
      </c>
      <c r="E905" t="str">
        <f>"T13194"</f>
        <v>T13194</v>
      </c>
      <c r="F905" t="str">
        <f>"Note Page Inc."</f>
        <v>Note Page Inc.</v>
      </c>
      <c r="G905" s="3">
        <v>395</v>
      </c>
      <c r="H905" t="str">
        <f>"Note Page Inc."</f>
        <v>Note Page Inc.</v>
      </c>
    </row>
    <row r="906" spans="1:8" x14ac:dyDescent="0.25">
      <c r="A906" t="s">
        <v>243</v>
      </c>
      <c r="B906">
        <v>136942</v>
      </c>
      <c r="C906" s="3">
        <v>1485.85</v>
      </c>
      <c r="D906" s="4">
        <v>44452</v>
      </c>
      <c r="E906" t="str">
        <f>"405263S"</f>
        <v>405263S</v>
      </c>
      <c r="F906" t="str">
        <f>"CUST#38859/PCT#1"</f>
        <v>CUST#38859/PCT#1</v>
      </c>
      <c r="G906" s="3">
        <v>1485.85</v>
      </c>
      <c r="H906" t="str">
        <f>"CUST#38859/PCT#1"</f>
        <v>CUST#38859/PCT#1</v>
      </c>
    </row>
    <row r="907" spans="1:8" x14ac:dyDescent="0.25">
      <c r="A907" t="s">
        <v>244</v>
      </c>
      <c r="B907">
        <v>5160</v>
      </c>
      <c r="C907" s="3">
        <v>257.52999999999997</v>
      </c>
      <c r="D907" s="4">
        <v>44467</v>
      </c>
      <c r="E907" t="str">
        <f>"0581-312788"</f>
        <v>0581-312788</v>
      </c>
      <c r="F907" t="str">
        <f>"INV 0581-312788"</f>
        <v>INV 0581-312788</v>
      </c>
      <c r="G907" s="3">
        <v>204.45</v>
      </c>
      <c r="H907" t="str">
        <f>"INV 0581-312788"</f>
        <v>INV 0581-312788</v>
      </c>
    </row>
    <row r="908" spans="1:8" x14ac:dyDescent="0.25">
      <c r="E908" t="str">
        <f>"0581-326721"</f>
        <v>0581-326721</v>
      </c>
      <c r="F908" t="str">
        <f>"CUST#1772018/DEVELOPEMNT SVCS"</f>
        <v>CUST#1772018/DEVELOPEMNT SVCS</v>
      </c>
      <c r="G908" s="3">
        <v>53.08</v>
      </c>
      <c r="H908" t="str">
        <f>"CUST#1772018/DEVELOPEMNT SVCS"</f>
        <v>CUST#1772018/DEVELOPEMNT SVCS</v>
      </c>
    </row>
    <row r="909" spans="1:8" x14ac:dyDescent="0.25">
      <c r="A909" t="s">
        <v>245</v>
      </c>
      <c r="B909">
        <v>136943</v>
      </c>
      <c r="C909" s="3">
        <v>5652.83</v>
      </c>
      <c r="D909" s="4">
        <v>44452</v>
      </c>
      <c r="E909" t="str">
        <f>"19298841"</f>
        <v>19298841</v>
      </c>
      <c r="F909" t="str">
        <f>"Office Depot"</f>
        <v>Office Depot</v>
      </c>
      <c r="G909" s="3">
        <v>180.15</v>
      </c>
      <c r="H909" t="str">
        <f>"188385680001"</f>
        <v>188385680001</v>
      </c>
    </row>
    <row r="910" spans="1:8" x14ac:dyDescent="0.25">
      <c r="E910" t="str">
        <f>""</f>
        <v/>
      </c>
      <c r="F910" t="str">
        <f>""</f>
        <v/>
      </c>
      <c r="G910" s="3">
        <v>856.58</v>
      </c>
      <c r="H910" t="str">
        <f>"186957444001"</f>
        <v>186957444001</v>
      </c>
    </row>
    <row r="911" spans="1:8" x14ac:dyDescent="0.25">
      <c r="E911" t="str">
        <f>""</f>
        <v/>
      </c>
      <c r="F911" t="str">
        <f>""</f>
        <v/>
      </c>
      <c r="G911" s="3">
        <v>7.4</v>
      </c>
      <c r="H911" t="str">
        <f>"186960770001"</f>
        <v>186960770001</v>
      </c>
    </row>
    <row r="912" spans="1:8" x14ac:dyDescent="0.25">
      <c r="E912" t="str">
        <f>""</f>
        <v/>
      </c>
      <c r="F912" t="str">
        <f>""</f>
        <v/>
      </c>
      <c r="G912" s="3">
        <v>42.78</v>
      </c>
      <c r="H912" t="str">
        <f>"186960771001"</f>
        <v>186960771001</v>
      </c>
    </row>
    <row r="913" spans="5:8" x14ac:dyDescent="0.25">
      <c r="E913" t="str">
        <f>""</f>
        <v/>
      </c>
      <c r="F913" t="str">
        <f>""</f>
        <v/>
      </c>
      <c r="G913" s="3">
        <v>375.59</v>
      </c>
      <c r="H913" t="str">
        <f>"186960772001"</f>
        <v>186960772001</v>
      </c>
    </row>
    <row r="914" spans="5:8" x14ac:dyDescent="0.25">
      <c r="E914" t="str">
        <f>""</f>
        <v/>
      </c>
      <c r="F914" t="str">
        <f>""</f>
        <v/>
      </c>
      <c r="G914" s="3">
        <v>5.48</v>
      </c>
      <c r="H914" t="str">
        <f>"188352063001"</f>
        <v>188352063001</v>
      </c>
    </row>
    <row r="915" spans="5:8" x14ac:dyDescent="0.25">
      <c r="E915" t="str">
        <f>""</f>
        <v/>
      </c>
      <c r="F915" t="str">
        <f>""</f>
        <v/>
      </c>
      <c r="G915" s="3">
        <v>156.85</v>
      </c>
      <c r="H915" t="str">
        <f>"188175879001"</f>
        <v>188175879001</v>
      </c>
    </row>
    <row r="916" spans="5:8" x14ac:dyDescent="0.25">
      <c r="E916" t="str">
        <f>""</f>
        <v/>
      </c>
      <c r="F916" t="str">
        <f>""</f>
        <v/>
      </c>
      <c r="G916" s="3">
        <v>105.9</v>
      </c>
      <c r="H916" t="str">
        <f>"188186424001"</f>
        <v>188186424001</v>
      </c>
    </row>
    <row r="917" spans="5:8" x14ac:dyDescent="0.25">
      <c r="E917" t="str">
        <f>""</f>
        <v/>
      </c>
      <c r="F917" t="str">
        <f>""</f>
        <v/>
      </c>
      <c r="G917" s="3">
        <v>94.86</v>
      </c>
      <c r="H917" t="str">
        <f>"186102616001"</f>
        <v>186102616001</v>
      </c>
    </row>
    <row r="918" spans="5:8" x14ac:dyDescent="0.25">
      <c r="E918" t="str">
        <f>"202109075598"</f>
        <v>202109075598</v>
      </c>
      <c r="F918" t="str">
        <f>"Office Depot"</f>
        <v>Office Depot</v>
      </c>
      <c r="G918" s="3">
        <v>93.93</v>
      </c>
      <c r="H918" t="str">
        <f>"189488771001"</f>
        <v>189488771001</v>
      </c>
    </row>
    <row r="919" spans="5:8" x14ac:dyDescent="0.25">
      <c r="E919" t="str">
        <f>""</f>
        <v/>
      </c>
      <c r="F919" t="str">
        <f>""</f>
        <v/>
      </c>
      <c r="G919" s="3">
        <v>10.79</v>
      </c>
      <c r="H919" t="str">
        <f>"189505875001"</f>
        <v>189505875001</v>
      </c>
    </row>
    <row r="920" spans="5:8" x14ac:dyDescent="0.25">
      <c r="E920" t="str">
        <f>""</f>
        <v/>
      </c>
      <c r="F920" t="str">
        <f>""</f>
        <v/>
      </c>
      <c r="G920" s="3">
        <v>85.09</v>
      </c>
      <c r="H920" t="str">
        <f>"193103294001"</f>
        <v>193103294001</v>
      </c>
    </row>
    <row r="921" spans="5:8" x14ac:dyDescent="0.25">
      <c r="E921" t="str">
        <f>""</f>
        <v/>
      </c>
      <c r="F921" t="str">
        <f>""</f>
        <v/>
      </c>
      <c r="G921" s="3">
        <v>415.9</v>
      </c>
      <c r="H921" t="str">
        <f>"191560156001"</f>
        <v>191560156001</v>
      </c>
    </row>
    <row r="922" spans="5:8" x14ac:dyDescent="0.25">
      <c r="E922" t="str">
        <f>""</f>
        <v/>
      </c>
      <c r="F922" t="str">
        <f>""</f>
        <v/>
      </c>
      <c r="G922" s="3">
        <v>16.989999999999998</v>
      </c>
      <c r="H922" t="str">
        <f>"191560156002"</f>
        <v>191560156002</v>
      </c>
    </row>
    <row r="923" spans="5:8" x14ac:dyDescent="0.25">
      <c r="E923" t="str">
        <f>""</f>
        <v/>
      </c>
      <c r="F923" t="str">
        <f>""</f>
        <v/>
      </c>
      <c r="G923" s="3">
        <v>3.06</v>
      </c>
      <c r="H923" t="str">
        <f>"191560156003"</f>
        <v>191560156003</v>
      </c>
    </row>
    <row r="924" spans="5:8" x14ac:dyDescent="0.25">
      <c r="E924" t="str">
        <f>""</f>
        <v/>
      </c>
      <c r="F924" t="str">
        <f>""</f>
        <v/>
      </c>
      <c r="G924" s="3">
        <v>331.64</v>
      </c>
      <c r="H924" t="str">
        <f>"191564386001"</f>
        <v>191564386001</v>
      </c>
    </row>
    <row r="925" spans="5:8" x14ac:dyDescent="0.25">
      <c r="E925" t="str">
        <f>""</f>
        <v/>
      </c>
      <c r="F925" t="str">
        <f>""</f>
        <v/>
      </c>
      <c r="G925" s="3">
        <v>23.39</v>
      </c>
      <c r="H925" t="str">
        <f>"191564387001"</f>
        <v>191564387001</v>
      </c>
    </row>
    <row r="926" spans="5:8" x14ac:dyDescent="0.25">
      <c r="E926" t="str">
        <f>""</f>
        <v/>
      </c>
      <c r="F926" t="str">
        <f>""</f>
        <v/>
      </c>
      <c r="G926" s="3">
        <v>34.5</v>
      </c>
      <c r="H926" t="str">
        <f>"191564390001"</f>
        <v>191564390001</v>
      </c>
    </row>
    <row r="927" spans="5:8" x14ac:dyDescent="0.25">
      <c r="E927" t="str">
        <f>""</f>
        <v/>
      </c>
      <c r="F927" t="str">
        <f>""</f>
        <v/>
      </c>
      <c r="G927" s="3">
        <v>4.88</v>
      </c>
      <c r="H927" t="str">
        <f>"191564391001"</f>
        <v>191564391001</v>
      </c>
    </row>
    <row r="928" spans="5:8" x14ac:dyDescent="0.25">
      <c r="E928" t="str">
        <f>""</f>
        <v/>
      </c>
      <c r="F928" t="str">
        <f>""</f>
        <v/>
      </c>
      <c r="G928" s="3">
        <v>141.97999999999999</v>
      </c>
      <c r="H928" t="str">
        <f>"191564393001"</f>
        <v>191564393001</v>
      </c>
    </row>
    <row r="929" spans="5:8" x14ac:dyDescent="0.25">
      <c r="E929" t="str">
        <f>""</f>
        <v/>
      </c>
      <c r="F929" t="str">
        <f>""</f>
        <v/>
      </c>
      <c r="G929" s="3">
        <v>-141.97999999999999</v>
      </c>
      <c r="H929" t="str">
        <f>"192331215001"</f>
        <v>192331215001</v>
      </c>
    </row>
    <row r="930" spans="5:8" x14ac:dyDescent="0.25">
      <c r="E930" t="str">
        <f>""</f>
        <v/>
      </c>
      <c r="F930" t="str">
        <f>""</f>
        <v/>
      </c>
      <c r="G930" s="3">
        <v>97.23</v>
      </c>
      <c r="H930" t="str">
        <f>"192508094001"</f>
        <v>192508094001</v>
      </c>
    </row>
    <row r="931" spans="5:8" x14ac:dyDescent="0.25">
      <c r="E931" t="str">
        <f>""</f>
        <v/>
      </c>
      <c r="F931" t="str">
        <f>""</f>
        <v/>
      </c>
      <c r="G931" s="3">
        <v>73.59</v>
      </c>
      <c r="H931" t="str">
        <f>"192492456001"</f>
        <v>192492456001</v>
      </c>
    </row>
    <row r="932" spans="5:8" x14ac:dyDescent="0.25">
      <c r="E932" t="str">
        <f>""</f>
        <v/>
      </c>
      <c r="F932" t="str">
        <f>""</f>
        <v/>
      </c>
      <c r="G932" s="3">
        <v>202.07</v>
      </c>
      <c r="H932" t="str">
        <f>"191863489001"</f>
        <v>191863489001</v>
      </c>
    </row>
    <row r="933" spans="5:8" x14ac:dyDescent="0.25">
      <c r="E933" t="str">
        <f>""</f>
        <v/>
      </c>
      <c r="F933" t="str">
        <f>""</f>
        <v/>
      </c>
      <c r="G933" s="3">
        <v>6.28</v>
      </c>
      <c r="H933" t="str">
        <f>"191863492001"</f>
        <v>191863492001</v>
      </c>
    </row>
    <row r="934" spans="5:8" x14ac:dyDescent="0.25">
      <c r="E934" t="str">
        <f>""</f>
        <v/>
      </c>
      <c r="F934" t="str">
        <f>""</f>
        <v/>
      </c>
      <c r="G934" s="3">
        <v>11.19</v>
      </c>
      <c r="H934" t="str">
        <f>"191863494001"</f>
        <v>191863494001</v>
      </c>
    </row>
    <row r="935" spans="5:8" x14ac:dyDescent="0.25">
      <c r="E935" t="str">
        <f>""</f>
        <v/>
      </c>
      <c r="F935" t="str">
        <f>""</f>
        <v/>
      </c>
      <c r="G935" s="3">
        <v>27.58</v>
      </c>
      <c r="H935" t="str">
        <f>"191863497001"</f>
        <v>191863497001</v>
      </c>
    </row>
    <row r="936" spans="5:8" x14ac:dyDescent="0.25">
      <c r="E936" t="str">
        <f>""</f>
        <v/>
      </c>
      <c r="F936" t="str">
        <f>""</f>
        <v/>
      </c>
      <c r="G936" s="3">
        <v>170.94</v>
      </c>
      <c r="H936" t="str">
        <f>"191863525001"</f>
        <v>191863525001</v>
      </c>
    </row>
    <row r="937" spans="5:8" x14ac:dyDescent="0.25">
      <c r="E937" t="str">
        <f>""</f>
        <v/>
      </c>
      <c r="F937" t="str">
        <f>""</f>
        <v/>
      </c>
      <c r="G937" s="3">
        <v>697.29</v>
      </c>
      <c r="H937" t="str">
        <f>"191222153001"</f>
        <v>191222153001</v>
      </c>
    </row>
    <row r="938" spans="5:8" x14ac:dyDescent="0.25">
      <c r="E938" t="str">
        <f>""</f>
        <v/>
      </c>
      <c r="F938" t="str">
        <f>""</f>
        <v/>
      </c>
      <c r="G938" s="3">
        <v>5.76</v>
      </c>
      <c r="H938" t="str">
        <f>"191227956001"</f>
        <v>191227956001</v>
      </c>
    </row>
    <row r="939" spans="5:8" x14ac:dyDescent="0.25">
      <c r="E939" t="str">
        <f>""</f>
        <v/>
      </c>
      <c r="F939" t="str">
        <f>""</f>
        <v/>
      </c>
      <c r="G939" s="3">
        <v>13.99</v>
      </c>
      <c r="H939" t="str">
        <f>"191227970001"</f>
        <v>191227970001</v>
      </c>
    </row>
    <row r="940" spans="5:8" x14ac:dyDescent="0.25">
      <c r="E940" t="str">
        <f>""</f>
        <v/>
      </c>
      <c r="F940" t="str">
        <f>""</f>
        <v/>
      </c>
      <c r="G940" s="3">
        <v>53.42</v>
      </c>
      <c r="H940" t="str">
        <f>"191227975001"</f>
        <v>191227975001</v>
      </c>
    </row>
    <row r="941" spans="5:8" x14ac:dyDescent="0.25">
      <c r="E941" t="str">
        <f>""</f>
        <v/>
      </c>
      <c r="F941" t="str">
        <f>""</f>
        <v/>
      </c>
      <c r="G941" s="3">
        <v>65.16</v>
      </c>
      <c r="H941" t="str">
        <f>"191227977001"</f>
        <v>191227977001</v>
      </c>
    </row>
    <row r="942" spans="5:8" x14ac:dyDescent="0.25">
      <c r="E942" t="str">
        <f>""</f>
        <v/>
      </c>
      <c r="F942" t="str">
        <f>""</f>
        <v/>
      </c>
      <c r="G942" s="3">
        <v>28.37</v>
      </c>
      <c r="H942" t="str">
        <f>"191227978001"</f>
        <v>191227978001</v>
      </c>
    </row>
    <row r="943" spans="5:8" x14ac:dyDescent="0.25">
      <c r="E943" t="str">
        <f>""</f>
        <v/>
      </c>
      <c r="F943" t="str">
        <f>""</f>
        <v/>
      </c>
      <c r="G943" s="3">
        <v>52.79</v>
      </c>
      <c r="H943" t="str">
        <f>"191622768001"</f>
        <v>191622768001</v>
      </c>
    </row>
    <row r="944" spans="5:8" x14ac:dyDescent="0.25">
      <c r="E944" t="str">
        <f>""</f>
        <v/>
      </c>
      <c r="F944" t="str">
        <f>""</f>
        <v/>
      </c>
      <c r="G944" s="3">
        <v>144.46</v>
      </c>
      <c r="H944" t="str">
        <f>"189134394001"</f>
        <v>189134394001</v>
      </c>
    </row>
    <row r="945" spans="1:8" x14ac:dyDescent="0.25">
      <c r="E945" t="str">
        <f>""</f>
        <v/>
      </c>
      <c r="F945" t="str">
        <f>""</f>
        <v/>
      </c>
      <c r="G945" s="3">
        <v>218.3</v>
      </c>
      <c r="H945" t="str">
        <f>"192350216001"</f>
        <v>192350216001</v>
      </c>
    </row>
    <row r="946" spans="1:8" x14ac:dyDescent="0.25">
      <c r="E946" t="str">
        <f>""</f>
        <v/>
      </c>
      <c r="F946" t="str">
        <f>""</f>
        <v/>
      </c>
      <c r="G946" s="3">
        <v>5.36</v>
      </c>
      <c r="H946" t="str">
        <f>"192351158001"</f>
        <v>192351158001</v>
      </c>
    </row>
    <row r="947" spans="1:8" x14ac:dyDescent="0.25">
      <c r="E947" t="str">
        <f>""</f>
        <v/>
      </c>
      <c r="F947" t="str">
        <f>""</f>
        <v/>
      </c>
      <c r="G947" s="3">
        <v>49.99</v>
      </c>
      <c r="H947" t="str">
        <f>"192351161001"</f>
        <v>192351161001</v>
      </c>
    </row>
    <row r="948" spans="1:8" x14ac:dyDescent="0.25">
      <c r="E948" t="str">
        <f>""</f>
        <v/>
      </c>
      <c r="F948" t="str">
        <f>""</f>
        <v/>
      </c>
      <c r="G948" s="3">
        <v>37.99</v>
      </c>
      <c r="H948" t="str">
        <f>"191782752001"</f>
        <v>191782752001</v>
      </c>
    </row>
    <row r="949" spans="1:8" x14ac:dyDescent="0.25">
      <c r="E949" t="str">
        <f>""</f>
        <v/>
      </c>
      <c r="F949" t="str">
        <f>""</f>
        <v/>
      </c>
      <c r="G949" s="3">
        <v>31.35</v>
      </c>
      <c r="H949" t="str">
        <f>"191782755001"</f>
        <v>191782755001</v>
      </c>
    </row>
    <row r="950" spans="1:8" x14ac:dyDescent="0.25">
      <c r="E950" t="str">
        <f>""</f>
        <v/>
      </c>
      <c r="F950" t="str">
        <f>""</f>
        <v/>
      </c>
      <c r="G950" s="3">
        <v>257.12</v>
      </c>
      <c r="H950" t="str">
        <f>"188101099001"</f>
        <v>188101099001</v>
      </c>
    </row>
    <row r="951" spans="1:8" x14ac:dyDescent="0.25">
      <c r="E951" t="str">
        <f>""</f>
        <v/>
      </c>
      <c r="F951" t="str">
        <f>""</f>
        <v/>
      </c>
      <c r="G951" s="3">
        <v>235.4</v>
      </c>
      <c r="H951" t="str">
        <f>"188101099002"</f>
        <v>188101099002</v>
      </c>
    </row>
    <row r="952" spans="1:8" x14ac:dyDescent="0.25">
      <c r="E952" t="str">
        <f>""</f>
        <v/>
      </c>
      <c r="F952" t="str">
        <f>""</f>
        <v/>
      </c>
      <c r="G952" s="3">
        <v>231.45</v>
      </c>
      <c r="H952" t="str">
        <f>"189334379001"</f>
        <v>189334379001</v>
      </c>
    </row>
    <row r="953" spans="1:8" x14ac:dyDescent="0.25">
      <c r="E953" t="str">
        <f>""</f>
        <v/>
      </c>
      <c r="F953" t="str">
        <f>""</f>
        <v/>
      </c>
      <c r="G953" s="3">
        <v>89.99</v>
      </c>
      <c r="H953" t="str">
        <f>"189341037001"</f>
        <v>189341037001</v>
      </c>
    </row>
    <row r="954" spans="1:8" x14ac:dyDescent="0.25">
      <c r="A954" t="s">
        <v>245</v>
      </c>
      <c r="B954">
        <v>137117</v>
      </c>
      <c r="C954" s="3">
        <v>2519.29</v>
      </c>
      <c r="D954" s="4">
        <v>44466</v>
      </c>
      <c r="E954" t="str">
        <f>"19617045"</f>
        <v>19617045</v>
      </c>
      <c r="F954" t="str">
        <f>"Statement"</f>
        <v>Statement</v>
      </c>
      <c r="G954" s="3">
        <v>117.48</v>
      </c>
      <c r="H954" t="str">
        <f>"193553642001"</f>
        <v>193553642001</v>
      </c>
    </row>
    <row r="955" spans="1:8" x14ac:dyDescent="0.25">
      <c r="E955" t="str">
        <f>""</f>
        <v/>
      </c>
      <c r="F955" t="str">
        <f>""</f>
        <v/>
      </c>
      <c r="G955" s="3">
        <v>60.89</v>
      </c>
      <c r="H955" t="str">
        <f>"193561716001"</f>
        <v>193561716001</v>
      </c>
    </row>
    <row r="956" spans="1:8" x14ac:dyDescent="0.25">
      <c r="E956" t="str">
        <f>""</f>
        <v/>
      </c>
      <c r="F956" t="str">
        <f>""</f>
        <v/>
      </c>
      <c r="G956" s="3">
        <v>-3.06</v>
      </c>
      <c r="H956" t="str">
        <f>"189844812001"</f>
        <v>189844812001</v>
      </c>
    </row>
    <row r="957" spans="1:8" x14ac:dyDescent="0.25">
      <c r="E957" t="str">
        <f>""</f>
        <v/>
      </c>
      <c r="F957" t="str">
        <f>""</f>
        <v/>
      </c>
      <c r="G957" s="3">
        <v>55.38</v>
      </c>
      <c r="H957" t="str">
        <f>"193298282001"</f>
        <v>193298282001</v>
      </c>
    </row>
    <row r="958" spans="1:8" x14ac:dyDescent="0.25">
      <c r="E958" t="str">
        <f>""</f>
        <v/>
      </c>
      <c r="F958" t="str">
        <f>""</f>
        <v/>
      </c>
      <c r="G958" s="3">
        <v>46.78</v>
      </c>
      <c r="H958" t="str">
        <f>"191861976002"</f>
        <v>191861976002</v>
      </c>
    </row>
    <row r="959" spans="1:8" x14ac:dyDescent="0.25">
      <c r="E959" t="str">
        <f>""</f>
        <v/>
      </c>
      <c r="F959" t="str">
        <f>""</f>
        <v/>
      </c>
      <c r="G959" s="3">
        <v>152.99</v>
      </c>
      <c r="H959" t="str">
        <f>"191863500001"</f>
        <v>191863500001</v>
      </c>
    </row>
    <row r="960" spans="1:8" x14ac:dyDescent="0.25">
      <c r="E960" t="str">
        <f>""</f>
        <v/>
      </c>
      <c r="F960" t="str">
        <f>""</f>
        <v/>
      </c>
      <c r="G960" s="3">
        <v>-37.08</v>
      </c>
      <c r="H960" t="str">
        <f>"192979945001"</f>
        <v>192979945001</v>
      </c>
    </row>
    <row r="961" spans="1:8" x14ac:dyDescent="0.25">
      <c r="E961" t="str">
        <f>""</f>
        <v/>
      </c>
      <c r="F961" t="str">
        <f>""</f>
        <v/>
      </c>
      <c r="G961" s="3">
        <v>44.49</v>
      </c>
      <c r="H961" t="str">
        <f>"192994891001"</f>
        <v>192994891001</v>
      </c>
    </row>
    <row r="962" spans="1:8" x14ac:dyDescent="0.25">
      <c r="E962" t="str">
        <f>""</f>
        <v/>
      </c>
      <c r="F962" t="str">
        <f>""</f>
        <v/>
      </c>
      <c r="G962" s="3">
        <v>246.35</v>
      </c>
      <c r="H962" t="str">
        <f>"193013357001"</f>
        <v>193013357001</v>
      </c>
    </row>
    <row r="963" spans="1:8" x14ac:dyDescent="0.25">
      <c r="E963" t="str">
        <f>""</f>
        <v/>
      </c>
      <c r="F963" t="str">
        <f>""</f>
        <v/>
      </c>
      <c r="G963" s="3">
        <v>42.18</v>
      </c>
      <c r="H963" t="str">
        <f>"193160017001"</f>
        <v>193160017001</v>
      </c>
    </row>
    <row r="964" spans="1:8" x14ac:dyDescent="0.25">
      <c r="E964" t="str">
        <f>""</f>
        <v/>
      </c>
      <c r="F964" t="str">
        <f>""</f>
        <v/>
      </c>
      <c r="G964" s="3">
        <v>262.58999999999997</v>
      </c>
      <c r="H964" t="str">
        <f>"193160018001"</f>
        <v>193160018001</v>
      </c>
    </row>
    <row r="965" spans="1:8" x14ac:dyDescent="0.25">
      <c r="E965" t="str">
        <f>""</f>
        <v/>
      </c>
      <c r="F965" t="str">
        <f>""</f>
        <v/>
      </c>
      <c r="G965" s="3">
        <v>1530.3</v>
      </c>
      <c r="H965" t="str">
        <f>"193511576001"</f>
        <v>193511576001</v>
      </c>
    </row>
    <row r="966" spans="1:8" x14ac:dyDescent="0.25">
      <c r="A966" t="s">
        <v>246</v>
      </c>
      <c r="B966">
        <v>136944</v>
      </c>
      <c r="C966" s="3">
        <v>85</v>
      </c>
      <c r="D966" s="4">
        <v>44452</v>
      </c>
      <c r="E966" t="str">
        <f>"289484"</f>
        <v>289484</v>
      </c>
      <c r="F966" t="str">
        <f>"CUST ID:BASCOU/SCREENING"</f>
        <v>CUST ID:BASCOU/SCREENING</v>
      </c>
      <c r="G966" s="3">
        <v>25</v>
      </c>
      <c r="H966" t="str">
        <f>"CUST ID:BASCOU/SCREENING"</f>
        <v>CUST ID:BASCOU/SCREENING</v>
      </c>
    </row>
    <row r="967" spans="1:8" x14ac:dyDescent="0.25">
      <c r="E967" t="str">
        <f>""</f>
        <v/>
      </c>
      <c r="F967" t="str">
        <f>""</f>
        <v/>
      </c>
      <c r="G967" s="3">
        <v>25</v>
      </c>
      <c r="H967" t="str">
        <f>"CUST ID:BASCOU/SCREENING"</f>
        <v>CUST ID:BASCOU/SCREENING</v>
      </c>
    </row>
    <row r="968" spans="1:8" x14ac:dyDescent="0.25">
      <c r="E968" t="str">
        <f>""</f>
        <v/>
      </c>
      <c r="F968" t="str">
        <f>""</f>
        <v/>
      </c>
      <c r="G968" s="3">
        <v>35</v>
      </c>
      <c r="H968" t="str">
        <f>"CUST ID:BASCOU/SCREENING"</f>
        <v>CUST ID:BASCOU/SCREENING</v>
      </c>
    </row>
    <row r="969" spans="1:8" x14ac:dyDescent="0.25">
      <c r="A969" t="s">
        <v>247</v>
      </c>
      <c r="B969">
        <v>5057</v>
      </c>
      <c r="C969" s="3">
        <v>490</v>
      </c>
      <c r="D969" s="4">
        <v>44453</v>
      </c>
      <c r="E969" t="str">
        <f>"3409"</f>
        <v>3409</v>
      </c>
      <c r="F969" t="str">
        <f>"PLUMBING SVCS/ANIMAL SHELTER"</f>
        <v>PLUMBING SVCS/ANIMAL SHELTER</v>
      </c>
      <c r="G969" s="3">
        <v>490</v>
      </c>
      <c r="H969" t="str">
        <f>"PLUMBING SVCS/ANIMAL SHELTER"</f>
        <v>PLUMBING SVCS/ANIMAL SHELTER</v>
      </c>
    </row>
    <row r="970" spans="1:8" x14ac:dyDescent="0.25">
      <c r="A970" t="s">
        <v>248</v>
      </c>
      <c r="B970">
        <v>136945</v>
      </c>
      <c r="C970" s="3">
        <v>260</v>
      </c>
      <c r="D970" s="4">
        <v>44452</v>
      </c>
      <c r="E970" t="str">
        <f>"202108315414"</f>
        <v>202108315414</v>
      </c>
      <c r="F970" t="str">
        <f>"REIMBURSE STATE BAR FEES"</f>
        <v>REIMBURSE STATE BAR FEES</v>
      </c>
      <c r="G970" s="3">
        <v>260</v>
      </c>
      <c r="H970" t="str">
        <f>"REIMBURSE STATE BAR FEES"</f>
        <v>REIMBURSE STATE BAR FEES</v>
      </c>
    </row>
    <row r="971" spans="1:8" x14ac:dyDescent="0.25">
      <c r="A971" t="s">
        <v>249</v>
      </c>
      <c r="B971">
        <v>5006</v>
      </c>
      <c r="C971" s="3">
        <v>97807.039999999994</v>
      </c>
      <c r="D971" s="4">
        <v>44453</v>
      </c>
      <c r="E971" t="str">
        <f>"21358"</f>
        <v>21358</v>
      </c>
      <c r="F971" t="str">
        <f>"CHIP SEAL ASPHALT /PCT#2"</f>
        <v>CHIP SEAL ASPHALT /PCT#2</v>
      </c>
      <c r="G971" s="3">
        <v>65741.7</v>
      </c>
      <c r="H971" t="str">
        <f>"CHIP SEAL ASPHALT /PCT#2"</f>
        <v>CHIP SEAL ASPHALT /PCT#2</v>
      </c>
    </row>
    <row r="972" spans="1:8" x14ac:dyDescent="0.25">
      <c r="E972" t="str">
        <f>"21400"</f>
        <v>21400</v>
      </c>
      <c r="F972" t="str">
        <f>"CHIP SEAL/DEMURRAGE/PCT#2"</f>
        <v>CHIP SEAL/DEMURRAGE/PCT#2</v>
      </c>
      <c r="G972" s="3">
        <v>17188.439999999999</v>
      </c>
      <c r="H972" t="str">
        <f>"CHIP SEAL/DEMURRAGE/PCT#2"</f>
        <v>CHIP SEAL/DEMURRAGE/PCT#2</v>
      </c>
    </row>
    <row r="973" spans="1:8" x14ac:dyDescent="0.25">
      <c r="E973" t="str">
        <f>"21426"</f>
        <v>21426</v>
      </c>
      <c r="F973" t="str">
        <f>"POTHOLE PATCH/PCT#2"</f>
        <v>POTHOLE PATCH/PCT#2</v>
      </c>
      <c r="G973" s="3">
        <v>14876.9</v>
      </c>
      <c r="H973" t="str">
        <f>"POTHOLE PATCH/PCT#2"</f>
        <v>POTHOLE PATCH/PCT#2</v>
      </c>
    </row>
    <row r="974" spans="1:8" x14ac:dyDescent="0.25">
      <c r="A974" t="s">
        <v>249</v>
      </c>
      <c r="B974">
        <v>5101</v>
      </c>
      <c r="C974" s="3">
        <v>46913.3</v>
      </c>
      <c r="D974" s="4">
        <v>44467</v>
      </c>
      <c r="E974" t="str">
        <f>"21457"</f>
        <v>21457</v>
      </c>
      <c r="F974" t="str">
        <f>"CHIP SEAL EMULSION/PCT#1"</f>
        <v>CHIP SEAL EMULSION/PCT#1</v>
      </c>
      <c r="G974" s="3">
        <v>46913.3</v>
      </c>
      <c r="H974" t="str">
        <f>"CHIP SEAL EMULSION/PCT#1"</f>
        <v>CHIP SEAL EMULSION/PCT#1</v>
      </c>
    </row>
    <row r="975" spans="1:8" x14ac:dyDescent="0.25">
      <c r="A975" t="s">
        <v>250</v>
      </c>
      <c r="B975">
        <v>136946</v>
      </c>
      <c r="C975" s="3">
        <v>125</v>
      </c>
      <c r="D975" s="4">
        <v>44452</v>
      </c>
      <c r="E975" t="str">
        <f>"0003913"</f>
        <v>0003913</v>
      </c>
      <c r="F975" t="str">
        <f>"CALL/EMAIL/MEETINGS/0.5 HRS"</f>
        <v>CALL/EMAIL/MEETINGS/0.5 HRS</v>
      </c>
      <c r="G975" s="3">
        <v>125</v>
      </c>
      <c r="H975" t="str">
        <f>"CALL/EMAIL/MEETINGS/0.5 HRS"</f>
        <v>CALL/EMAIL/MEETINGS/0.5 HRS</v>
      </c>
    </row>
    <row r="976" spans="1:8" x14ac:dyDescent="0.25">
      <c r="A976" t="s">
        <v>251</v>
      </c>
      <c r="B976">
        <v>137118</v>
      </c>
      <c r="C976" s="3">
        <v>1010.08</v>
      </c>
      <c r="D976" s="4">
        <v>44466</v>
      </c>
      <c r="E976" t="str">
        <f>"85230"</f>
        <v>85230</v>
      </c>
      <c r="F976" t="str">
        <f>"SUPPLIES/PCT#2"</f>
        <v>SUPPLIES/PCT#2</v>
      </c>
      <c r="G976" s="3">
        <v>16.86</v>
      </c>
      <c r="H976" t="str">
        <f>"SUPPLIES/PCT#2"</f>
        <v>SUPPLIES/PCT#2</v>
      </c>
    </row>
    <row r="977" spans="1:8" x14ac:dyDescent="0.25">
      <c r="E977" t="str">
        <f>"85561"</f>
        <v>85561</v>
      </c>
      <c r="F977" t="str">
        <f>"SUPPLIES/PCT#2"</f>
        <v>SUPPLIES/PCT#2</v>
      </c>
      <c r="G977" s="3">
        <v>993.22</v>
      </c>
      <c r="H977" t="str">
        <f>"SUPPLIES/PCT#2"</f>
        <v>SUPPLIES/PCT#2</v>
      </c>
    </row>
    <row r="978" spans="1:8" x14ac:dyDescent="0.25">
      <c r="A978" t="s">
        <v>252</v>
      </c>
      <c r="B978">
        <v>5043</v>
      </c>
      <c r="C978" s="3">
        <v>145</v>
      </c>
      <c r="D978" s="4">
        <v>44453</v>
      </c>
      <c r="E978" t="str">
        <f>"59516"</f>
        <v>59516</v>
      </c>
      <c r="F978" t="str">
        <f>"INV 59516"</f>
        <v>INV 59516</v>
      </c>
      <c r="G978" s="3">
        <v>145</v>
      </c>
      <c r="H978" t="str">
        <f>"INV 59516"</f>
        <v>INV 59516</v>
      </c>
    </row>
    <row r="979" spans="1:8" x14ac:dyDescent="0.25">
      <c r="A979" t="s">
        <v>253</v>
      </c>
      <c r="B979">
        <v>136947</v>
      </c>
      <c r="C979" s="3">
        <v>36.270000000000003</v>
      </c>
      <c r="D979" s="4">
        <v>44452</v>
      </c>
      <c r="E979" t="str">
        <f>"202109075540"</f>
        <v>202109075540</v>
      </c>
      <c r="F979" t="str">
        <f>"CUST#PK001137/PCT#4"</f>
        <v>CUST#PK001137/PCT#4</v>
      </c>
      <c r="G979" s="3">
        <v>36.270000000000003</v>
      </c>
      <c r="H979" t="str">
        <f>"CUST#PK001137/PCT#4"</f>
        <v>CUST#PK001137/PCT#4</v>
      </c>
    </row>
    <row r="980" spans="1:8" x14ac:dyDescent="0.25">
      <c r="A980" t="s">
        <v>254</v>
      </c>
      <c r="B980">
        <v>5108</v>
      </c>
      <c r="C980" s="3">
        <v>2041.59</v>
      </c>
      <c r="D980" s="4">
        <v>44467</v>
      </c>
      <c r="E980" t="str">
        <f>"2008485"</f>
        <v>2008485</v>
      </c>
      <c r="F980" t="str">
        <f>"ACCT#BA-CNTY-01/GRADY TUCK"</f>
        <v>ACCT#BA-CNTY-01/GRADY TUCK</v>
      </c>
      <c r="G980" s="3">
        <v>2041.59</v>
      </c>
      <c r="H980" t="str">
        <f>"ACCT#BA-CNTY-01/GRADY TUCK"</f>
        <v>ACCT#BA-CNTY-01/GRADY TUCK</v>
      </c>
    </row>
    <row r="981" spans="1:8" x14ac:dyDescent="0.25">
      <c r="A981" t="s">
        <v>255</v>
      </c>
      <c r="B981">
        <v>136948</v>
      </c>
      <c r="C981" s="3">
        <v>294.44</v>
      </c>
      <c r="D981" s="4">
        <v>44452</v>
      </c>
      <c r="E981" t="str">
        <f>"202109085628"</f>
        <v>202109085628</v>
      </c>
      <c r="F981" t="str">
        <f>"ACCT#0200140783/ANIMAL SHELTER"</f>
        <v>ACCT#0200140783/ANIMAL SHELTER</v>
      </c>
      <c r="G981" s="3">
        <v>294.44</v>
      </c>
      <c r="H981" t="str">
        <f>"ACCT#0200140783/ANIMAL SHELTER"</f>
        <v>ACCT#0200140783/ANIMAL SHELTER</v>
      </c>
    </row>
    <row r="982" spans="1:8" x14ac:dyDescent="0.25">
      <c r="A982" t="s">
        <v>256</v>
      </c>
      <c r="B982">
        <v>137119</v>
      </c>
      <c r="C982" s="3">
        <v>180.77</v>
      </c>
      <c r="D982" s="4">
        <v>44466</v>
      </c>
      <c r="E982" t="str">
        <f>"S013061628"</f>
        <v>S013061628</v>
      </c>
      <c r="F982" t="str">
        <f>"ACCT#336320/PCT#3"</f>
        <v>ACCT#336320/PCT#3</v>
      </c>
      <c r="G982" s="3">
        <v>167.01</v>
      </c>
      <c r="H982" t="str">
        <f>"ACCT#336320/PCT#3"</f>
        <v>ACCT#336320/PCT#3</v>
      </c>
    </row>
    <row r="983" spans="1:8" x14ac:dyDescent="0.25">
      <c r="E983" t="str">
        <f>"S0130622361"</f>
        <v>S0130622361</v>
      </c>
      <c r="F983" t="str">
        <f>"ACCT#336320/PCT#3"</f>
        <v>ACCT#336320/PCT#3</v>
      </c>
      <c r="G983" s="3">
        <v>13.76</v>
      </c>
      <c r="H983" t="str">
        <f>"ACCT#336320/PCT#3"</f>
        <v>ACCT#336320/PCT#3</v>
      </c>
    </row>
    <row r="984" spans="1:8" x14ac:dyDescent="0.25">
      <c r="A984" t="s">
        <v>257</v>
      </c>
      <c r="B984">
        <v>5059</v>
      </c>
      <c r="C984" s="3">
        <v>1372.5</v>
      </c>
      <c r="D984" s="4">
        <v>44453</v>
      </c>
      <c r="E984" t="str">
        <f>"202108265324"</f>
        <v>202108265324</v>
      </c>
      <c r="F984" t="str">
        <f>"JP10512021A"</f>
        <v>JP10512021A</v>
      </c>
      <c r="G984" s="3">
        <v>250</v>
      </c>
      <c r="H984" t="str">
        <f>"JP10512021A"</f>
        <v>JP10512021A</v>
      </c>
    </row>
    <row r="985" spans="1:8" x14ac:dyDescent="0.25">
      <c r="E985" t="str">
        <f>"202108265325"</f>
        <v>202108265325</v>
      </c>
      <c r="F985" t="str">
        <f>"20-20377"</f>
        <v>20-20377</v>
      </c>
      <c r="G985" s="3">
        <v>205</v>
      </c>
      <c r="H985" t="str">
        <f>"20-20377"</f>
        <v>20-20377</v>
      </c>
    </row>
    <row r="986" spans="1:8" x14ac:dyDescent="0.25">
      <c r="E986" t="str">
        <f>"202108265329"</f>
        <v>202108265329</v>
      </c>
      <c r="F986" t="str">
        <f>"57601"</f>
        <v>57601</v>
      </c>
      <c r="G986" s="3">
        <v>250</v>
      </c>
      <c r="H986" t="str">
        <f>"57601"</f>
        <v>57601</v>
      </c>
    </row>
    <row r="987" spans="1:8" x14ac:dyDescent="0.25">
      <c r="E987" t="str">
        <f>"202108265330"</f>
        <v>202108265330</v>
      </c>
      <c r="F987" t="str">
        <f>"305092021B"</f>
        <v>305092021B</v>
      </c>
      <c r="G987" s="3">
        <v>250</v>
      </c>
      <c r="H987" t="str">
        <f>"305092021B"</f>
        <v>305092021B</v>
      </c>
    </row>
    <row r="988" spans="1:8" x14ac:dyDescent="0.25">
      <c r="E988" t="str">
        <f>"202108315407"</f>
        <v>202108315407</v>
      </c>
      <c r="F988" t="str">
        <f>"20-20415"</f>
        <v>20-20415</v>
      </c>
      <c r="G988" s="3">
        <v>317.5</v>
      </c>
      <c r="H988" t="str">
        <f>"20-20415"</f>
        <v>20-20415</v>
      </c>
    </row>
    <row r="989" spans="1:8" x14ac:dyDescent="0.25">
      <c r="E989" t="str">
        <f>"202109015430"</f>
        <v>202109015430</v>
      </c>
      <c r="F989" t="str">
        <f>"UNFILED - ASSAULT BISD"</f>
        <v>UNFILED - ASSAULT BISD</v>
      </c>
      <c r="G989" s="3">
        <v>100</v>
      </c>
      <c r="H989" t="str">
        <f>"UNFILED - ASSAULT BISD"</f>
        <v>UNFILED - ASSAULT BISD</v>
      </c>
    </row>
    <row r="990" spans="1:8" x14ac:dyDescent="0.25">
      <c r="A990" t="s">
        <v>257</v>
      </c>
      <c r="B990">
        <v>5150</v>
      </c>
      <c r="C990" s="3">
        <v>350</v>
      </c>
      <c r="D990" s="4">
        <v>44467</v>
      </c>
      <c r="E990" t="str">
        <f>"202109205807"</f>
        <v>202109205807</v>
      </c>
      <c r="F990" t="str">
        <f>"UNFILED ASSAULT BISD"</f>
        <v>UNFILED ASSAULT BISD</v>
      </c>
      <c r="G990" s="3">
        <v>100</v>
      </c>
      <c r="H990" t="str">
        <f>"UNFILED ASSAULT BISD"</f>
        <v>UNFILED ASSAULT BISD</v>
      </c>
    </row>
    <row r="991" spans="1:8" x14ac:dyDescent="0.25">
      <c r="E991" t="str">
        <f>"202109205812"</f>
        <v>202109205812</v>
      </c>
      <c r="F991" t="str">
        <f>"BC20210420A"</f>
        <v>BC20210420A</v>
      </c>
      <c r="G991" s="3">
        <v>250</v>
      </c>
      <c r="H991" t="str">
        <f>"BC20210420A"</f>
        <v>BC20210420A</v>
      </c>
    </row>
    <row r="992" spans="1:8" x14ac:dyDescent="0.25">
      <c r="A992" t="s">
        <v>258</v>
      </c>
      <c r="B992">
        <v>137120</v>
      </c>
      <c r="C992" s="3">
        <v>1000</v>
      </c>
      <c r="D992" s="4">
        <v>44466</v>
      </c>
      <c r="E992" t="str">
        <f>"202109205799"</f>
        <v>202109205799</v>
      </c>
      <c r="F992" t="str">
        <f>"303082021B"</f>
        <v>303082021B</v>
      </c>
      <c r="G992" s="3">
        <v>250</v>
      </c>
      <c r="H992" t="str">
        <f>"303082021B"</f>
        <v>303082021B</v>
      </c>
    </row>
    <row r="993" spans="1:8" x14ac:dyDescent="0.25">
      <c r="E993" t="str">
        <f>"202109205800"</f>
        <v>202109205800</v>
      </c>
      <c r="F993" t="str">
        <f>"303082021B"</f>
        <v>303082021B</v>
      </c>
      <c r="G993" s="3">
        <v>250</v>
      </c>
      <c r="H993" t="str">
        <f>"303082021B"</f>
        <v>303082021B</v>
      </c>
    </row>
    <row r="994" spans="1:8" x14ac:dyDescent="0.25">
      <c r="E994" t="str">
        <f>"202109205801"</f>
        <v>202109205801</v>
      </c>
      <c r="F994" t="str">
        <f>"57-996"</f>
        <v>57-996</v>
      </c>
      <c r="G994" s="3">
        <v>250</v>
      </c>
      <c r="H994" t="str">
        <f>"57-996"</f>
        <v>57-996</v>
      </c>
    </row>
    <row r="995" spans="1:8" x14ac:dyDescent="0.25">
      <c r="E995" t="str">
        <f>"202109205802"</f>
        <v>202109205802</v>
      </c>
      <c r="F995" t="str">
        <f>"57-620"</f>
        <v>57-620</v>
      </c>
      <c r="G995" s="3">
        <v>250</v>
      </c>
      <c r="H995" t="str">
        <f>"57-620"</f>
        <v>57-620</v>
      </c>
    </row>
    <row r="996" spans="1:8" x14ac:dyDescent="0.25">
      <c r="A996" t="s">
        <v>259</v>
      </c>
      <c r="B996">
        <v>5058</v>
      </c>
      <c r="C996" s="3">
        <v>608.25</v>
      </c>
      <c r="D996" s="4">
        <v>44453</v>
      </c>
      <c r="E996" t="str">
        <f>"3314101580"</f>
        <v>3314101580</v>
      </c>
      <c r="F996" t="str">
        <f>"ACCT#0010366024"</f>
        <v>ACCT#0010366024</v>
      </c>
      <c r="G996" s="3">
        <v>195.96</v>
      </c>
      <c r="H996" t="str">
        <f>"ACCT#0010366024"</f>
        <v>ACCT#0010366024</v>
      </c>
    </row>
    <row r="997" spans="1:8" x14ac:dyDescent="0.25">
      <c r="E997" t="str">
        <f>"3314117540"</f>
        <v>3314117540</v>
      </c>
      <c r="F997" t="str">
        <f>"INV 3314117540"</f>
        <v>INV 3314117540</v>
      </c>
      <c r="G997" s="3">
        <v>412.29</v>
      </c>
      <c r="H997" t="str">
        <f>"INV 3314117540"</f>
        <v>INV 3314117540</v>
      </c>
    </row>
    <row r="998" spans="1:8" x14ac:dyDescent="0.25">
      <c r="A998" t="s">
        <v>260</v>
      </c>
      <c r="B998">
        <v>5032</v>
      </c>
      <c r="C998" s="3">
        <v>120.82</v>
      </c>
      <c r="D998" s="4">
        <v>44453</v>
      </c>
      <c r="E998" t="str">
        <f>"202109085606"</f>
        <v>202109085606</v>
      </c>
      <c r="F998" t="str">
        <f>"ACCT#5/PCT#4"</f>
        <v>ACCT#5/PCT#4</v>
      </c>
      <c r="G998" s="3">
        <v>120.82</v>
      </c>
      <c r="H998" t="str">
        <f>"ACCT#5/PCT#4"</f>
        <v>ACCT#5/PCT#4</v>
      </c>
    </row>
    <row r="999" spans="1:8" x14ac:dyDescent="0.25">
      <c r="A999" t="s">
        <v>261</v>
      </c>
      <c r="B999">
        <v>137121</v>
      </c>
      <c r="C999" s="3">
        <v>50</v>
      </c>
      <c r="D999" s="4">
        <v>44466</v>
      </c>
      <c r="E999" t="str">
        <f>"202109175742"</f>
        <v>202109175742</v>
      </c>
      <c r="F999" t="str">
        <f>"RESTITUTION/COY FERRIS"</f>
        <v>RESTITUTION/COY FERRIS</v>
      </c>
      <c r="G999" s="3">
        <v>50</v>
      </c>
      <c r="H999" t="str">
        <f>"RESTITUTION/COY FERRIS"</f>
        <v>RESTITUTION/COY FERRIS</v>
      </c>
    </row>
    <row r="1000" spans="1:8" x14ac:dyDescent="0.25">
      <c r="A1000" t="s">
        <v>262</v>
      </c>
      <c r="B1000">
        <v>136949</v>
      </c>
      <c r="C1000" s="3">
        <v>1390</v>
      </c>
      <c r="D1000" s="4">
        <v>44452</v>
      </c>
      <c r="E1000" t="str">
        <f>"2021074"</f>
        <v>2021074</v>
      </c>
      <c r="F1000" t="str">
        <f>"TRANSPORT/BARTH CUDD"</f>
        <v>TRANSPORT/BARTH CUDD</v>
      </c>
      <c r="G1000" s="3">
        <v>695</v>
      </c>
      <c r="H1000" t="str">
        <f>"TRANSPORT/BARTH CUDD"</f>
        <v>TRANSPORT/BARTH CUDD</v>
      </c>
    </row>
    <row r="1001" spans="1:8" x14ac:dyDescent="0.25">
      <c r="E1001" t="str">
        <f>"2021081"</f>
        <v>2021081</v>
      </c>
      <c r="F1001" t="str">
        <f>"TRANSPORT/BILLY SWONKE"</f>
        <v>TRANSPORT/BILLY SWONKE</v>
      </c>
      <c r="G1001" s="3">
        <v>695</v>
      </c>
      <c r="H1001" t="str">
        <f>"TRANSPORT/BILLY SWONKE"</f>
        <v>TRANSPORT/BILLY SWONKE</v>
      </c>
    </row>
    <row r="1002" spans="1:8" x14ac:dyDescent="0.25">
      <c r="A1002" t="s">
        <v>262</v>
      </c>
      <c r="B1002">
        <v>137122</v>
      </c>
      <c r="C1002" s="3">
        <v>2670</v>
      </c>
      <c r="D1002" s="4">
        <v>44466</v>
      </c>
      <c r="E1002" t="str">
        <f>"202109155717"</f>
        <v>202109155717</v>
      </c>
      <c r="F1002" t="str">
        <f>"SERVICE/LINDA MCGEE"</f>
        <v>SERVICE/LINDA MCGEE</v>
      </c>
      <c r="G1002" s="3">
        <v>345</v>
      </c>
      <c r="H1002" t="str">
        <f>"SERVICE/LINDA MCGEE"</f>
        <v>SERVICE/LINDA MCGEE</v>
      </c>
    </row>
    <row r="1003" spans="1:8" x14ac:dyDescent="0.25">
      <c r="E1003" t="str">
        <f>"202109155718"</f>
        <v>202109155718</v>
      </c>
      <c r="F1003" t="str">
        <f>"TRANSPORT/LINDA MCGEE"</f>
        <v>TRANSPORT/LINDA MCGEE</v>
      </c>
      <c r="G1003" s="3">
        <v>345</v>
      </c>
      <c r="H1003" t="str">
        <f>"TRANSPORT/LINDA MCGEE"</f>
        <v>TRANSPORT/LINDA MCGEE</v>
      </c>
    </row>
    <row r="1004" spans="1:8" x14ac:dyDescent="0.25">
      <c r="E1004" t="str">
        <f>"202109155719"</f>
        <v>202109155719</v>
      </c>
      <c r="F1004" t="str">
        <f>"SERVICE/UNIDENTIFED MALE"</f>
        <v>SERVICE/UNIDENTIFED MALE</v>
      </c>
      <c r="G1004" s="3">
        <v>495</v>
      </c>
      <c r="H1004" t="str">
        <f>"SERVICE/UNIDENTIFED MALE"</f>
        <v>SERVICE/UNIDENTIFED MALE</v>
      </c>
    </row>
    <row r="1005" spans="1:8" x14ac:dyDescent="0.25">
      <c r="E1005" t="str">
        <f>"202109205783"</f>
        <v>202109205783</v>
      </c>
      <c r="F1005" t="str">
        <f>"FUNERAL SVCS/TIFFANI NEELY"</f>
        <v>FUNERAL SVCS/TIFFANI NEELY</v>
      </c>
      <c r="G1005" s="3">
        <v>495</v>
      </c>
      <c r="H1005" t="str">
        <f>"FUNERAL SVCS/TIFFANI NEELY"</f>
        <v>FUNERAL SVCS/TIFFANI NEELY</v>
      </c>
    </row>
    <row r="1006" spans="1:8" x14ac:dyDescent="0.25">
      <c r="E1006" t="str">
        <f>"202109205784"</f>
        <v>202109205784</v>
      </c>
      <c r="F1006" t="str">
        <f>"FUNERAL SVCS/DAVID DELAROSA"</f>
        <v>FUNERAL SVCS/DAVID DELAROSA</v>
      </c>
      <c r="G1006" s="3">
        <v>495</v>
      </c>
      <c r="H1006" t="str">
        <f>"FUNERAL SVCS/DAVID DELAROSA"</f>
        <v>FUNERAL SVCS/DAVID DELAROSA</v>
      </c>
    </row>
    <row r="1007" spans="1:8" x14ac:dyDescent="0.25">
      <c r="E1007" t="str">
        <f>"2021094"</f>
        <v>2021094</v>
      </c>
      <c r="F1007" t="str">
        <f>"TRANSPORT/HECTOR VIEYRA"</f>
        <v>TRANSPORT/HECTOR VIEYRA</v>
      </c>
      <c r="G1007" s="3">
        <v>495</v>
      </c>
      <c r="H1007" t="str">
        <f>"TRANSPORT/HECTOR VIEYRA"</f>
        <v>TRANSPORT/HECTOR VIEYRA</v>
      </c>
    </row>
    <row r="1008" spans="1:8" x14ac:dyDescent="0.25">
      <c r="A1008" t="s">
        <v>263</v>
      </c>
      <c r="B1008">
        <v>137123</v>
      </c>
      <c r="C1008" s="3">
        <v>325</v>
      </c>
      <c r="D1008" s="4">
        <v>44466</v>
      </c>
      <c r="E1008" t="str">
        <f>"202109215883"</f>
        <v>202109215883</v>
      </c>
      <c r="F1008" t="str">
        <f>"TRAINING"</f>
        <v>TRAINING</v>
      </c>
      <c r="G1008" s="3">
        <v>325</v>
      </c>
      <c r="H1008" t="str">
        <f>"TRAINING"</f>
        <v>TRAINING</v>
      </c>
    </row>
    <row r="1009" spans="1:8" x14ac:dyDescent="0.25">
      <c r="A1009" t="s">
        <v>264</v>
      </c>
      <c r="B1009">
        <v>137124</v>
      </c>
      <c r="C1009" s="3">
        <v>27.5</v>
      </c>
      <c r="D1009" s="4">
        <v>44466</v>
      </c>
      <c r="E1009" t="str">
        <f>"341453"</f>
        <v>341453</v>
      </c>
      <c r="F1009" t="str">
        <f>"FIRE MAINTENANCE/ENVIROMENTAL"</f>
        <v>FIRE MAINTENANCE/ENVIROMENTAL</v>
      </c>
      <c r="G1009" s="3">
        <v>27.5</v>
      </c>
      <c r="H1009" t="str">
        <f>"FIRE MAINTENANCE/ENVIROMENTAL"</f>
        <v>FIRE MAINTENANCE/ENVIROMENTAL</v>
      </c>
    </row>
    <row r="1010" spans="1:8" x14ac:dyDescent="0.25">
      <c r="A1010" t="s">
        <v>265</v>
      </c>
      <c r="B1010">
        <v>137125</v>
      </c>
      <c r="C1010" s="3">
        <v>630</v>
      </c>
      <c r="D1010" s="4">
        <v>44466</v>
      </c>
      <c r="E1010" t="str">
        <f>"14600"</f>
        <v>14600</v>
      </c>
      <c r="F1010" t="str">
        <f>"ELEVATOR INSPECTION/GENERAL SV"</f>
        <v>ELEVATOR INSPECTION/GENERAL SV</v>
      </c>
      <c r="G1010" s="3">
        <v>630</v>
      </c>
      <c r="H1010" t="str">
        <f>"ELEVATOR INSPECTION/GENERAL SV"</f>
        <v>ELEVATOR INSPECTION/GENERAL SV</v>
      </c>
    </row>
    <row r="1011" spans="1:8" x14ac:dyDescent="0.25">
      <c r="A1011" t="s">
        <v>266</v>
      </c>
      <c r="B1011">
        <v>136950</v>
      </c>
      <c r="C1011" s="3">
        <v>145</v>
      </c>
      <c r="D1011" s="4">
        <v>44452</v>
      </c>
      <c r="E1011" t="str">
        <f>"134209"</f>
        <v>134209</v>
      </c>
      <c r="F1011" t="str">
        <f>"INSTALL LIGHT/PCT#1"</f>
        <v>INSTALL LIGHT/PCT#1</v>
      </c>
      <c r="G1011" s="3">
        <v>145</v>
      </c>
      <c r="H1011" t="str">
        <f>"INSTALL LIGHT/PCT#1"</f>
        <v>INSTALL LIGHT/PCT#1</v>
      </c>
    </row>
    <row r="1012" spans="1:8" x14ac:dyDescent="0.25">
      <c r="A1012" t="s">
        <v>267</v>
      </c>
      <c r="B1012">
        <v>5005</v>
      </c>
      <c r="C1012" s="3">
        <v>12.99</v>
      </c>
      <c r="D1012" s="4">
        <v>44453</v>
      </c>
      <c r="E1012" t="str">
        <f>"0121569859"</f>
        <v>0121569859</v>
      </c>
      <c r="F1012" t="str">
        <f>"ACCT#0121569859"</f>
        <v>ACCT#0121569859</v>
      </c>
      <c r="G1012" s="3">
        <v>12.99</v>
      </c>
      <c r="H1012" t="str">
        <f>"ACCT#0121569859"</f>
        <v>ACCT#0121569859</v>
      </c>
    </row>
    <row r="1013" spans="1:8" x14ac:dyDescent="0.25">
      <c r="A1013" t="s">
        <v>267</v>
      </c>
      <c r="B1013">
        <v>5100</v>
      </c>
      <c r="C1013" s="3">
        <v>75.790000000000006</v>
      </c>
      <c r="D1013" s="4">
        <v>44467</v>
      </c>
      <c r="E1013" t="str">
        <f>"1110121569859"</f>
        <v>1110121569859</v>
      </c>
      <c r="F1013" t="str">
        <f>"ACCT#0121569859/JP#4"</f>
        <v>ACCT#0121569859/JP#4</v>
      </c>
      <c r="G1013" s="3">
        <v>23.91</v>
      </c>
      <c r="H1013" t="str">
        <f>"ACCT#0121569859/JP#4"</f>
        <v>ACCT#0121569859/JP#4</v>
      </c>
    </row>
    <row r="1014" spans="1:8" x14ac:dyDescent="0.25">
      <c r="E1014" t="str">
        <f>"1110121587581"</f>
        <v>1110121587581</v>
      </c>
      <c r="F1014" t="str">
        <f>"ACCT#0121587851/PCT#4"</f>
        <v>ACCT#0121587851/PCT#4</v>
      </c>
      <c r="G1014" s="3">
        <v>51.88</v>
      </c>
      <c r="H1014" t="str">
        <f>"ACCT#0121587851/PCT#4"</f>
        <v>ACCT#0121587851/PCT#4</v>
      </c>
    </row>
    <row r="1015" spans="1:8" x14ac:dyDescent="0.25">
      <c r="A1015" t="s">
        <v>268</v>
      </c>
      <c r="B1015">
        <v>137126</v>
      </c>
      <c r="C1015" s="3">
        <v>700</v>
      </c>
      <c r="D1015" s="4">
        <v>44466</v>
      </c>
      <c r="E1015" t="str">
        <f>"202109215829"</f>
        <v>202109215829</v>
      </c>
      <c r="F1015" t="str">
        <f>"APPRAISAL/PEARCE LANE/PCT#3"</f>
        <v>APPRAISAL/PEARCE LANE/PCT#3</v>
      </c>
      <c r="G1015" s="3">
        <v>700</v>
      </c>
      <c r="H1015" t="str">
        <f>"APPRAISAL/PEARCE LANE/PCT#3"</f>
        <v>APPRAISAL/PEARCE LANE/PCT#3</v>
      </c>
    </row>
    <row r="1016" spans="1:8" x14ac:dyDescent="0.25">
      <c r="A1016" t="s">
        <v>269</v>
      </c>
      <c r="B1016">
        <v>5034</v>
      </c>
      <c r="C1016" s="3">
        <v>3500</v>
      </c>
      <c r="D1016" s="4">
        <v>44453</v>
      </c>
      <c r="E1016" t="str">
        <f>"80"</f>
        <v>80</v>
      </c>
      <c r="F1016" t="str">
        <f>"SPAY/NEUTER SVCS/ANIMAL SHELTE"</f>
        <v>SPAY/NEUTER SVCS/ANIMAL SHELTE</v>
      </c>
      <c r="G1016" s="3">
        <v>3500</v>
      </c>
      <c r="H1016" t="str">
        <f>"SPAY/NEUTER SVCS/ANIMAL SHELTE"</f>
        <v>SPAY/NEUTER SVCS/ANIMAL SHELTE</v>
      </c>
    </row>
    <row r="1017" spans="1:8" x14ac:dyDescent="0.25">
      <c r="A1017" t="s">
        <v>269</v>
      </c>
      <c r="B1017">
        <v>5130</v>
      </c>
      <c r="C1017" s="3">
        <v>1000</v>
      </c>
      <c r="D1017" s="4">
        <v>44467</v>
      </c>
      <c r="E1017" t="str">
        <f>"83"</f>
        <v>83</v>
      </c>
      <c r="F1017" t="str">
        <f>"SPAY/NEUTER SVCS"</f>
        <v>SPAY/NEUTER SVCS</v>
      </c>
      <c r="G1017" s="3">
        <v>1000</v>
      </c>
      <c r="H1017" t="str">
        <f>"SPAY/NEUTER SVCS"</f>
        <v>SPAY/NEUTER SVCS</v>
      </c>
    </row>
    <row r="1018" spans="1:8" x14ac:dyDescent="0.25">
      <c r="A1018" t="s">
        <v>270</v>
      </c>
      <c r="B1018">
        <v>136951</v>
      </c>
      <c r="C1018" s="3">
        <v>33</v>
      </c>
      <c r="D1018" s="4">
        <v>44452</v>
      </c>
      <c r="E1018" t="str">
        <f>"202109085633"</f>
        <v>202109085633</v>
      </c>
      <c r="F1018" t="str">
        <f>"REIMBURSE/REBEKAH SMARTT"</f>
        <v>REIMBURSE/REBEKAH SMARTT</v>
      </c>
      <c r="G1018" s="3">
        <v>33</v>
      </c>
      <c r="H1018" t="str">
        <f>"REIMBURSE/REBEKAH SMARTT"</f>
        <v>REIMBURSE/REBEKAH SMARTT</v>
      </c>
    </row>
    <row r="1019" spans="1:8" x14ac:dyDescent="0.25">
      <c r="A1019" t="s">
        <v>271</v>
      </c>
      <c r="B1019">
        <v>136840</v>
      </c>
      <c r="C1019" s="3">
        <v>1703.2</v>
      </c>
      <c r="D1019" s="4">
        <v>44441</v>
      </c>
      <c r="E1019" t="str">
        <f>"303 002 796 470 3"</f>
        <v>303 002 796 470 3</v>
      </c>
      <c r="F1019" t="str">
        <f>"ACCT#15 070 712 -3 / 08302021"</f>
        <v>ACCT#15 070 712 -3 / 08302021</v>
      </c>
      <c r="G1019" s="3">
        <v>18.07</v>
      </c>
      <c r="H1019" t="str">
        <f>"ACCT#15 070 712 -3 / 08302021"</f>
        <v>ACCT#15 070 712 -3 / 08302021</v>
      </c>
    </row>
    <row r="1020" spans="1:8" x14ac:dyDescent="0.25">
      <c r="E1020" t="str">
        <f>"303 002 796 471 1"</f>
        <v>303 002 796 471 1</v>
      </c>
      <c r="F1020" t="str">
        <f>"ACCT#15 070 713 - 1 / 08302021"</f>
        <v>ACCT#15 070 713 - 1 / 08302021</v>
      </c>
      <c r="G1020" s="3">
        <v>21.71</v>
      </c>
      <c r="H1020" t="str">
        <f>"NRG ENERGY INC"</f>
        <v>NRG ENERGY INC</v>
      </c>
    </row>
    <row r="1021" spans="1:8" x14ac:dyDescent="0.25">
      <c r="E1021" t="str">
        <f>"303 002 796 472 9"</f>
        <v>303 002 796 472 9</v>
      </c>
      <c r="F1021" t="str">
        <f>"ACCT#15 072 199 - 1/ 08302021"</f>
        <v>ACCT#15 072 199 - 1/ 08302021</v>
      </c>
      <c r="G1021" s="3">
        <v>42.54</v>
      </c>
      <c r="H1021" t="str">
        <f>"ACCT#15 072 199 - 1/ 08302021"</f>
        <v>ACCT#15 072 199 - 1/ 08302021</v>
      </c>
    </row>
    <row r="1022" spans="1:8" x14ac:dyDescent="0.25">
      <c r="E1022" t="str">
        <f>"303 002 796 473 7"</f>
        <v>303 002 796 473 7</v>
      </c>
      <c r="F1022" t="str">
        <f>"ACCT#15 072 200 - 7 / 08302021"</f>
        <v>ACCT#15 072 200 - 7 / 08302021</v>
      </c>
      <c r="G1022" s="3">
        <v>280.60000000000002</v>
      </c>
      <c r="H1022" t="str">
        <f>"NRG ENERGY INC"</f>
        <v>NRG ENERGY INC</v>
      </c>
    </row>
    <row r="1023" spans="1:8" x14ac:dyDescent="0.25">
      <c r="E1023" t="str">
        <f>"304 001 048 586 3"</f>
        <v>304 001 048 586 3</v>
      </c>
      <c r="F1023" t="str">
        <f>"ACCT#15 069 451 - 1 /08302021"</f>
        <v>ACCT#15 069 451 - 1 /08302021</v>
      </c>
      <c r="G1023" s="3">
        <v>437.9</v>
      </c>
      <c r="H1023" t="str">
        <f>"NRG ENERGY INC"</f>
        <v>NRG ENERGY INC</v>
      </c>
    </row>
    <row r="1024" spans="1:8" x14ac:dyDescent="0.25">
      <c r="E1024" t="str">
        <f>"305 000 932 964 2"</f>
        <v>305 000 932 964 2</v>
      </c>
      <c r="F1024" t="str">
        <f>"ACCT#15 072 201 - 5 / 08302021"</f>
        <v>ACCT#15 072 201 - 5 / 08302021</v>
      </c>
      <c r="G1024" s="3">
        <v>493.92</v>
      </c>
      <c r="H1024" t="str">
        <f>"NRG ENERGY INC"</f>
        <v>NRG ENERGY INC</v>
      </c>
    </row>
    <row r="1025" spans="1:8" x14ac:dyDescent="0.25">
      <c r="E1025" t="str">
        <f>"305 000 932 965 9"</f>
        <v>305 000 932 965 9</v>
      </c>
      <c r="F1025" t="str">
        <f>"ACCT#15 072 202 -3 / 08302021"</f>
        <v>ACCT#15 072 202 -3 / 08302021</v>
      </c>
      <c r="G1025" s="3">
        <v>22.82</v>
      </c>
      <c r="H1025" t="str">
        <f>"NRG ENERGY INC"</f>
        <v>NRG ENERGY INC</v>
      </c>
    </row>
    <row r="1026" spans="1:8" x14ac:dyDescent="0.25">
      <c r="E1026" t="str">
        <f>"305 000 932 966 7"</f>
        <v>305 000 932 966 7</v>
      </c>
      <c r="F1026" t="str">
        <f>"ACCT#15 072-203 - 1 / 08302021"</f>
        <v>ACCT#15 072-203 - 1 / 08302021</v>
      </c>
      <c r="G1026" s="3">
        <v>15.36</v>
      </c>
      <c r="H1026" t="str">
        <f>"NRG ENERGY INC"</f>
        <v>NRG ENERGY INC</v>
      </c>
    </row>
    <row r="1027" spans="1:8" x14ac:dyDescent="0.25">
      <c r="E1027" t="str">
        <f>"305 000 932 967 5"</f>
        <v>305 000 932 967 5</v>
      </c>
      <c r="F1027" t="str">
        <f>"ACCT#15 072 204 - 9 / 08302021"</f>
        <v>ACCT#15 072 204 - 9 / 08302021</v>
      </c>
      <c r="G1027" s="3">
        <v>370.28</v>
      </c>
      <c r="H1027" t="str">
        <f>"ACCT#15 072 204 - 9 / 08302021"</f>
        <v>ACCT#15 072 204 - 9 / 08302021</v>
      </c>
    </row>
    <row r="1028" spans="1:8" x14ac:dyDescent="0.25">
      <c r="A1028" t="s">
        <v>272</v>
      </c>
      <c r="B1028">
        <v>136952</v>
      </c>
      <c r="C1028" s="3">
        <v>18630.34</v>
      </c>
      <c r="D1028" s="4">
        <v>44452</v>
      </c>
      <c r="E1028" t="str">
        <f>"38037040"</f>
        <v>38037040</v>
      </c>
      <c r="F1028" t="str">
        <f>"CUST#2000172616/JULY"</f>
        <v>CUST#2000172616/JULY</v>
      </c>
      <c r="G1028" s="3">
        <v>249.26</v>
      </c>
      <c r="H1028" t="str">
        <f t="shared" ref="H1028:H1059" si="16">"CUST#2000172616/JULY"</f>
        <v>CUST#2000172616/JULY</v>
      </c>
    </row>
    <row r="1029" spans="1:8" x14ac:dyDescent="0.25">
      <c r="E1029" t="str">
        <f>""</f>
        <v/>
      </c>
      <c r="F1029" t="str">
        <f>""</f>
        <v/>
      </c>
      <c r="G1029" s="3">
        <v>174.17</v>
      </c>
      <c r="H1029" t="str">
        <f t="shared" si="16"/>
        <v>CUST#2000172616/JULY</v>
      </c>
    </row>
    <row r="1030" spans="1:8" x14ac:dyDescent="0.25">
      <c r="E1030" t="str">
        <f>""</f>
        <v/>
      </c>
      <c r="F1030" t="str">
        <f>""</f>
        <v/>
      </c>
      <c r="G1030" s="3">
        <v>95.11</v>
      </c>
      <c r="H1030" t="str">
        <f t="shared" si="16"/>
        <v>CUST#2000172616/JULY</v>
      </c>
    </row>
    <row r="1031" spans="1:8" x14ac:dyDescent="0.25">
      <c r="E1031" t="str">
        <f>""</f>
        <v/>
      </c>
      <c r="F1031" t="str">
        <f>""</f>
        <v/>
      </c>
      <c r="G1031" s="3">
        <v>101.5</v>
      </c>
      <c r="H1031" t="str">
        <f t="shared" si="16"/>
        <v>CUST#2000172616/JULY</v>
      </c>
    </row>
    <row r="1032" spans="1:8" x14ac:dyDescent="0.25">
      <c r="E1032" t="str">
        <f>""</f>
        <v/>
      </c>
      <c r="F1032" t="str">
        <f>""</f>
        <v/>
      </c>
      <c r="G1032" s="3">
        <v>249.26</v>
      </c>
      <c r="H1032" t="str">
        <f t="shared" si="16"/>
        <v>CUST#2000172616/JULY</v>
      </c>
    </row>
    <row r="1033" spans="1:8" x14ac:dyDescent="0.25">
      <c r="E1033" t="str">
        <f>""</f>
        <v/>
      </c>
      <c r="F1033" t="str">
        <f>""</f>
        <v/>
      </c>
      <c r="G1033" s="3">
        <v>428.42</v>
      </c>
      <c r="H1033" t="str">
        <f t="shared" si="16"/>
        <v>CUST#2000172616/JULY</v>
      </c>
    </row>
    <row r="1034" spans="1:8" x14ac:dyDescent="0.25">
      <c r="E1034" t="str">
        <f>""</f>
        <v/>
      </c>
      <c r="F1034" t="str">
        <f>""</f>
        <v/>
      </c>
      <c r="G1034" s="3">
        <v>95.1</v>
      </c>
      <c r="H1034" t="str">
        <f t="shared" si="16"/>
        <v>CUST#2000172616/JULY</v>
      </c>
    </row>
    <row r="1035" spans="1:8" x14ac:dyDescent="0.25">
      <c r="E1035" t="str">
        <f>""</f>
        <v/>
      </c>
      <c r="F1035" t="str">
        <f>""</f>
        <v/>
      </c>
      <c r="G1035" s="3">
        <v>303.86</v>
      </c>
      <c r="H1035" t="str">
        <f t="shared" si="16"/>
        <v>CUST#2000172616/JULY</v>
      </c>
    </row>
    <row r="1036" spans="1:8" x14ac:dyDescent="0.25">
      <c r="E1036" t="str">
        <f>""</f>
        <v/>
      </c>
      <c r="F1036" t="str">
        <f>""</f>
        <v/>
      </c>
      <c r="G1036" s="3">
        <v>543.30999999999995</v>
      </c>
      <c r="H1036" t="str">
        <f t="shared" si="16"/>
        <v>CUST#2000172616/JULY</v>
      </c>
    </row>
    <row r="1037" spans="1:8" x14ac:dyDescent="0.25">
      <c r="E1037" t="str">
        <f>""</f>
        <v/>
      </c>
      <c r="F1037" t="str">
        <f>""</f>
        <v/>
      </c>
      <c r="G1037" s="3">
        <v>249.26</v>
      </c>
      <c r="H1037" t="str">
        <f t="shared" si="16"/>
        <v>CUST#2000172616/JULY</v>
      </c>
    </row>
    <row r="1038" spans="1:8" x14ac:dyDescent="0.25">
      <c r="E1038" t="str">
        <f>""</f>
        <v/>
      </c>
      <c r="F1038" t="str">
        <f>""</f>
        <v/>
      </c>
      <c r="G1038" s="3">
        <v>201</v>
      </c>
      <c r="H1038" t="str">
        <f t="shared" si="16"/>
        <v>CUST#2000172616/JULY</v>
      </c>
    </row>
    <row r="1039" spans="1:8" x14ac:dyDescent="0.25">
      <c r="E1039" t="str">
        <f>""</f>
        <v/>
      </c>
      <c r="F1039" t="str">
        <f>""</f>
        <v/>
      </c>
      <c r="G1039" s="3">
        <v>80.28</v>
      </c>
      <c r="H1039" t="str">
        <f t="shared" si="16"/>
        <v>CUST#2000172616/JULY</v>
      </c>
    </row>
    <row r="1040" spans="1:8" x14ac:dyDescent="0.25">
      <c r="E1040" t="str">
        <f>""</f>
        <v/>
      </c>
      <c r="F1040" t="str">
        <f>""</f>
        <v/>
      </c>
      <c r="G1040" s="3">
        <v>220.09</v>
      </c>
      <c r="H1040" t="str">
        <f t="shared" si="16"/>
        <v>CUST#2000172616/JULY</v>
      </c>
    </row>
    <row r="1041" spans="5:8" x14ac:dyDescent="0.25">
      <c r="E1041" t="str">
        <f>""</f>
        <v/>
      </c>
      <c r="F1041" t="str">
        <f>""</f>
        <v/>
      </c>
      <c r="G1041" s="3">
        <v>525.66</v>
      </c>
      <c r="H1041" t="str">
        <f t="shared" si="16"/>
        <v>CUST#2000172616/JULY</v>
      </c>
    </row>
    <row r="1042" spans="5:8" x14ac:dyDescent="0.25">
      <c r="E1042" t="str">
        <f>""</f>
        <v/>
      </c>
      <c r="F1042" t="str">
        <f>""</f>
        <v/>
      </c>
      <c r="G1042" s="3">
        <v>249.26</v>
      </c>
      <c r="H1042" t="str">
        <f t="shared" si="16"/>
        <v>CUST#2000172616/JULY</v>
      </c>
    </row>
    <row r="1043" spans="5:8" x14ac:dyDescent="0.25">
      <c r="E1043" t="str">
        <f>""</f>
        <v/>
      </c>
      <c r="F1043" t="str">
        <f>""</f>
        <v/>
      </c>
      <c r="G1043" s="3">
        <v>249.26</v>
      </c>
      <c r="H1043" t="str">
        <f t="shared" si="16"/>
        <v>CUST#2000172616/JULY</v>
      </c>
    </row>
    <row r="1044" spans="5:8" x14ac:dyDescent="0.25">
      <c r="E1044" t="str">
        <f>""</f>
        <v/>
      </c>
      <c r="F1044" t="str">
        <f>""</f>
        <v/>
      </c>
      <c r="G1044" s="3">
        <v>119.57</v>
      </c>
      <c r="H1044" t="str">
        <f t="shared" si="16"/>
        <v>CUST#2000172616/JULY</v>
      </c>
    </row>
    <row r="1045" spans="5:8" x14ac:dyDescent="0.25">
      <c r="E1045" t="str">
        <f>""</f>
        <v/>
      </c>
      <c r="F1045" t="str">
        <f>""</f>
        <v/>
      </c>
      <c r="G1045" s="3">
        <v>338.84</v>
      </c>
      <c r="H1045" t="str">
        <f t="shared" si="16"/>
        <v>CUST#2000172616/JULY</v>
      </c>
    </row>
    <row r="1046" spans="5:8" x14ac:dyDescent="0.25">
      <c r="E1046" t="str">
        <f>""</f>
        <v/>
      </c>
      <c r="F1046" t="str">
        <f>""</f>
        <v/>
      </c>
      <c r="G1046" s="3">
        <v>78.540000000000006</v>
      </c>
      <c r="H1046" t="str">
        <f t="shared" si="16"/>
        <v>CUST#2000172616/JULY</v>
      </c>
    </row>
    <row r="1047" spans="5:8" x14ac:dyDescent="0.25">
      <c r="E1047" t="str">
        <f>""</f>
        <v/>
      </c>
      <c r="F1047" t="str">
        <f>""</f>
        <v/>
      </c>
      <c r="G1047" s="3">
        <v>249.26</v>
      </c>
      <c r="H1047" t="str">
        <f t="shared" si="16"/>
        <v>CUST#2000172616/JULY</v>
      </c>
    </row>
    <row r="1048" spans="5:8" x14ac:dyDescent="0.25">
      <c r="E1048" t="str">
        <f>""</f>
        <v/>
      </c>
      <c r="F1048" t="str">
        <f>""</f>
        <v/>
      </c>
      <c r="G1048" s="3">
        <v>139.51</v>
      </c>
      <c r="H1048" t="str">
        <f t="shared" si="16"/>
        <v>CUST#2000172616/JULY</v>
      </c>
    </row>
    <row r="1049" spans="5:8" x14ac:dyDescent="0.25">
      <c r="E1049" t="str">
        <f>""</f>
        <v/>
      </c>
      <c r="F1049" t="str">
        <f>""</f>
        <v/>
      </c>
      <c r="G1049" s="3">
        <v>303.86</v>
      </c>
      <c r="H1049" t="str">
        <f t="shared" si="16"/>
        <v>CUST#2000172616/JULY</v>
      </c>
    </row>
    <row r="1050" spans="5:8" x14ac:dyDescent="0.25">
      <c r="E1050" t="str">
        <f>""</f>
        <v/>
      </c>
      <c r="F1050" t="str">
        <f>""</f>
        <v/>
      </c>
      <c r="G1050" s="3">
        <v>1267.82</v>
      </c>
      <c r="H1050" t="str">
        <f t="shared" si="16"/>
        <v>CUST#2000172616/JULY</v>
      </c>
    </row>
    <row r="1051" spans="5:8" x14ac:dyDescent="0.25">
      <c r="E1051" t="str">
        <f>""</f>
        <v/>
      </c>
      <c r="F1051" t="str">
        <f>""</f>
        <v/>
      </c>
      <c r="G1051" s="3">
        <v>1244.07</v>
      </c>
      <c r="H1051" t="str">
        <f t="shared" si="16"/>
        <v>CUST#2000172616/JULY</v>
      </c>
    </row>
    <row r="1052" spans="5:8" x14ac:dyDescent="0.25">
      <c r="E1052" t="str">
        <f>""</f>
        <v/>
      </c>
      <c r="F1052" t="str">
        <f>""</f>
        <v/>
      </c>
      <c r="G1052" s="3">
        <v>334.08</v>
      </c>
      <c r="H1052" t="str">
        <f t="shared" si="16"/>
        <v>CUST#2000172616/JULY</v>
      </c>
    </row>
    <row r="1053" spans="5:8" x14ac:dyDescent="0.25">
      <c r="E1053" t="str">
        <f>""</f>
        <v/>
      </c>
      <c r="F1053" t="str">
        <f>""</f>
        <v/>
      </c>
      <c r="G1053" s="3">
        <v>303.86</v>
      </c>
      <c r="H1053" t="str">
        <f t="shared" si="16"/>
        <v>CUST#2000172616/JULY</v>
      </c>
    </row>
    <row r="1054" spans="5:8" x14ac:dyDescent="0.25">
      <c r="E1054" t="str">
        <f>""</f>
        <v/>
      </c>
      <c r="F1054" t="str">
        <f>""</f>
        <v/>
      </c>
      <c r="G1054" s="3">
        <v>303.86</v>
      </c>
      <c r="H1054" t="str">
        <f t="shared" si="16"/>
        <v>CUST#2000172616/JULY</v>
      </c>
    </row>
    <row r="1055" spans="5:8" x14ac:dyDescent="0.25">
      <c r="E1055" t="str">
        <f>""</f>
        <v/>
      </c>
      <c r="F1055" t="str">
        <f>""</f>
        <v/>
      </c>
      <c r="G1055" s="3">
        <v>101.5</v>
      </c>
      <c r="H1055" t="str">
        <f t="shared" si="16"/>
        <v>CUST#2000172616/JULY</v>
      </c>
    </row>
    <row r="1056" spans="5:8" x14ac:dyDescent="0.25">
      <c r="E1056" t="str">
        <f>""</f>
        <v/>
      </c>
      <c r="F1056" t="str">
        <f>""</f>
        <v/>
      </c>
      <c r="G1056" s="3">
        <v>303.86</v>
      </c>
      <c r="H1056" t="str">
        <f t="shared" si="16"/>
        <v>CUST#2000172616/JULY</v>
      </c>
    </row>
    <row r="1057" spans="5:8" x14ac:dyDescent="0.25">
      <c r="E1057" t="str">
        <f>""</f>
        <v/>
      </c>
      <c r="F1057" t="str">
        <f>""</f>
        <v/>
      </c>
      <c r="G1057" s="3">
        <v>70.58</v>
      </c>
      <c r="H1057" t="str">
        <f t="shared" si="16"/>
        <v>CUST#2000172616/JULY</v>
      </c>
    </row>
    <row r="1058" spans="5:8" x14ac:dyDescent="0.25">
      <c r="E1058" t="str">
        <f>""</f>
        <v/>
      </c>
      <c r="F1058" t="str">
        <f>""</f>
        <v/>
      </c>
      <c r="G1058" s="3">
        <v>70.58</v>
      </c>
      <c r="H1058" t="str">
        <f t="shared" si="16"/>
        <v>CUST#2000172616/JULY</v>
      </c>
    </row>
    <row r="1059" spans="5:8" x14ac:dyDescent="0.25">
      <c r="E1059" t="str">
        <f>""</f>
        <v/>
      </c>
      <c r="F1059" t="str">
        <f>""</f>
        <v/>
      </c>
      <c r="G1059" s="3">
        <v>70.58</v>
      </c>
      <c r="H1059" t="str">
        <f t="shared" si="16"/>
        <v>CUST#2000172616/JULY</v>
      </c>
    </row>
    <row r="1060" spans="5:8" x14ac:dyDescent="0.25">
      <c r="E1060" t="str">
        <f>"38408050"</f>
        <v>38408050</v>
      </c>
      <c r="F1060" t="str">
        <f>"CUST#2000172616 / SEPTEMBER"</f>
        <v>CUST#2000172616 / SEPTEMBER</v>
      </c>
      <c r="G1060" s="3">
        <v>249.26</v>
      </c>
      <c r="H1060" t="str">
        <f t="shared" ref="H1060:H1091" si="17">"CUST#2000172616 / SEPTEMBER"</f>
        <v>CUST#2000172616 / SEPTEMBER</v>
      </c>
    </row>
    <row r="1061" spans="5:8" x14ac:dyDescent="0.25">
      <c r="E1061" t="str">
        <f>""</f>
        <v/>
      </c>
      <c r="F1061" t="str">
        <f>""</f>
        <v/>
      </c>
      <c r="G1061" s="3">
        <v>174.17</v>
      </c>
      <c r="H1061" t="str">
        <f t="shared" si="17"/>
        <v>CUST#2000172616 / SEPTEMBER</v>
      </c>
    </row>
    <row r="1062" spans="5:8" x14ac:dyDescent="0.25">
      <c r="E1062" t="str">
        <f>""</f>
        <v/>
      </c>
      <c r="F1062" t="str">
        <f>""</f>
        <v/>
      </c>
      <c r="G1062" s="3">
        <v>95.11</v>
      </c>
      <c r="H1062" t="str">
        <f t="shared" si="17"/>
        <v>CUST#2000172616 / SEPTEMBER</v>
      </c>
    </row>
    <row r="1063" spans="5:8" x14ac:dyDescent="0.25">
      <c r="E1063" t="str">
        <f>""</f>
        <v/>
      </c>
      <c r="F1063" t="str">
        <f>""</f>
        <v/>
      </c>
      <c r="G1063" s="3">
        <v>101.5</v>
      </c>
      <c r="H1063" t="str">
        <f t="shared" si="17"/>
        <v>CUST#2000172616 / SEPTEMBER</v>
      </c>
    </row>
    <row r="1064" spans="5:8" x14ac:dyDescent="0.25">
      <c r="E1064" t="str">
        <f>""</f>
        <v/>
      </c>
      <c r="F1064" t="str">
        <f>""</f>
        <v/>
      </c>
      <c r="G1064" s="3">
        <v>249.26</v>
      </c>
      <c r="H1064" t="str">
        <f t="shared" si="17"/>
        <v>CUST#2000172616 / SEPTEMBER</v>
      </c>
    </row>
    <row r="1065" spans="5:8" x14ac:dyDescent="0.25">
      <c r="E1065" t="str">
        <f>""</f>
        <v/>
      </c>
      <c r="F1065" t="str">
        <f>""</f>
        <v/>
      </c>
      <c r="G1065" s="3">
        <v>428.42</v>
      </c>
      <c r="H1065" t="str">
        <f t="shared" si="17"/>
        <v>CUST#2000172616 / SEPTEMBER</v>
      </c>
    </row>
    <row r="1066" spans="5:8" x14ac:dyDescent="0.25">
      <c r="E1066" t="str">
        <f>""</f>
        <v/>
      </c>
      <c r="F1066" t="str">
        <f>""</f>
        <v/>
      </c>
      <c r="G1066" s="3">
        <v>95.1</v>
      </c>
      <c r="H1066" t="str">
        <f t="shared" si="17"/>
        <v>CUST#2000172616 / SEPTEMBER</v>
      </c>
    </row>
    <row r="1067" spans="5:8" x14ac:dyDescent="0.25">
      <c r="E1067" t="str">
        <f>""</f>
        <v/>
      </c>
      <c r="F1067" t="str">
        <f>""</f>
        <v/>
      </c>
      <c r="G1067" s="3">
        <v>303.86</v>
      </c>
      <c r="H1067" t="str">
        <f t="shared" si="17"/>
        <v>CUST#2000172616 / SEPTEMBER</v>
      </c>
    </row>
    <row r="1068" spans="5:8" x14ac:dyDescent="0.25">
      <c r="E1068" t="str">
        <f>""</f>
        <v/>
      </c>
      <c r="F1068" t="str">
        <f>""</f>
        <v/>
      </c>
      <c r="G1068" s="3">
        <v>543.30999999999995</v>
      </c>
      <c r="H1068" t="str">
        <f t="shared" si="17"/>
        <v>CUST#2000172616 / SEPTEMBER</v>
      </c>
    </row>
    <row r="1069" spans="5:8" x14ac:dyDescent="0.25">
      <c r="E1069" t="str">
        <f>""</f>
        <v/>
      </c>
      <c r="F1069" t="str">
        <f>""</f>
        <v/>
      </c>
      <c r="G1069" s="3">
        <v>249.26</v>
      </c>
      <c r="H1069" t="str">
        <f t="shared" si="17"/>
        <v>CUST#2000172616 / SEPTEMBER</v>
      </c>
    </row>
    <row r="1070" spans="5:8" x14ac:dyDescent="0.25">
      <c r="E1070" t="str">
        <f>""</f>
        <v/>
      </c>
      <c r="F1070" t="str">
        <f>""</f>
        <v/>
      </c>
      <c r="G1070" s="3">
        <v>201</v>
      </c>
      <c r="H1070" t="str">
        <f t="shared" si="17"/>
        <v>CUST#2000172616 / SEPTEMBER</v>
      </c>
    </row>
    <row r="1071" spans="5:8" x14ac:dyDescent="0.25">
      <c r="E1071" t="str">
        <f>""</f>
        <v/>
      </c>
      <c r="F1071" t="str">
        <f>""</f>
        <v/>
      </c>
      <c r="G1071" s="3">
        <v>80.28</v>
      </c>
      <c r="H1071" t="str">
        <f t="shared" si="17"/>
        <v>CUST#2000172616 / SEPTEMBER</v>
      </c>
    </row>
    <row r="1072" spans="5:8" x14ac:dyDescent="0.25">
      <c r="E1072" t="str">
        <f>""</f>
        <v/>
      </c>
      <c r="F1072" t="str">
        <f>""</f>
        <v/>
      </c>
      <c r="G1072" s="3">
        <v>220.09</v>
      </c>
      <c r="H1072" t="str">
        <f t="shared" si="17"/>
        <v>CUST#2000172616 / SEPTEMBER</v>
      </c>
    </row>
    <row r="1073" spans="5:8" x14ac:dyDescent="0.25">
      <c r="E1073" t="str">
        <f>""</f>
        <v/>
      </c>
      <c r="F1073" t="str">
        <f>""</f>
        <v/>
      </c>
      <c r="G1073" s="3">
        <v>525.66</v>
      </c>
      <c r="H1073" t="str">
        <f t="shared" si="17"/>
        <v>CUST#2000172616 / SEPTEMBER</v>
      </c>
    </row>
    <row r="1074" spans="5:8" x14ac:dyDescent="0.25">
      <c r="E1074" t="str">
        <f>""</f>
        <v/>
      </c>
      <c r="F1074" t="str">
        <f>""</f>
        <v/>
      </c>
      <c r="G1074" s="3">
        <v>249.26</v>
      </c>
      <c r="H1074" t="str">
        <f t="shared" si="17"/>
        <v>CUST#2000172616 / SEPTEMBER</v>
      </c>
    </row>
    <row r="1075" spans="5:8" x14ac:dyDescent="0.25">
      <c r="E1075" t="str">
        <f>""</f>
        <v/>
      </c>
      <c r="F1075" t="str">
        <f>""</f>
        <v/>
      </c>
      <c r="G1075" s="3">
        <v>249.26</v>
      </c>
      <c r="H1075" t="str">
        <f t="shared" si="17"/>
        <v>CUST#2000172616 / SEPTEMBER</v>
      </c>
    </row>
    <row r="1076" spans="5:8" x14ac:dyDescent="0.25">
      <c r="E1076" t="str">
        <f>""</f>
        <v/>
      </c>
      <c r="F1076" t="str">
        <f>""</f>
        <v/>
      </c>
      <c r="G1076" s="3">
        <v>119.57</v>
      </c>
      <c r="H1076" t="str">
        <f t="shared" si="17"/>
        <v>CUST#2000172616 / SEPTEMBER</v>
      </c>
    </row>
    <row r="1077" spans="5:8" x14ac:dyDescent="0.25">
      <c r="E1077" t="str">
        <f>""</f>
        <v/>
      </c>
      <c r="F1077" t="str">
        <f>""</f>
        <v/>
      </c>
      <c r="G1077" s="3">
        <v>338.84</v>
      </c>
      <c r="H1077" t="str">
        <f t="shared" si="17"/>
        <v>CUST#2000172616 / SEPTEMBER</v>
      </c>
    </row>
    <row r="1078" spans="5:8" x14ac:dyDescent="0.25">
      <c r="E1078" t="str">
        <f>""</f>
        <v/>
      </c>
      <c r="F1078" t="str">
        <f>""</f>
        <v/>
      </c>
      <c r="G1078" s="3">
        <v>78.540000000000006</v>
      </c>
      <c r="H1078" t="str">
        <f t="shared" si="17"/>
        <v>CUST#2000172616 / SEPTEMBER</v>
      </c>
    </row>
    <row r="1079" spans="5:8" x14ac:dyDescent="0.25">
      <c r="E1079" t="str">
        <f>""</f>
        <v/>
      </c>
      <c r="F1079" t="str">
        <f>""</f>
        <v/>
      </c>
      <c r="G1079" s="3">
        <v>249.26</v>
      </c>
      <c r="H1079" t="str">
        <f t="shared" si="17"/>
        <v>CUST#2000172616 / SEPTEMBER</v>
      </c>
    </row>
    <row r="1080" spans="5:8" x14ac:dyDescent="0.25">
      <c r="E1080" t="str">
        <f>""</f>
        <v/>
      </c>
      <c r="F1080" t="str">
        <f>""</f>
        <v/>
      </c>
      <c r="G1080" s="3">
        <v>139.51</v>
      </c>
      <c r="H1080" t="str">
        <f t="shared" si="17"/>
        <v>CUST#2000172616 / SEPTEMBER</v>
      </c>
    </row>
    <row r="1081" spans="5:8" x14ac:dyDescent="0.25">
      <c r="E1081" t="str">
        <f>""</f>
        <v/>
      </c>
      <c r="F1081" t="str">
        <f>""</f>
        <v/>
      </c>
      <c r="G1081" s="3">
        <v>303.86</v>
      </c>
      <c r="H1081" t="str">
        <f t="shared" si="17"/>
        <v>CUST#2000172616 / SEPTEMBER</v>
      </c>
    </row>
    <row r="1082" spans="5:8" x14ac:dyDescent="0.25">
      <c r="E1082" t="str">
        <f>""</f>
        <v/>
      </c>
      <c r="F1082" t="str">
        <f>""</f>
        <v/>
      </c>
      <c r="G1082" s="3">
        <v>1267.82</v>
      </c>
      <c r="H1082" t="str">
        <f t="shared" si="17"/>
        <v>CUST#2000172616 / SEPTEMBER</v>
      </c>
    </row>
    <row r="1083" spans="5:8" x14ac:dyDescent="0.25">
      <c r="E1083" t="str">
        <f>""</f>
        <v/>
      </c>
      <c r="F1083" t="str">
        <f>""</f>
        <v/>
      </c>
      <c r="G1083" s="3">
        <v>1244.07</v>
      </c>
      <c r="H1083" t="str">
        <f t="shared" si="17"/>
        <v>CUST#2000172616 / SEPTEMBER</v>
      </c>
    </row>
    <row r="1084" spans="5:8" x14ac:dyDescent="0.25">
      <c r="E1084" t="str">
        <f>""</f>
        <v/>
      </c>
      <c r="F1084" t="str">
        <f>""</f>
        <v/>
      </c>
      <c r="G1084" s="3">
        <v>334.08</v>
      </c>
      <c r="H1084" t="str">
        <f t="shared" si="17"/>
        <v>CUST#2000172616 / SEPTEMBER</v>
      </c>
    </row>
    <row r="1085" spans="5:8" x14ac:dyDescent="0.25">
      <c r="E1085" t="str">
        <f>""</f>
        <v/>
      </c>
      <c r="F1085" t="str">
        <f>""</f>
        <v/>
      </c>
      <c r="G1085" s="3">
        <v>303.86</v>
      </c>
      <c r="H1085" t="str">
        <f t="shared" si="17"/>
        <v>CUST#2000172616 / SEPTEMBER</v>
      </c>
    </row>
    <row r="1086" spans="5:8" x14ac:dyDescent="0.25">
      <c r="E1086" t="str">
        <f>""</f>
        <v/>
      </c>
      <c r="F1086" t="str">
        <f>""</f>
        <v/>
      </c>
      <c r="G1086" s="3">
        <v>303.86</v>
      </c>
      <c r="H1086" t="str">
        <f t="shared" si="17"/>
        <v>CUST#2000172616 / SEPTEMBER</v>
      </c>
    </row>
    <row r="1087" spans="5:8" x14ac:dyDescent="0.25">
      <c r="E1087" t="str">
        <f>""</f>
        <v/>
      </c>
      <c r="F1087" t="str">
        <f>""</f>
        <v/>
      </c>
      <c r="G1087" s="3">
        <v>101.5</v>
      </c>
      <c r="H1087" t="str">
        <f t="shared" si="17"/>
        <v>CUST#2000172616 / SEPTEMBER</v>
      </c>
    </row>
    <row r="1088" spans="5:8" x14ac:dyDescent="0.25">
      <c r="E1088" t="str">
        <f>""</f>
        <v/>
      </c>
      <c r="F1088" t="str">
        <f>""</f>
        <v/>
      </c>
      <c r="G1088" s="3">
        <v>303.86</v>
      </c>
      <c r="H1088" t="str">
        <f t="shared" si="17"/>
        <v>CUST#2000172616 / SEPTEMBER</v>
      </c>
    </row>
    <row r="1089" spans="1:8" x14ac:dyDescent="0.25">
      <c r="E1089" t="str">
        <f>""</f>
        <v/>
      </c>
      <c r="F1089" t="str">
        <f>""</f>
        <v/>
      </c>
      <c r="G1089" s="3">
        <v>70.58</v>
      </c>
      <c r="H1089" t="str">
        <f t="shared" si="17"/>
        <v>CUST#2000172616 / SEPTEMBER</v>
      </c>
    </row>
    <row r="1090" spans="1:8" x14ac:dyDescent="0.25">
      <c r="E1090" t="str">
        <f>""</f>
        <v/>
      </c>
      <c r="F1090" t="str">
        <f>""</f>
        <v/>
      </c>
      <c r="G1090" s="3">
        <v>70.58</v>
      </c>
      <c r="H1090" t="str">
        <f t="shared" si="17"/>
        <v>CUST#2000172616 / SEPTEMBER</v>
      </c>
    </row>
    <row r="1091" spans="1:8" x14ac:dyDescent="0.25">
      <c r="E1091" t="str">
        <f>""</f>
        <v/>
      </c>
      <c r="F1091" t="str">
        <f>""</f>
        <v/>
      </c>
      <c r="G1091" s="3">
        <v>70.58</v>
      </c>
      <c r="H1091" t="str">
        <f t="shared" si="17"/>
        <v>CUST#2000172616 / SEPTEMBER</v>
      </c>
    </row>
    <row r="1092" spans="1:8" x14ac:dyDescent="0.25">
      <c r="A1092" t="s">
        <v>273</v>
      </c>
      <c r="B1092">
        <v>137127</v>
      </c>
      <c r="C1092" s="3">
        <v>22</v>
      </c>
      <c r="D1092" s="4">
        <v>44466</v>
      </c>
      <c r="E1092" t="str">
        <f>"13535"</f>
        <v>13535</v>
      </c>
      <c r="F1092" t="str">
        <f>"TIRES/MIKE DAVIS"</f>
        <v>TIRES/MIKE DAVIS</v>
      </c>
      <c r="G1092" s="3">
        <v>22</v>
      </c>
      <c r="H1092" t="str">
        <f>"TIRES/MIKE DAVIS"</f>
        <v>TIRES/MIKE DAVIS</v>
      </c>
    </row>
    <row r="1093" spans="1:8" x14ac:dyDescent="0.25">
      <c r="A1093" t="s">
        <v>274</v>
      </c>
      <c r="B1093">
        <v>5117</v>
      </c>
      <c r="C1093" s="3">
        <v>700</v>
      </c>
      <c r="D1093" s="4">
        <v>44467</v>
      </c>
      <c r="E1093" t="str">
        <f>"BCSOAUG21"</f>
        <v>BCSOAUG21</v>
      </c>
      <c r="F1093" t="str">
        <f>"INV BCSOAUG21"</f>
        <v>INV BCSOAUG21</v>
      </c>
      <c r="G1093" s="3">
        <v>700</v>
      </c>
      <c r="H1093" t="str">
        <f>"INV BCSOAUG21"</f>
        <v>INV BCSOAUG21</v>
      </c>
    </row>
    <row r="1094" spans="1:8" x14ac:dyDescent="0.25">
      <c r="A1094" t="s">
        <v>275</v>
      </c>
      <c r="B1094">
        <v>136953</v>
      </c>
      <c r="C1094" s="3">
        <v>3012.97</v>
      </c>
      <c r="D1094" s="4">
        <v>44452</v>
      </c>
      <c r="E1094" t="str">
        <f>"5427532"</f>
        <v>5427532</v>
      </c>
      <c r="F1094" t="str">
        <f>"INV 5427532"</f>
        <v>INV 5427532</v>
      </c>
      <c r="G1094" s="3">
        <v>119.06</v>
      </c>
      <c r="H1094" t="str">
        <f>"INV 5427532"</f>
        <v>INV 5427532</v>
      </c>
    </row>
    <row r="1095" spans="1:8" x14ac:dyDescent="0.25">
      <c r="E1095" t="str">
        <f>"5427542"</f>
        <v>5427542</v>
      </c>
      <c r="F1095" t="str">
        <f>"INV 5427542"</f>
        <v>INV 5427542</v>
      </c>
      <c r="G1095" s="3">
        <v>2893.91</v>
      </c>
      <c r="H1095" t="str">
        <f>"INV 5427542"</f>
        <v>INV 5427542</v>
      </c>
    </row>
    <row r="1096" spans="1:8" x14ac:dyDescent="0.25">
      <c r="A1096" t="s">
        <v>275</v>
      </c>
      <c r="B1096">
        <v>137128</v>
      </c>
      <c r="C1096" s="3">
        <v>54.59</v>
      </c>
      <c r="D1096" s="4">
        <v>44466</v>
      </c>
      <c r="E1096" t="str">
        <f>"5440959"</f>
        <v>5440959</v>
      </c>
      <c r="F1096" t="str">
        <f>"INV 5440959"</f>
        <v>INV 5440959</v>
      </c>
      <c r="G1096" s="3">
        <v>54.59</v>
      </c>
      <c r="H1096" t="str">
        <f>"INV 5440959"</f>
        <v>INV 5440959</v>
      </c>
    </row>
    <row r="1097" spans="1:8" x14ac:dyDescent="0.25">
      <c r="A1097" t="s">
        <v>276</v>
      </c>
      <c r="B1097">
        <v>5029</v>
      </c>
      <c r="C1097" s="3">
        <v>3400</v>
      </c>
      <c r="D1097" s="4">
        <v>44453</v>
      </c>
      <c r="E1097" t="str">
        <f>"2586-2022"</f>
        <v>2586-2022</v>
      </c>
      <c r="F1097" t="str">
        <f>"SURVEY/PCT#3"</f>
        <v>SURVEY/PCT#3</v>
      </c>
      <c r="G1097" s="3">
        <v>3400</v>
      </c>
      <c r="H1097" t="str">
        <f>"SURVEY/PCT#3"</f>
        <v>SURVEY/PCT#3</v>
      </c>
    </row>
    <row r="1098" spans="1:8" x14ac:dyDescent="0.25">
      <c r="A1098" t="s">
        <v>276</v>
      </c>
      <c r="B1098">
        <v>5124</v>
      </c>
      <c r="C1098" s="3">
        <v>11500</v>
      </c>
      <c r="D1098" s="4">
        <v>44467</v>
      </c>
      <c r="E1098" t="str">
        <f>"WA2696-2021"</f>
        <v>WA2696-2021</v>
      </c>
      <c r="F1098" t="str">
        <f>"RIGHT OF WAY/LOVERS LANE/PCT#1"</f>
        <v>RIGHT OF WAY/LOVERS LANE/PCT#1</v>
      </c>
      <c r="G1098" s="3">
        <v>11500</v>
      </c>
      <c r="H1098" t="str">
        <f>"RIGHT OF WAY/LOVERS LANE/PCT#1"</f>
        <v>RIGHT OF WAY/LOVERS LANE/PCT#1</v>
      </c>
    </row>
    <row r="1099" spans="1:8" x14ac:dyDescent="0.25">
      <c r="A1099" t="s">
        <v>277</v>
      </c>
      <c r="B1099">
        <v>136954</v>
      </c>
      <c r="C1099" s="3">
        <v>55.95</v>
      </c>
      <c r="D1099" s="4">
        <v>44452</v>
      </c>
      <c r="E1099" t="str">
        <f>"202109075591"</f>
        <v>202109075591</v>
      </c>
      <c r="F1099" t="str">
        <f>"REIMBURSEMENT"</f>
        <v>REIMBURSEMENT</v>
      </c>
      <c r="G1099" s="3">
        <v>55.95</v>
      </c>
      <c r="H1099" t="str">
        <f>"REIMBURSEMENT"</f>
        <v>REIMBURSEMENT</v>
      </c>
    </row>
    <row r="1100" spans="1:8" x14ac:dyDescent="0.25">
      <c r="A1100" t="s">
        <v>278</v>
      </c>
      <c r="B1100">
        <v>136955</v>
      </c>
      <c r="C1100" s="3">
        <v>300</v>
      </c>
      <c r="D1100" s="4">
        <v>44452</v>
      </c>
      <c r="E1100" t="str">
        <f>"202109085614"</f>
        <v>202109085614</v>
      </c>
      <c r="F1100" t="str">
        <f>"INV 0054189-IN"</f>
        <v>INV 0054189-IN</v>
      </c>
      <c r="G1100" s="3">
        <v>300</v>
      </c>
      <c r="H1100" t="str">
        <f>"INV 0054189-IN"</f>
        <v>INV 0054189-IN</v>
      </c>
    </row>
    <row r="1101" spans="1:8" x14ac:dyDescent="0.25">
      <c r="A1101" t="s">
        <v>279</v>
      </c>
      <c r="B1101">
        <v>137129</v>
      </c>
      <c r="C1101" s="3">
        <v>240</v>
      </c>
      <c r="D1101" s="4">
        <v>44466</v>
      </c>
      <c r="E1101" t="str">
        <f>"210629-4"</f>
        <v>210629-4</v>
      </c>
      <c r="F1101" t="str">
        <f>"UNIFORMS/COMMUNICATIONS"</f>
        <v>UNIFORMS/COMMUNICATIONS</v>
      </c>
      <c r="G1101" s="3">
        <v>240</v>
      </c>
      <c r="H1101" t="str">
        <f>"UNIFORMS/COMMUNICATIONS"</f>
        <v>UNIFORMS/COMMUNICATIONS</v>
      </c>
    </row>
    <row r="1102" spans="1:8" x14ac:dyDescent="0.25">
      <c r="A1102" t="s">
        <v>280</v>
      </c>
      <c r="B1102">
        <v>5017</v>
      </c>
      <c r="C1102" s="3">
        <v>589.95000000000005</v>
      </c>
      <c r="D1102" s="4">
        <v>44453</v>
      </c>
      <c r="E1102" t="str">
        <f>"202109085625"</f>
        <v>202109085625</v>
      </c>
      <c r="F1102" t="str">
        <f>"ACCT#10411/ANIMAL SHELTER"</f>
        <v>ACCT#10411/ANIMAL SHELTER</v>
      </c>
      <c r="G1102" s="3">
        <v>589.95000000000005</v>
      </c>
      <c r="H1102" t="str">
        <f>"ACCT#10411/ANIMAL SHELTER"</f>
        <v>ACCT#10411/ANIMAL SHELTER</v>
      </c>
    </row>
    <row r="1103" spans="1:8" x14ac:dyDescent="0.25">
      <c r="A1103" t="s">
        <v>281</v>
      </c>
      <c r="B1103">
        <v>136956</v>
      </c>
      <c r="C1103" s="3">
        <v>182</v>
      </c>
      <c r="D1103" s="4">
        <v>44452</v>
      </c>
      <c r="E1103" t="str">
        <f>"202109085622"</f>
        <v>202109085622</v>
      </c>
      <c r="F1103" t="str">
        <f>"DEVELOPMENT SVCS FEE"</f>
        <v>DEVELOPMENT SVCS FEE</v>
      </c>
      <c r="G1103" s="3">
        <v>182</v>
      </c>
      <c r="H1103" t="str">
        <f>"DEVELOPMENT SVCS FEE"</f>
        <v>DEVELOPMENT SVCS FEE</v>
      </c>
    </row>
    <row r="1104" spans="1:8" x14ac:dyDescent="0.25">
      <c r="A1104" t="s">
        <v>281</v>
      </c>
      <c r="B1104">
        <v>137130</v>
      </c>
      <c r="C1104" s="3">
        <v>248</v>
      </c>
      <c r="D1104" s="4">
        <v>44466</v>
      </c>
      <c r="E1104" t="str">
        <f>"202109215844"</f>
        <v>202109215844</v>
      </c>
      <c r="F1104" t="str">
        <f>"LPHCP RECORING FEES"</f>
        <v>LPHCP RECORING FEES</v>
      </c>
      <c r="G1104" s="3">
        <v>248</v>
      </c>
      <c r="H1104" t="str">
        <f>"LPHCP RECORING FEES"</f>
        <v>LPHCP RECORING FEES</v>
      </c>
    </row>
    <row r="1105" spans="1:8" x14ac:dyDescent="0.25">
      <c r="A1105" t="s">
        <v>281</v>
      </c>
      <c r="B1105">
        <v>137131</v>
      </c>
      <c r="C1105" s="3">
        <v>233</v>
      </c>
      <c r="D1105" s="4">
        <v>44466</v>
      </c>
      <c r="E1105" t="str">
        <f>"202109215894"</f>
        <v>202109215894</v>
      </c>
      <c r="F1105" t="str">
        <f>"DEVELOPMENT SVCS RECORDING FEE"</f>
        <v>DEVELOPMENT SVCS RECORDING FEE</v>
      </c>
      <c r="G1105" s="3">
        <v>233</v>
      </c>
      <c r="H1105" t="str">
        <f>"DEVELOPMENT SVCS RECORDING FEE"</f>
        <v>DEVELOPMENT SVCS RECORDING FEE</v>
      </c>
    </row>
    <row r="1106" spans="1:8" x14ac:dyDescent="0.25">
      <c r="A1106" t="s">
        <v>282</v>
      </c>
      <c r="B1106">
        <v>137132</v>
      </c>
      <c r="C1106" s="3">
        <v>30</v>
      </c>
      <c r="D1106" s="4">
        <v>44466</v>
      </c>
      <c r="E1106" t="str">
        <f>"202109175744"</f>
        <v>202109175744</v>
      </c>
      <c r="F1106" t="str">
        <f>"RESTITUTION/STEVEN MENDEZ"</f>
        <v>RESTITUTION/STEVEN MENDEZ</v>
      </c>
      <c r="G1106" s="3">
        <v>30</v>
      </c>
      <c r="H1106" t="str">
        <f>"RESTITUTION/STEVEN MENDEZ"</f>
        <v>RESTITUTION/STEVEN MENDEZ</v>
      </c>
    </row>
    <row r="1107" spans="1:8" x14ac:dyDescent="0.25">
      <c r="A1107" t="s">
        <v>283</v>
      </c>
      <c r="B1107">
        <v>136957</v>
      </c>
      <c r="C1107" s="3">
        <v>145</v>
      </c>
      <c r="D1107" s="4">
        <v>44452</v>
      </c>
      <c r="E1107" t="str">
        <f>"242995"</f>
        <v>242995</v>
      </c>
      <c r="F1107" t="str">
        <f>"CUST#92299/OEM"</f>
        <v>CUST#92299/OEM</v>
      </c>
      <c r="G1107" s="3">
        <v>145</v>
      </c>
      <c r="H1107" t="str">
        <f>"CUST#92299/OEM"</f>
        <v>CUST#92299/OEM</v>
      </c>
    </row>
    <row r="1108" spans="1:8" x14ac:dyDescent="0.25">
      <c r="A1108" t="s">
        <v>283</v>
      </c>
      <c r="B1108">
        <v>137133</v>
      </c>
      <c r="C1108" s="3">
        <v>235.22</v>
      </c>
      <c r="D1108" s="4">
        <v>44466</v>
      </c>
      <c r="E1108" t="str">
        <f>"37126"</f>
        <v>37126</v>
      </c>
      <c r="F1108" t="str">
        <f>"ACCT#35019/PCT#3"</f>
        <v>ACCT#35019/PCT#3</v>
      </c>
      <c r="G1108" s="3">
        <v>235.22</v>
      </c>
      <c r="H1108" t="str">
        <f>"ACCT#35019/PCT#3"</f>
        <v>ACCT#35019/PCT#3</v>
      </c>
    </row>
    <row r="1109" spans="1:8" x14ac:dyDescent="0.25">
      <c r="A1109" t="s">
        <v>284</v>
      </c>
      <c r="B1109">
        <v>5153</v>
      </c>
      <c r="C1109" s="3">
        <v>57.31</v>
      </c>
      <c r="D1109" s="4">
        <v>44467</v>
      </c>
      <c r="E1109" t="str">
        <f>"202109215854"</f>
        <v>202109215854</v>
      </c>
      <c r="F1109" t="str">
        <f>"INDIGENT HEALTH"</f>
        <v>INDIGENT HEALTH</v>
      </c>
      <c r="G1109" s="3">
        <v>46.73</v>
      </c>
      <c r="H1109" t="str">
        <f>"INDIGENT HEALTH"</f>
        <v>INDIGENT HEALTH</v>
      </c>
    </row>
    <row r="1110" spans="1:8" x14ac:dyDescent="0.25">
      <c r="E1110" t="str">
        <f>""</f>
        <v/>
      </c>
      <c r="F1110" t="str">
        <f>""</f>
        <v/>
      </c>
      <c r="G1110" s="3">
        <v>10.58</v>
      </c>
      <c r="H1110" t="str">
        <f>"INDIGENT HEALTH"</f>
        <v>INDIGENT HEALTH</v>
      </c>
    </row>
    <row r="1111" spans="1:8" x14ac:dyDescent="0.25">
      <c r="A1111" t="s">
        <v>285</v>
      </c>
      <c r="B1111">
        <v>137134</v>
      </c>
      <c r="C1111" s="3">
        <v>50</v>
      </c>
      <c r="D1111" s="4">
        <v>44466</v>
      </c>
      <c r="E1111" t="str">
        <f>"BCNTY-091021"</f>
        <v>BCNTY-091021</v>
      </c>
      <c r="F1111" t="str">
        <f>"INV BCNTY-091021"</f>
        <v>INV BCNTY-091021</v>
      </c>
      <c r="G1111" s="3">
        <v>50</v>
      </c>
      <c r="H1111" t="str">
        <f>"INV BCNTY-091021"</f>
        <v>INV BCNTY-091021</v>
      </c>
    </row>
    <row r="1112" spans="1:8" x14ac:dyDescent="0.25">
      <c r="A1112" t="s">
        <v>286</v>
      </c>
      <c r="B1112">
        <v>5154</v>
      </c>
      <c r="C1112" s="3">
        <v>520.41999999999996</v>
      </c>
      <c r="D1112" s="4">
        <v>44467</v>
      </c>
      <c r="E1112" t="str">
        <f>"067804"</f>
        <v>067804</v>
      </c>
      <c r="F1112" t="str">
        <f>"PLAT RECORDS/COUNTY CLERK"</f>
        <v>PLAT RECORDS/COUNTY CLERK</v>
      </c>
      <c r="G1112" s="3">
        <v>520.41999999999996</v>
      </c>
      <c r="H1112" t="str">
        <f>"PLAT RECORDS/COUNTY CLERK"</f>
        <v>PLAT RECORDS/COUNTY CLERK</v>
      </c>
    </row>
    <row r="1113" spans="1:8" x14ac:dyDescent="0.25">
      <c r="A1113" t="s">
        <v>287</v>
      </c>
      <c r="B1113">
        <v>136958</v>
      </c>
      <c r="C1113" s="3">
        <v>11477.7</v>
      </c>
      <c r="D1113" s="4">
        <v>44452</v>
      </c>
      <c r="E1113" t="str">
        <f>"202109015429"</f>
        <v>202109015429</v>
      </c>
      <c r="F1113" t="str">
        <f>"ASSESSMENT 09/01/21-8/31/22"</f>
        <v>ASSESSMENT 09/01/21-8/31/22</v>
      </c>
      <c r="G1113" s="3">
        <v>11477.7</v>
      </c>
      <c r="H1113" t="str">
        <f>"ASSESSMENT 09/01/21-8/31/22"</f>
        <v>ASSESSMENT 09/01/21-8/31/22</v>
      </c>
    </row>
    <row r="1114" spans="1:8" x14ac:dyDescent="0.25">
      <c r="A1114" t="s">
        <v>288</v>
      </c>
      <c r="B1114">
        <v>137135</v>
      </c>
      <c r="C1114" s="3">
        <v>563.66999999999996</v>
      </c>
      <c r="D1114" s="4">
        <v>44466</v>
      </c>
      <c r="E1114" t="str">
        <f>"202109215856"</f>
        <v>202109215856</v>
      </c>
      <c r="F1114" t="str">
        <f>"INDIGENT HEALTH"</f>
        <v>INDIGENT HEALTH</v>
      </c>
      <c r="G1114" s="3">
        <v>563.66999999999996</v>
      </c>
      <c r="H1114" t="str">
        <f>"INDIGENT HEALTH"</f>
        <v>INDIGENT HEALTH</v>
      </c>
    </row>
    <row r="1115" spans="1:8" x14ac:dyDescent="0.25">
      <c r="A1115" t="s">
        <v>289</v>
      </c>
      <c r="B1115">
        <v>137136</v>
      </c>
      <c r="C1115" s="3">
        <v>4868.5</v>
      </c>
      <c r="D1115" s="4">
        <v>44466</v>
      </c>
      <c r="E1115" t="str">
        <f>"202109215850"</f>
        <v>202109215850</v>
      </c>
      <c r="F1115" t="str">
        <f>"INDIGENT HEALTH"</f>
        <v>INDIGENT HEALTH</v>
      </c>
      <c r="G1115" s="3">
        <v>1468.5</v>
      </c>
      <c r="H1115" t="str">
        <f>"INDIGENT HEALTH"</f>
        <v>INDIGENT HEALTH</v>
      </c>
    </row>
    <row r="1116" spans="1:8" x14ac:dyDescent="0.25">
      <c r="E1116" t="str">
        <f>"91721"</f>
        <v>91721</v>
      </c>
      <c r="F1116" t="str">
        <f>"SETON PRESCRIPTION ASSISTANCE"</f>
        <v>SETON PRESCRIPTION ASSISTANCE</v>
      </c>
      <c r="G1116" s="3">
        <v>3400</v>
      </c>
      <c r="H1116" t="str">
        <f>"SETON PRESCRIPTION ASSISTANCE"</f>
        <v>SETON PRESCRIPTION ASSISTANCE</v>
      </c>
    </row>
    <row r="1117" spans="1:8" x14ac:dyDescent="0.25">
      <c r="A1117" t="s">
        <v>290</v>
      </c>
      <c r="B1117">
        <v>137137</v>
      </c>
      <c r="C1117" s="3">
        <v>50</v>
      </c>
      <c r="D1117" s="4">
        <v>44466</v>
      </c>
      <c r="E1117" t="str">
        <f>"202109175737"</f>
        <v>202109175737</v>
      </c>
      <c r="F1117" t="str">
        <f>"RESTITUTION/DEBRA MCCOMB"</f>
        <v>RESTITUTION/DEBRA MCCOMB</v>
      </c>
      <c r="G1117" s="3">
        <v>50</v>
      </c>
      <c r="H1117" t="str">
        <f>"RESTITUTION/DEBRA MCCOMB"</f>
        <v>RESTITUTION/DEBRA MCCOMB</v>
      </c>
    </row>
    <row r="1118" spans="1:8" x14ac:dyDescent="0.25">
      <c r="A1118" t="s">
        <v>291</v>
      </c>
      <c r="B1118">
        <v>137138</v>
      </c>
      <c r="C1118" s="3">
        <v>13498.48</v>
      </c>
      <c r="D1118" s="4">
        <v>44466</v>
      </c>
      <c r="E1118" t="str">
        <f>"20977037"</f>
        <v>20977037</v>
      </c>
      <c r="F1118" t="str">
        <f>"365 Backup"</f>
        <v>365 Backup</v>
      </c>
      <c r="G1118" s="3">
        <v>12840</v>
      </c>
      <c r="H1118" t="str">
        <f>"MTL-O365-USR-A"</f>
        <v>MTL-O365-USR-A</v>
      </c>
    </row>
    <row r="1119" spans="1:8" x14ac:dyDescent="0.25">
      <c r="E1119" t="str">
        <f>"20998719"</f>
        <v>20998719</v>
      </c>
      <c r="F1119" t="str">
        <f>"SHI Quote#20998719"</f>
        <v>SHI Quote#20998719</v>
      </c>
      <c r="G1119" s="3">
        <v>402.36</v>
      </c>
      <c r="H1119" t="str">
        <f>"SHI Quote#20998719"</f>
        <v>SHI Quote#20998719</v>
      </c>
    </row>
    <row r="1120" spans="1:8" x14ac:dyDescent="0.25">
      <c r="E1120" t="str">
        <f>"26001"</f>
        <v>26001</v>
      </c>
      <c r="F1120" t="str">
        <f>"SHI GOVERNMENT SOLUTIONS INC."</f>
        <v>SHI GOVERNMENT SOLUTIONS INC.</v>
      </c>
      <c r="G1120" s="3">
        <v>256.12</v>
      </c>
      <c r="H1120" t="str">
        <f>"Cisco IP Phone 8811"</f>
        <v>Cisco IP Phone 8811</v>
      </c>
    </row>
    <row r="1121" spans="1:8" x14ac:dyDescent="0.25">
      <c r="A1121" t="s">
        <v>292</v>
      </c>
      <c r="B1121">
        <v>136959</v>
      </c>
      <c r="C1121" s="3">
        <v>1643.36</v>
      </c>
      <c r="D1121" s="4">
        <v>44452</v>
      </c>
      <c r="E1121" t="str">
        <f>"202109085607"</f>
        <v>202109085607</v>
      </c>
      <c r="F1121" t="str">
        <f>"ACCT#004840/PCT#2"</f>
        <v>ACCT#004840/PCT#2</v>
      </c>
      <c r="G1121" s="3">
        <v>1643.36</v>
      </c>
      <c r="H1121" t="str">
        <f>"ACCT#004840/PCT#2"</f>
        <v>ACCT#004840/PCT#2</v>
      </c>
    </row>
    <row r="1122" spans="1:8" x14ac:dyDescent="0.25">
      <c r="A1122" t="s">
        <v>293</v>
      </c>
      <c r="B1122">
        <v>137139</v>
      </c>
      <c r="C1122" s="3">
        <v>36.24</v>
      </c>
      <c r="D1122" s="4">
        <v>44466</v>
      </c>
      <c r="E1122" t="str">
        <f>"202109215857"</f>
        <v>202109215857</v>
      </c>
      <c r="F1122" t="str">
        <f>"INDIGENT HEALTH"</f>
        <v>INDIGENT HEALTH</v>
      </c>
      <c r="G1122" s="3">
        <v>36.24</v>
      </c>
      <c r="H1122" t="str">
        <f>"INDIGENT HEALTH"</f>
        <v>INDIGENT HEALTH</v>
      </c>
    </row>
    <row r="1123" spans="1:8" x14ac:dyDescent="0.25">
      <c r="A1123" t="s">
        <v>294</v>
      </c>
      <c r="B1123">
        <v>136960</v>
      </c>
      <c r="C1123" s="3">
        <v>159.97999999999999</v>
      </c>
      <c r="D1123" s="4">
        <v>44452</v>
      </c>
      <c r="E1123" t="str">
        <f>"202109085617"</f>
        <v>202109085617</v>
      </c>
      <c r="F1123" t="str">
        <f>"JAIL MEDICAL"</f>
        <v>JAIL MEDICAL</v>
      </c>
      <c r="G1123" s="3">
        <v>159.97999999999999</v>
      </c>
      <c r="H1123" t="str">
        <f>"JAIL MEDICAL"</f>
        <v>JAIL MEDICAL</v>
      </c>
    </row>
    <row r="1124" spans="1:8" x14ac:dyDescent="0.25">
      <c r="A1124" t="s">
        <v>294</v>
      </c>
      <c r="B1124">
        <v>137140</v>
      </c>
      <c r="C1124" s="3">
        <v>83.67</v>
      </c>
      <c r="D1124" s="4">
        <v>44466</v>
      </c>
      <c r="E1124" t="str">
        <f>"202109215858"</f>
        <v>202109215858</v>
      </c>
      <c r="F1124" t="str">
        <f>"INDIGENT HEALTH"</f>
        <v>INDIGENT HEALTH</v>
      </c>
      <c r="G1124" s="3">
        <v>83.67</v>
      </c>
      <c r="H1124" t="str">
        <f>"INDIGENT HEALTH"</f>
        <v>INDIGENT HEALTH</v>
      </c>
    </row>
    <row r="1125" spans="1:8" x14ac:dyDescent="0.25">
      <c r="A1125" t="s">
        <v>295</v>
      </c>
      <c r="B1125">
        <v>136961</v>
      </c>
      <c r="C1125" s="3">
        <v>638.64</v>
      </c>
      <c r="D1125" s="4">
        <v>44452</v>
      </c>
      <c r="E1125" t="str">
        <f>"37315"</f>
        <v>37315</v>
      </c>
      <c r="F1125" t="str">
        <f>"CULVERT/PCT#1"</f>
        <v>CULVERT/PCT#1</v>
      </c>
      <c r="G1125" s="3">
        <v>623.5</v>
      </c>
      <c r="H1125" t="str">
        <f>"CULVERT/PCT#1"</f>
        <v>CULVERT/PCT#1</v>
      </c>
    </row>
    <row r="1126" spans="1:8" x14ac:dyDescent="0.25">
      <c r="E1126" t="str">
        <f>"37316"</f>
        <v>37316</v>
      </c>
      <c r="F1126" t="str">
        <f>"SUPPLIES/PCT#2"</f>
        <v>SUPPLIES/PCT#2</v>
      </c>
      <c r="G1126" s="3">
        <v>15.14</v>
      </c>
      <c r="H1126" t="str">
        <f>"SUPPLIES/PCT#2"</f>
        <v>SUPPLIES/PCT#2</v>
      </c>
    </row>
    <row r="1127" spans="1:8" x14ac:dyDescent="0.25">
      <c r="A1127" t="s">
        <v>296</v>
      </c>
      <c r="B1127">
        <v>137141</v>
      </c>
      <c r="C1127" s="3">
        <v>350</v>
      </c>
      <c r="D1127" s="4">
        <v>44466</v>
      </c>
      <c r="E1127" t="str">
        <f>"9511"</f>
        <v>9511</v>
      </c>
      <c r="F1127" t="str">
        <f>"INV 9511"</f>
        <v>INV 9511</v>
      </c>
      <c r="G1127" s="3">
        <v>350</v>
      </c>
      <c r="H1127" t="str">
        <f>"INV 9511"</f>
        <v>INV 9511</v>
      </c>
    </row>
    <row r="1128" spans="1:8" x14ac:dyDescent="0.25">
      <c r="A1128" t="s">
        <v>297</v>
      </c>
      <c r="B1128">
        <v>136962</v>
      </c>
      <c r="C1128" s="3">
        <v>1081.18</v>
      </c>
      <c r="D1128" s="4">
        <v>44452</v>
      </c>
      <c r="E1128" t="str">
        <f>"202109085608"</f>
        <v>202109085608</v>
      </c>
      <c r="F1128" t="str">
        <f>"ACCT#260/PCT#2"</f>
        <v>ACCT#260/PCT#2</v>
      </c>
      <c r="G1128" s="3">
        <v>1081.18</v>
      </c>
      <c r="H1128" t="str">
        <f>"ACCT#260/PCT#2"</f>
        <v>ACCT#260/PCT#2</v>
      </c>
    </row>
    <row r="1129" spans="1:8" x14ac:dyDescent="0.25">
      <c r="A1129" t="s">
        <v>298</v>
      </c>
      <c r="B1129">
        <v>137142</v>
      </c>
      <c r="C1129" s="3">
        <v>7507.5</v>
      </c>
      <c r="D1129" s="4">
        <v>44466</v>
      </c>
      <c r="E1129" t="str">
        <f>"01060"</f>
        <v>01060</v>
      </c>
      <c r="F1129" t="str">
        <f>"VOTER EDUCATION/ELECTIONS"</f>
        <v>VOTER EDUCATION/ELECTIONS</v>
      </c>
      <c r="G1129" s="3">
        <v>7507.5</v>
      </c>
      <c r="H1129" t="str">
        <f>"VOTER EDUCATION/ELECTIONS"</f>
        <v>VOTER EDUCATION/ELECTIONS</v>
      </c>
    </row>
    <row r="1130" spans="1:8" x14ac:dyDescent="0.25">
      <c r="A1130" t="s">
        <v>299</v>
      </c>
      <c r="B1130">
        <v>136963</v>
      </c>
      <c r="C1130" s="3">
        <v>490.42</v>
      </c>
      <c r="D1130" s="4">
        <v>44452</v>
      </c>
      <c r="E1130" t="str">
        <f>"22T-174"</f>
        <v>22T-174</v>
      </c>
      <c r="F1130" t="str">
        <f>"PERMIT/INSPECTION"</f>
        <v>PERMIT/INSPECTION</v>
      </c>
      <c r="G1130" s="3">
        <v>490.42</v>
      </c>
      <c r="H1130" t="str">
        <f>"PERMIT/INSPECTION"</f>
        <v>PERMIT/INSPECTION</v>
      </c>
    </row>
    <row r="1131" spans="1:8" x14ac:dyDescent="0.25">
      <c r="A1131" t="s">
        <v>300</v>
      </c>
      <c r="B1131">
        <v>137143</v>
      </c>
      <c r="C1131" s="3">
        <v>981.35</v>
      </c>
      <c r="D1131" s="4">
        <v>44466</v>
      </c>
      <c r="E1131" t="str">
        <f>"26148"</f>
        <v>26148</v>
      </c>
      <c r="F1131" t="str">
        <f>"Printer for JP1 Courtroom"</f>
        <v>Printer for JP1 Courtroom</v>
      </c>
      <c r="G1131" s="3">
        <v>981.35</v>
      </c>
      <c r="H1131" t="str">
        <f>"HP Laser Jet M652dn"</f>
        <v>HP Laser Jet M652dn</v>
      </c>
    </row>
    <row r="1132" spans="1:8" x14ac:dyDescent="0.25">
      <c r="A1132" t="s">
        <v>301</v>
      </c>
      <c r="B1132">
        <v>136964</v>
      </c>
      <c r="C1132" s="3">
        <v>3521.81</v>
      </c>
      <c r="D1132" s="4">
        <v>44452</v>
      </c>
      <c r="E1132" t="str">
        <f>"4240031501"</f>
        <v>4240031501</v>
      </c>
      <c r="F1132" t="str">
        <f>"INV 4240031501"</f>
        <v>INV 4240031501</v>
      </c>
      <c r="G1132" s="3">
        <v>401.76</v>
      </c>
      <c r="H1132" t="str">
        <f>"INV 4240031501"</f>
        <v>INV 4240031501</v>
      </c>
    </row>
    <row r="1133" spans="1:8" x14ac:dyDescent="0.25">
      <c r="E1133" t="str">
        <f>"4650085959"</f>
        <v>4650085959</v>
      </c>
      <c r="F1133" t="str">
        <f>"CUST#0052157/PCT#3"</f>
        <v>CUST#0052157/PCT#3</v>
      </c>
      <c r="G1133" s="3">
        <v>1616.84</v>
      </c>
      <c r="H1133" t="str">
        <f>"CUST#0052157/PCT#3"</f>
        <v>CUST#0052157/PCT#3</v>
      </c>
    </row>
    <row r="1134" spans="1:8" x14ac:dyDescent="0.25">
      <c r="E1134" t="str">
        <f>"4650086454"</f>
        <v>4650086454</v>
      </c>
      <c r="F1134" t="str">
        <f>"CUST#005257/PCT#3"</f>
        <v>CUST#005257/PCT#3</v>
      </c>
      <c r="G1134" s="3">
        <v>1503.21</v>
      </c>
      <c r="H1134" t="str">
        <f>"CUST#005257/PCT#3"</f>
        <v>CUST#005257/PCT#3</v>
      </c>
    </row>
    <row r="1135" spans="1:8" x14ac:dyDescent="0.25">
      <c r="A1135" t="s">
        <v>301</v>
      </c>
      <c r="B1135">
        <v>137144</v>
      </c>
      <c r="C1135" s="3">
        <v>2293.1999999999998</v>
      </c>
      <c r="D1135" s="4">
        <v>44466</v>
      </c>
      <c r="E1135" t="str">
        <f>"4240032488"</f>
        <v>4240032488</v>
      </c>
      <c r="F1135" t="str">
        <f>"INV 4240032488"</f>
        <v>INV 4240032488</v>
      </c>
      <c r="G1135" s="3">
        <v>320</v>
      </c>
      <c r="H1135" t="str">
        <f>"INV 4240032488"</f>
        <v>INV 4240032488</v>
      </c>
    </row>
    <row r="1136" spans="1:8" x14ac:dyDescent="0.25">
      <c r="E1136" t="str">
        <f>"4650088799"</f>
        <v>4650088799</v>
      </c>
      <c r="F1136" t="str">
        <f>"CUST#0052157/PCT#3"</f>
        <v>CUST#0052157/PCT#3</v>
      </c>
      <c r="G1136" s="3">
        <v>1973.2</v>
      </c>
      <c r="H1136" t="str">
        <f>"CUST#0052157/PCT#3"</f>
        <v>CUST#0052157/PCT#3</v>
      </c>
    </row>
    <row r="1137" spans="1:8" x14ac:dyDescent="0.25">
      <c r="A1137" t="s">
        <v>302</v>
      </c>
      <c r="B1137">
        <v>136965</v>
      </c>
      <c r="C1137" s="3">
        <v>40.92</v>
      </c>
      <c r="D1137" s="4">
        <v>44452</v>
      </c>
      <c r="E1137" t="str">
        <f>"9604456/081221"</f>
        <v>9604456/081221</v>
      </c>
      <c r="F1137" t="str">
        <f>"ACCT#46668439604456/JP4"</f>
        <v>ACCT#46668439604456/JP4</v>
      </c>
      <c r="G1137" s="3">
        <v>40.92</v>
      </c>
      <c r="H1137" t="str">
        <f>"ACCT#46668439604456/JP4"</f>
        <v>ACCT#46668439604456/JP4</v>
      </c>
    </row>
    <row r="1138" spans="1:8" x14ac:dyDescent="0.25">
      <c r="A1138" t="s">
        <v>303</v>
      </c>
      <c r="B1138">
        <v>137145</v>
      </c>
      <c r="C1138" s="3">
        <v>1967.92</v>
      </c>
      <c r="D1138" s="4">
        <v>44466</v>
      </c>
      <c r="E1138" t="str">
        <f>"202109215859"</f>
        <v>202109215859</v>
      </c>
      <c r="F1138" t="str">
        <f>"INDIGENT HEALTH"</f>
        <v>INDIGENT HEALTH</v>
      </c>
      <c r="G1138" s="3">
        <v>1967.92</v>
      </c>
      <c r="H1138" t="str">
        <f>"INDIGENT HEALTH"</f>
        <v>INDIGENT HEALTH</v>
      </c>
    </row>
    <row r="1139" spans="1:8" x14ac:dyDescent="0.25">
      <c r="A1139" t="s">
        <v>304</v>
      </c>
      <c r="B1139">
        <v>137146</v>
      </c>
      <c r="C1139" s="3">
        <v>79.62</v>
      </c>
      <c r="D1139" s="4">
        <v>44466</v>
      </c>
      <c r="E1139" t="str">
        <f>"202109215860"</f>
        <v>202109215860</v>
      </c>
      <c r="F1139" t="str">
        <f>"INDIGENT HEALTH"</f>
        <v>INDIGENT HEALTH</v>
      </c>
      <c r="G1139" s="3">
        <v>79.62</v>
      </c>
      <c r="H1139" t="str">
        <f>"INDIGENT HEALTH"</f>
        <v>INDIGENT HEALTH</v>
      </c>
    </row>
    <row r="1140" spans="1:8" x14ac:dyDescent="0.25">
      <c r="A1140" t="s">
        <v>305</v>
      </c>
      <c r="B1140">
        <v>136966</v>
      </c>
      <c r="C1140" s="3">
        <v>1359.69</v>
      </c>
      <c r="D1140" s="4">
        <v>44452</v>
      </c>
      <c r="E1140" t="str">
        <f>"8063440917"</f>
        <v>8063440917</v>
      </c>
      <c r="F1140" t="str">
        <f>"Staples Inc."</f>
        <v>Staples Inc.</v>
      </c>
      <c r="G1140" s="3">
        <v>66.16</v>
      </c>
      <c r="H1140" t="str">
        <f>"3486402296"</f>
        <v>3486402296</v>
      </c>
    </row>
    <row r="1141" spans="1:8" x14ac:dyDescent="0.25">
      <c r="E1141" t="str">
        <f>""</f>
        <v/>
      </c>
      <c r="F1141" t="str">
        <f>""</f>
        <v/>
      </c>
      <c r="G1141" s="3">
        <v>108.04</v>
      </c>
      <c r="H1141" t="str">
        <f>"3486402297"</f>
        <v>3486402297</v>
      </c>
    </row>
    <row r="1142" spans="1:8" x14ac:dyDescent="0.25">
      <c r="E1142" t="str">
        <f>""</f>
        <v/>
      </c>
      <c r="F1142" t="str">
        <f>""</f>
        <v/>
      </c>
      <c r="G1142" s="3">
        <v>745.91</v>
      </c>
      <c r="H1142" t="str">
        <f>"3486402298"</f>
        <v>3486402298</v>
      </c>
    </row>
    <row r="1143" spans="1:8" x14ac:dyDescent="0.25">
      <c r="E1143" t="str">
        <f>""</f>
        <v/>
      </c>
      <c r="F1143" t="str">
        <f>""</f>
        <v/>
      </c>
      <c r="G1143" s="3">
        <v>50.12</v>
      </c>
      <c r="H1143" t="str">
        <f>"3486402299"</f>
        <v>3486402299</v>
      </c>
    </row>
    <row r="1144" spans="1:8" x14ac:dyDescent="0.25">
      <c r="E1144" t="str">
        <f>""</f>
        <v/>
      </c>
      <c r="F1144" t="str">
        <f>""</f>
        <v/>
      </c>
      <c r="G1144" s="3">
        <v>99.99</v>
      </c>
      <c r="H1144" t="str">
        <f>"3486402301"</f>
        <v>3486402301</v>
      </c>
    </row>
    <row r="1145" spans="1:8" x14ac:dyDescent="0.25">
      <c r="E1145" t="str">
        <f>""</f>
        <v/>
      </c>
      <c r="F1145" t="str">
        <f>""</f>
        <v/>
      </c>
      <c r="G1145" s="3">
        <v>23.98</v>
      </c>
      <c r="H1145" t="str">
        <f>"3486402302"</f>
        <v>3486402302</v>
      </c>
    </row>
    <row r="1146" spans="1:8" x14ac:dyDescent="0.25">
      <c r="E1146" t="str">
        <f>""</f>
        <v/>
      </c>
      <c r="F1146" t="str">
        <f>""</f>
        <v/>
      </c>
      <c r="G1146" s="3">
        <v>43.35</v>
      </c>
      <c r="H1146" t="str">
        <f>"3486402303"</f>
        <v>3486402303</v>
      </c>
    </row>
    <row r="1147" spans="1:8" x14ac:dyDescent="0.25">
      <c r="E1147" t="str">
        <f>""</f>
        <v/>
      </c>
      <c r="F1147" t="str">
        <f>""</f>
        <v/>
      </c>
      <c r="G1147" s="3">
        <v>7.86</v>
      </c>
      <c r="H1147" t="str">
        <f>"3486402304"</f>
        <v>3486402304</v>
      </c>
    </row>
    <row r="1148" spans="1:8" x14ac:dyDescent="0.25">
      <c r="E1148" t="str">
        <f>""</f>
        <v/>
      </c>
      <c r="F1148" t="str">
        <f>""</f>
        <v/>
      </c>
      <c r="G1148" s="3">
        <v>119.08</v>
      </c>
      <c r="H1148" t="str">
        <f>"3486402300"</f>
        <v>3486402300</v>
      </c>
    </row>
    <row r="1149" spans="1:8" x14ac:dyDescent="0.25">
      <c r="E1149" t="str">
        <f>""</f>
        <v/>
      </c>
      <c r="F1149" t="str">
        <f>""</f>
        <v/>
      </c>
      <c r="G1149" s="3">
        <v>95.2</v>
      </c>
      <c r="H1149" t="str">
        <f>"3486402295"</f>
        <v>3486402295</v>
      </c>
    </row>
    <row r="1150" spans="1:8" x14ac:dyDescent="0.25">
      <c r="A1150" t="s">
        <v>305</v>
      </c>
      <c r="B1150">
        <v>137147</v>
      </c>
      <c r="C1150" s="3">
        <v>1916.48</v>
      </c>
      <c r="D1150" s="4">
        <v>44466</v>
      </c>
      <c r="E1150" t="str">
        <f>"8063578096"</f>
        <v>8063578096</v>
      </c>
      <c r="F1150" t="str">
        <f>"Statement"</f>
        <v>Statement</v>
      </c>
      <c r="G1150" s="3">
        <v>270.95</v>
      </c>
      <c r="H1150" t="str">
        <f>"3487330981"</f>
        <v>3487330981</v>
      </c>
    </row>
    <row r="1151" spans="1:8" x14ac:dyDescent="0.25">
      <c r="E1151" t="str">
        <f>""</f>
        <v/>
      </c>
      <c r="F1151" t="str">
        <f>""</f>
        <v/>
      </c>
      <c r="G1151" s="3">
        <v>144.09</v>
      </c>
      <c r="H1151" t="str">
        <f>"3487330976"</f>
        <v>3487330976</v>
      </c>
    </row>
    <row r="1152" spans="1:8" x14ac:dyDescent="0.25">
      <c r="E1152" t="str">
        <f>""</f>
        <v/>
      </c>
      <c r="F1152" t="str">
        <f>""</f>
        <v/>
      </c>
      <c r="G1152" s="3">
        <v>1.1399999999999999</v>
      </c>
      <c r="H1152" t="str">
        <f>"3487330977"</f>
        <v>3487330977</v>
      </c>
    </row>
    <row r="1153" spans="1:8" x14ac:dyDescent="0.25">
      <c r="E1153" t="str">
        <f>""</f>
        <v/>
      </c>
      <c r="F1153" t="str">
        <f>""</f>
        <v/>
      </c>
      <c r="G1153" s="3">
        <v>485.97</v>
      </c>
      <c r="H1153" t="str">
        <f>"3487330975"</f>
        <v>3487330975</v>
      </c>
    </row>
    <row r="1154" spans="1:8" x14ac:dyDescent="0.25">
      <c r="E1154" t="str">
        <f>""</f>
        <v/>
      </c>
      <c r="F1154" t="str">
        <f>""</f>
        <v/>
      </c>
      <c r="G1154" s="3">
        <v>70.489999999999995</v>
      </c>
      <c r="H1154" t="str">
        <f>"3487330979"</f>
        <v>3487330979</v>
      </c>
    </row>
    <row r="1155" spans="1:8" x14ac:dyDescent="0.25">
      <c r="E1155" t="str">
        <f>""</f>
        <v/>
      </c>
      <c r="F1155" t="str">
        <f>""</f>
        <v/>
      </c>
      <c r="G1155" s="3">
        <v>211.77</v>
      </c>
      <c r="H1155" t="str">
        <f>"3487330980"</f>
        <v>3487330980</v>
      </c>
    </row>
    <row r="1156" spans="1:8" x14ac:dyDescent="0.25">
      <c r="E1156" t="str">
        <f>""</f>
        <v/>
      </c>
      <c r="F1156" t="str">
        <f>""</f>
        <v/>
      </c>
      <c r="G1156" s="3">
        <v>165.09</v>
      </c>
      <c r="H1156" t="str">
        <f>"3487330982"</f>
        <v>3487330982</v>
      </c>
    </row>
    <row r="1157" spans="1:8" x14ac:dyDescent="0.25">
      <c r="E1157" t="str">
        <f>""</f>
        <v/>
      </c>
      <c r="F1157" t="str">
        <f>""</f>
        <v/>
      </c>
      <c r="G1157" s="3">
        <v>-36.9</v>
      </c>
      <c r="H1157" t="str">
        <f>"3487330978"</f>
        <v>3487330978</v>
      </c>
    </row>
    <row r="1158" spans="1:8" x14ac:dyDescent="0.25">
      <c r="E1158" t="str">
        <f>""</f>
        <v/>
      </c>
      <c r="F1158" t="str">
        <f>""</f>
        <v/>
      </c>
      <c r="G1158" s="3">
        <v>59.9</v>
      </c>
      <c r="H1158" t="str">
        <f>"3487330967"</f>
        <v>3487330967</v>
      </c>
    </row>
    <row r="1159" spans="1:8" x14ac:dyDescent="0.25">
      <c r="E1159" t="str">
        <f>""</f>
        <v/>
      </c>
      <c r="F1159" t="str">
        <f>""</f>
        <v/>
      </c>
      <c r="G1159" s="3">
        <v>254.35</v>
      </c>
      <c r="H1159" t="str">
        <f>"3487330968"</f>
        <v>3487330968</v>
      </c>
    </row>
    <row r="1160" spans="1:8" x14ac:dyDescent="0.25">
      <c r="E1160" t="str">
        <f>""</f>
        <v/>
      </c>
      <c r="F1160" t="str">
        <f>""</f>
        <v/>
      </c>
      <c r="G1160" s="3">
        <v>13.34</v>
      </c>
      <c r="H1160" t="str">
        <f>"3487330969"</f>
        <v>3487330969</v>
      </c>
    </row>
    <row r="1161" spans="1:8" x14ac:dyDescent="0.25">
      <c r="E1161" t="str">
        <f>""</f>
        <v/>
      </c>
      <c r="F1161" t="str">
        <f>""</f>
        <v/>
      </c>
      <c r="G1161" s="3">
        <v>188.71</v>
      </c>
      <c r="H1161" t="str">
        <f>"3487330970"</f>
        <v>3487330970</v>
      </c>
    </row>
    <row r="1162" spans="1:8" x14ac:dyDescent="0.25">
      <c r="E1162" t="str">
        <f>""</f>
        <v/>
      </c>
      <c r="F1162" t="str">
        <f>""</f>
        <v/>
      </c>
      <c r="G1162" s="3">
        <v>16.36</v>
      </c>
      <c r="H1162" t="str">
        <f>"3487330971"</f>
        <v>3487330971</v>
      </c>
    </row>
    <row r="1163" spans="1:8" x14ac:dyDescent="0.25">
      <c r="E1163" t="str">
        <f>""</f>
        <v/>
      </c>
      <c r="F1163" t="str">
        <f>""</f>
        <v/>
      </c>
      <c r="G1163" s="3">
        <v>41.87</v>
      </c>
      <c r="H1163" t="str">
        <f>"3487330973"</f>
        <v>3487330973</v>
      </c>
    </row>
    <row r="1164" spans="1:8" x14ac:dyDescent="0.25">
      <c r="E1164" t="str">
        <f>""</f>
        <v/>
      </c>
      <c r="F1164" t="str">
        <f>""</f>
        <v/>
      </c>
      <c r="G1164" s="3">
        <v>12.99</v>
      </c>
      <c r="H1164" t="str">
        <f>"3487330974"</f>
        <v>3487330974</v>
      </c>
    </row>
    <row r="1165" spans="1:8" x14ac:dyDescent="0.25">
      <c r="E1165" t="str">
        <f>""</f>
        <v/>
      </c>
      <c r="F1165" t="str">
        <f>""</f>
        <v/>
      </c>
      <c r="G1165" s="3">
        <v>16.36</v>
      </c>
      <c r="H1165" t="str">
        <f>"3487330972"</f>
        <v>3487330972</v>
      </c>
    </row>
    <row r="1166" spans="1:8" x14ac:dyDescent="0.25">
      <c r="A1166" t="s">
        <v>306</v>
      </c>
      <c r="B1166">
        <v>137148</v>
      </c>
      <c r="C1166" s="3">
        <v>686.75</v>
      </c>
      <c r="D1166" s="4">
        <v>44466</v>
      </c>
      <c r="E1166" t="str">
        <f>"202109215837"</f>
        <v>202109215837</v>
      </c>
      <c r="F1166" t="str">
        <f>"AUGUST 2021"</f>
        <v>AUGUST 2021</v>
      </c>
      <c r="G1166" s="3">
        <v>686.75</v>
      </c>
      <c r="H1166" t="str">
        <f>"AUGUST 2021"</f>
        <v>AUGUST 2021</v>
      </c>
    </row>
    <row r="1167" spans="1:8" x14ac:dyDescent="0.25">
      <c r="A1167" t="s">
        <v>307</v>
      </c>
      <c r="B1167">
        <v>136967</v>
      </c>
      <c r="C1167" s="3">
        <v>750</v>
      </c>
      <c r="D1167" s="4">
        <v>44452</v>
      </c>
      <c r="E1167" t="str">
        <f>"1010176"</f>
        <v>1010176</v>
      </c>
      <c r="F1167" t="str">
        <f>"STONY POINT WWS GRANT"</f>
        <v>STONY POINT WWS GRANT</v>
      </c>
      <c r="G1167" s="3">
        <v>750</v>
      </c>
      <c r="H1167" t="str">
        <f>"STONY POINT WWS GRANT"</f>
        <v>STONY POINT WWS GRANT</v>
      </c>
    </row>
    <row r="1168" spans="1:8" x14ac:dyDescent="0.25">
      <c r="A1168" t="s">
        <v>307</v>
      </c>
      <c r="B1168">
        <v>137149</v>
      </c>
      <c r="C1168" s="3">
        <v>750</v>
      </c>
      <c r="D1168" s="4">
        <v>44466</v>
      </c>
      <c r="E1168" t="str">
        <f>"1011206"</f>
        <v>1011206</v>
      </c>
      <c r="F1168" t="str">
        <f>"STONY POINT -WWS PHASE 7"</f>
        <v>STONY POINT -WWS PHASE 7</v>
      </c>
      <c r="G1168" s="3">
        <v>750</v>
      </c>
      <c r="H1168" t="str">
        <f>"STONY POINT -WWS PHASE 7"</f>
        <v>STONY POINT -WWS PHASE 7</v>
      </c>
    </row>
    <row r="1169" spans="1:8" x14ac:dyDescent="0.25">
      <c r="A1169" t="s">
        <v>308</v>
      </c>
      <c r="B1169">
        <v>136968</v>
      </c>
      <c r="C1169" s="3">
        <v>874.93</v>
      </c>
      <c r="D1169" s="4">
        <v>44452</v>
      </c>
      <c r="E1169" t="str">
        <f>"4010354623"</f>
        <v>4010354623</v>
      </c>
      <c r="F1169" t="str">
        <f>"INV 4010354623"</f>
        <v>INV 4010354623</v>
      </c>
      <c r="G1169" s="3">
        <v>874.93</v>
      </c>
      <c r="H1169" t="str">
        <f>"INV 4010354623"</f>
        <v>INV 4010354623</v>
      </c>
    </row>
    <row r="1170" spans="1:8" x14ac:dyDescent="0.25">
      <c r="A1170" t="s">
        <v>309</v>
      </c>
      <c r="B1170">
        <v>5120</v>
      </c>
      <c r="C1170" s="3">
        <v>27300</v>
      </c>
      <c r="D1170" s="4">
        <v>44467</v>
      </c>
      <c r="E1170" t="str">
        <f>"1283"</f>
        <v>1283</v>
      </c>
      <c r="F1170" t="str">
        <f>"MOWING/MATTHEW LEE SULLINS"</f>
        <v>MOWING/MATTHEW LEE SULLINS</v>
      </c>
      <c r="G1170" s="3">
        <v>20800</v>
      </c>
      <c r="H1170" t="str">
        <f>"MOWING/MATTHEW LEE SULLINS"</f>
        <v>MOWING/MATTHEW LEE SULLINS</v>
      </c>
    </row>
    <row r="1171" spans="1:8" x14ac:dyDescent="0.25">
      <c r="E1171" t="str">
        <f>"1305"</f>
        <v>1305</v>
      </c>
      <c r="F1171" t="str">
        <f>"MOWING/PCT#2"</f>
        <v>MOWING/PCT#2</v>
      </c>
      <c r="G1171" s="3">
        <v>6500</v>
      </c>
      <c r="H1171" t="str">
        <f>"MOWING/PCT#2"</f>
        <v>MOWING/PCT#2</v>
      </c>
    </row>
    <row r="1172" spans="1:8" x14ac:dyDescent="0.25">
      <c r="A1172" t="s">
        <v>310</v>
      </c>
      <c r="B1172">
        <v>5035</v>
      </c>
      <c r="C1172" s="3">
        <v>3209.02</v>
      </c>
      <c r="D1172" s="4">
        <v>44453</v>
      </c>
      <c r="E1172" t="str">
        <f>"96174256"</f>
        <v>96174256</v>
      </c>
      <c r="F1172" t="str">
        <f>"ACCT#10187718/PCT#2"</f>
        <v>ACCT#10187718/PCT#2</v>
      </c>
      <c r="G1172" s="3">
        <v>3209.02</v>
      </c>
      <c r="H1172" t="str">
        <f>"ACCT#10187718/PCT#2"</f>
        <v>ACCT#10187718/PCT#2</v>
      </c>
    </row>
    <row r="1173" spans="1:8" x14ac:dyDescent="0.25">
      <c r="A1173" t="s">
        <v>310</v>
      </c>
      <c r="B1173">
        <v>5131</v>
      </c>
      <c r="C1173" s="3">
        <v>3369.8</v>
      </c>
      <c r="D1173" s="4">
        <v>44467</v>
      </c>
      <c r="E1173" t="str">
        <f>"96193706"</f>
        <v>96193706</v>
      </c>
      <c r="F1173" t="str">
        <f>"ACCT#10187718/PCT#2"</f>
        <v>ACCT#10187718/PCT#2</v>
      </c>
      <c r="G1173" s="3">
        <v>3369.8</v>
      </c>
      <c r="H1173" t="str">
        <f>"ACCT#10187718/PCT#2"</f>
        <v>ACCT#10187718/PCT#2</v>
      </c>
    </row>
    <row r="1174" spans="1:8" x14ac:dyDescent="0.25">
      <c r="A1174" t="s">
        <v>311</v>
      </c>
      <c r="B1174">
        <v>137150</v>
      </c>
      <c r="C1174" s="3">
        <v>170</v>
      </c>
      <c r="D1174" s="4">
        <v>44466</v>
      </c>
      <c r="E1174" t="str">
        <f>"CC2442"</f>
        <v>CC2442</v>
      </c>
      <c r="F1174" t="str">
        <f>"CERAMIC/PCT#2"</f>
        <v>CERAMIC/PCT#2</v>
      </c>
      <c r="G1174" s="3">
        <v>170</v>
      </c>
      <c r="H1174" t="str">
        <f>"CERAMIC/PCT#2"</f>
        <v>CERAMIC/PCT#2</v>
      </c>
    </row>
    <row r="1175" spans="1:8" x14ac:dyDescent="0.25">
      <c r="A1175" t="s">
        <v>312</v>
      </c>
      <c r="B1175">
        <v>136969</v>
      </c>
      <c r="C1175" s="3">
        <v>1226.4000000000001</v>
      </c>
      <c r="D1175" s="4">
        <v>44452</v>
      </c>
      <c r="E1175" t="str">
        <f>"35427"</f>
        <v>35427</v>
      </c>
      <c r="F1175" t="str">
        <f>"COLD MIX/PCT#1"</f>
        <v>COLD MIX/PCT#1</v>
      </c>
      <c r="G1175" s="3">
        <v>1226.4000000000001</v>
      </c>
      <c r="H1175" t="str">
        <f>"COLD MIX/PCT#1"</f>
        <v>COLD MIX/PCT#1</v>
      </c>
    </row>
    <row r="1176" spans="1:8" x14ac:dyDescent="0.25">
      <c r="A1176" t="s">
        <v>313</v>
      </c>
      <c r="B1176">
        <v>5037</v>
      </c>
      <c r="C1176" s="3">
        <v>3130</v>
      </c>
      <c r="D1176" s="4">
        <v>44453</v>
      </c>
      <c r="E1176" t="str">
        <f>"8058"</f>
        <v>8058</v>
      </c>
      <c r="F1176" t="str">
        <f>"CITRUS CLEAN SUPPLIES/PCT#4"</f>
        <v>CITRUS CLEAN SUPPLIES/PCT#4</v>
      </c>
      <c r="G1176" s="3">
        <v>3130</v>
      </c>
      <c r="H1176" t="str">
        <f>"CITRUS CLEAN SUPPLIES/PCT#4"</f>
        <v>CITRUS CLEAN SUPPLIES/PCT#4</v>
      </c>
    </row>
    <row r="1177" spans="1:8" x14ac:dyDescent="0.25">
      <c r="A1177" t="s">
        <v>314</v>
      </c>
      <c r="B1177">
        <v>137151</v>
      </c>
      <c r="C1177" s="3">
        <v>930</v>
      </c>
      <c r="D1177" s="4">
        <v>44466</v>
      </c>
      <c r="E1177" t="str">
        <f>"200004136"</f>
        <v>200004136</v>
      </c>
      <c r="F1177" t="str">
        <f>"CONFERENCE FEES/ADENA/FRAN"</f>
        <v>CONFERENCE FEES/ADENA/FRAN</v>
      </c>
      <c r="G1177" s="3">
        <v>930</v>
      </c>
      <c r="H1177" t="str">
        <f>"CONFERENCE FEES/ADENA/FRAN"</f>
        <v>CONFERENCE FEES/ADENA/FRAN</v>
      </c>
    </row>
    <row r="1178" spans="1:8" x14ac:dyDescent="0.25">
      <c r="A1178" t="s">
        <v>315</v>
      </c>
      <c r="B1178">
        <v>136970</v>
      </c>
      <c r="C1178" s="3">
        <v>175</v>
      </c>
      <c r="D1178" s="4">
        <v>44452</v>
      </c>
      <c r="E1178" t="str">
        <f>"300003611"</f>
        <v>300003611</v>
      </c>
      <c r="F1178" t="str">
        <f>"MEMBERSHIP/KEVIN UNGER"</f>
        <v>MEMBERSHIP/KEVIN UNGER</v>
      </c>
      <c r="G1178" s="3">
        <v>175</v>
      </c>
      <c r="H1178" t="str">
        <f>"MEMBERSHIP/KEVIN UNGER"</f>
        <v>MEMBERSHIP/KEVIN UNGER</v>
      </c>
    </row>
    <row r="1179" spans="1:8" x14ac:dyDescent="0.25">
      <c r="A1179" t="s">
        <v>316</v>
      </c>
      <c r="B1179">
        <v>137152</v>
      </c>
      <c r="C1179" s="3">
        <v>350</v>
      </c>
      <c r="D1179" s="4">
        <v>44466</v>
      </c>
      <c r="E1179" t="str">
        <f>"202109225904"</f>
        <v>202109225904</v>
      </c>
      <c r="F1179" t="str">
        <f>"TRAINING"</f>
        <v>TRAINING</v>
      </c>
      <c r="G1179" s="3">
        <v>350</v>
      </c>
      <c r="H1179" t="str">
        <f>"TRAINING"</f>
        <v>TRAINING</v>
      </c>
    </row>
    <row r="1180" spans="1:8" x14ac:dyDescent="0.25">
      <c r="A1180" t="s">
        <v>317</v>
      </c>
      <c r="B1180">
        <v>5023</v>
      </c>
      <c r="C1180" s="3">
        <v>98.61</v>
      </c>
      <c r="D1180" s="4">
        <v>44453</v>
      </c>
      <c r="E1180" t="str">
        <f>"21090202"</f>
        <v>21090202</v>
      </c>
      <c r="F1180" t="str">
        <f>"SVC CONTRACT 08/02 - 09/01"</f>
        <v>SVC CONTRACT 08/02 - 09/01</v>
      </c>
      <c r="G1180" s="3">
        <v>98.61</v>
      </c>
      <c r="H1180" t="str">
        <f>"SVC CONTRACT 08/02 - 09/01"</f>
        <v>SVC CONTRACT 08/02 - 09/01</v>
      </c>
    </row>
    <row r="1181" spans="1:8" x14ac:dyDescent="0.25">
      <c r="A1181" t="s">
        <v>318</v>
      </c>
      <c r="B1181">
        <v>136971</v>
      </c>
      <c r="C1181" s="3">
        <v>400</v>
      </c>
      <c r="D1181" s="4">
        <v>44452</v>
      </c>
      <c r="E1181" t="str">
        <f>"192531"</f>
        <v>192531</v>
      </c>
      <c r="F1181" t="str">
        <f>"TRAINING/LINDSEY SIMMONS"</f>
        <v>TRAINING/LINDSEY SIMMONS</v>
      </c>
      <c r="G1181" s="3">
        <v>100</v>
      </c>
      <c r="H1181" t="str">
        <f>"TRAINING/LINDSEY SIMMONS"</f>
        <v>TRAINING/LINDSEY SIMMONS</v>
      </c>
    </row>
    <row r="1182" spans="1:8" x14ac:dyDescent="0.25">
      <c r="E1182" t="str">
        <f>"192533"</f>
        <v>192533</v>
      </c>
      <c r="F1182" t="str">
        <f>"MARIO GINTELLA/ MARK DAUBE"</f>
        <v>MARIO GINTELLA/ MARK DAUBE</v>
      </c>
      <c r="G1182" s="3">
        <v>200</v>
      </c>
      <c r="H1182" t="str">
        <f>"MARIO GINTELLA/ MARK DAUBE"</f>
        <v>MARIO GINTELLA/ MARK DAUBE</v>
      </c>
    </row>
    <row r="1183" spans="1:8" x14ac:dyDescent="0.25">
      <c r="E1183" t="str">
        <f>"192535"</f>
        <v>192535</v>
      </c>
      <c r="F1183" t="str">
        <f>"TRAINING/ KELLI BRIZENDINE"</f>
        <v>TRAINING/ KELLI BRIZENDINE</v>
      </c>
      <c r="G1183" s="3">
        <v>100</v>
      </c>
      <c r="H1183" t="str">
        <f>"TRAINING/ KELLI BRIZENDINE"</f>
        <v>TRAINING/ KELLI BRIZENDINE</v>
      </c>
    </row>
    <row r="1184" spans="1:8" x14ac:dyDescent="0.25">
      <c r="A1184" t="s">
        <v>319</v>
      </c>
      <c r="B1184">
        <v>137153</v>
      </c>
      <c r="C1184" s="3">
        <v>1972.8</v>
      </c>
      <c r="D1184" s="4">
        <v>44466</v>
      </c>
      <c r="E1184" t="str">
        <f>"202109215872"</f>
        <v>202109215872</v>
      </c>
      <c r="F1184" t="str">
        <f>"Teamviewer"</f>
        <v>Teamviewer</v>
      </c>
      <c r="G1184" s="3">
        <v>1972.8</v>
      </c>
      <c r="H1184" t="str">
        <f>"Teamviewer"</f>
        <v>Teamviewer</v>
      </c>
    </row>
    <row r="1185" spans="1:8" x14ac:dyDescent="0.25">
      <c r="A1185" t="s">
        <v>320</v>
      </c>
      <c r="B1185">
        <v>5071</v>
      </c>
      <c r="C1185" s="3">
        <v>665</v>
      </c>
      <c r="D1185" s="4">
        <v>44453</v>
      </c>
      <c r="E1185" t="str">
        <f>"OP2108035"</f>
        <v>OP2108035</v>
      </c>
      <c r="F1185" t="str">
        <f>"STATE INSPECTION/2021"</f>
        <v>STATE INSPECTION/2021</v>
      </c>
      <c r="G1185" s="3">
        <v>665</v>
      </c>
      <c r="H1185" t="str">
        <f>"STATE INSPECTION/2021"</f>
        <v>STATE INSPECTION/2021</v>
      </c>
    </row>
    <row r="1186" spans="1:8" x14ac:dyDescent="0.25">
      <c r="A1186" t="s">
        <v>320</v>
      </c>
      <c r="B1186">
        <v>5162</v>
      </c>
      <c r="C1186" s="3">
        <v>221</v>
      </c>
      <c r="D1186" s="4">
        <v>44467</v>
      </c>
      <c r="E1186" t="str">
        <f>"2110066"</f>
        <v>2110066</v>
      </c>
      <c r="F1186" t="str">
        <f>"MONTHY BILLING"</f>
        <v>MONTHY BILLING</v>
      </c>
      <c r="G1186" s="3">
        <v>221</v>
      </c>
      <c r="H1186" t="str">
        <f>"MONTHY BILLING"</f>
        <v>MONTHY BILLING</v>
      </c>
    </row>
    <row r="1187" spans="1:8" x14ac:dyDescent="0.25">
      <c r="A1187" t="s">
        <v>321</v>
      </c>
      <c r="B1187">
        <v>5063</v>
      </c>
      <c r="C1187" s="3">
        <v>139.19999999999999</v>
      </c>
      <c r="D1187" s="4">
        <v>44453</v>
      </c>
      <c r="E1187" t="str">
        <f>"898558"</f>
        <v>898558</v>
      </c>
      <c r="F1187" t="str">
        <f>"ACCT#63275/CUST ID:BASCO1/P3"</f>
        <v>ACCT#63275/CUST ID:BASCO1/P3</v>
      </c>
      <c r="G1187" s="3">
        <v>139.19999999999999</v>
      </c>
      <c r="H1187" t="str">
        <f>"ACCT#63275/CUST ID:BASCO1/P3"</f>
        <v>ACCT#63275/CUST ID:BASCO1/P3</v>
      </c>
    </row>
    <row r="1188" spans="1:8" x14ac:dyDescent="0.25">
      <c r="A1188" t="s">
        <v>322</v>
      </c>
      <c r="B1188">
        <v>136972</v>
      </c>
      <c r="C1188" s="3">
        <v>15016.05</v>
      </c>
      <c r="D1188" s="4">
        <v>44452</v>
      </c>
      <c r="E1188" t="str">
        <f>"1119396"</f>
        <v>1119396</v>
      </c>
      <c r="F1188" t="str">
        <f>"ACCT#01-0112917/PCT#1"</f>
        <v>ACCT#01-0112917/PCT#1</v>
      </c>
      <c r="G1188" s="3">
        <v>428.04</v>
      </c>
      <c r="H1188" t="str">
        <f>"ACCT#01-0112917/PCT#1"</f>
        <v>ACCT#01-0112917/PCT#1</v>
      </c>
    </row>
    <row r="1189" spans="1:8" x14ac:dyDescent="0.25">
      <c r="E1189" t="str">
        <f>"1120758"</f>
        <v>1120758</v>
      </c>
      <c r="F1189" t="str">
        <f>"ACCT#01-0112917/PCT#3"</f>
        <v>ACCT#01-0112917/PCT#3</v>
      </c>
      <c r="G1189" s="3">
        <v>4448.8100000000004</v>
      </c>
      <c r="H1189" t="str">
        <f>"ACCT#01-0112917/PCT#3"</f>
        <v>ACCT#01-0112917/PCT#3</v>
      </c>
    </row>
    <row r="1190" spans="1:8" x14ac:dyDescent="0.25">
      <c r="E1190" t="str">
        <f>"1122274-IN"</f>
        <v>1122274-IN</v>
      </c>
      <c r="F1190" t="str">
        <f>"ACCT#01-0112917/PCT#2"</f>
        <v>ACCT#01-0112917/PCT#2</v>
      </c>
      <c r="G1190" s="3">
        <v>282.60000000000002</v>
      </c>
      <c r="H1190" t="str">
        <f>"ACCT#01-0112917/PCT#2"</f>
        <v>ACCT#01-0112917/PCT#2</v>
      </c>
    </row>
    <row r="1191" spans="1:8" x14ac:dyDescent="0.25">
      <c r="E1191" t="str">
        <f>"1123396-IN"</f>
        <v>1123396-IN</v>
      </c>
      <c r="F1191" t="str">
        <f>"ACCT#01-0112917/PCT#1"</f>
        <v>ACCT#01-0112917/PCT#1</v>
      </c>
      <c r="G1191" s="3">
        <v>5690.39</v>
      </c>
      <c r="H1191" t="str">
        <f>"ACCT#01-0112917/PCT#1"</f>
        <v>ACCT#01-0112917/PCT#1</v>
      </c>
    </row>
    <row r="1192" spans="1:8" x14ac:dyDescent="0.25">
      <c r="E1192" t="str">
        <f>"1123812-IN"</f>
        <v>1123812-IN</v>
      </c>
      <c r="F1192" t="str">
        <f>"ACCT#01-0112917/PCT#3"</f>
        <v>ACCT#01-0112917/PCT#3</v>
      </c>
      <c r="G1192" s="3">
        <v>4166.21</v>
      </c>
      <c r="H1192" t="str">
        <f>"ACCT#01-0112917/PCT#3"</f>
        <v>ACCT#01-0112917/PCT#3</v>
      </c>
    </row>
    <row r="1193" spans="1:8" x14ac:dyDescent="0.25">
      <c r="A1193" t="s">
        <v>322</v>
      </c>
      <c r="B1193">
        <v>137154</v>
      </c>
      <c r="C1193" s="3">
        <v>11228.25</v>
      </c>
      <c r="D1193" s="4">
        <v>44466</v>
      </c>
      <c r="E1193" t="str">
        <f>"1127005-IN"</f>
        <v>1127005-IN</v>
      </c>
      <c r="F1193" t="str">
        <f>"ACCT#01-0112917/PCT#3"</f>
        <v>ACCT#01-0112917/PCT#3</v>
      </c>
      <c r="G1193" s="3">
        <v>4724.3100000000004</v>
      </c>
      <c r="H1193" t="str">
        <f>"ACCT#01-0112917/PCT#3"</f>
        <v>ACCT#01-0112917/PCT#3</v>
      </c>
    </row>
    <row r="1194" spans="1:8" x14ac:dyDescent="0.25">
      <c r="E1194" t="str">
        <f>"1129138-IN"</f>
        <v>1129138-IN</v>
      </c>
      <c r="F1194" t="str">
        <f>"ACCT#01-0112917/PCT#3"</f>
        <v>ACCT#01-0112917/PCT#3</v>
      </c>
      <c r="G1194" s="3">
        <v>374.52</v>
      </c>
      <c r="H1194" t="str">
        <f>"ACCT#01-0112917/PCT#3"</f>
        <v>ACCT#01-0112917/PCT#3</v>
      </c>
    </row>
    <row r="1195" spans="1:8" x14ac:dyDescent="0.25">
      <c r="E1195" t="str">
        <f>"1130795-IN"</f>
        <v>1130795-IN</v>
      </c>
      <c r="F1195" t="str">
        <f>"ACCT#01-0112917/PCT#1"</f>
        <v>ACCT#01-0112917/PCT#1</v>
      </c>
      <c r="G1195" s="3">
        <v>6129.42</v>
      </c>
      <c r="H1195" t="str">
        <f>"ACCT#01-0112917/PCT#1"</f>
        <v>ACCT#01-0112917/PCT#1</v>
      </c>
    </row>
    <row r="1196" spans="1:8" x14ac:dyDescent="0.25">
      <c r="A1196" t="s">
        <v>323</v>
      </c>
      <c r="B1196">
        <v>137155</v>
      </c>
      <c r="C1196" s="3">
        <v>1453.9</v>
      </c>
      <c r="D1196" s="4">
        <v>44466</v>
      </c>
      <c r="E1196" t="str">
        <f>"202109215861"</f>
        <v>202109215861</v>
      </c>
      <c r="F1196" t="str">
        <f>"INDIGENT HEALTH"</f>
        <v>INDIGENT HEALTH</v>
      </c>
      <c r="G1196" s="3">
        <v>1453.9</v>
      </c>
      <c r="H1196" t="str">
        <f>"INDIGENT HEALTH"</f>
        <v>INDIGENT HEALTH</v>
      </c>
    </row>
    <row r="1197" spans="1:8" x14ac:dyDescent="0.25">
      <c r="A1197" t="s">
        <v>324</v>
      </c>
      <c r="B1197">
        <v>5067</v>
      </c>
      <c r="C1197" s="3">
        <v>368</v>
      </c>
      <c r="D1197" s="4">
        <v>44453</v>
      </c>
      <c r="E1197" t="str">
        <f>"E106428"</f>
        <v>E106428</v>
      </c>
      <c r="F1197" t="str">
        <f>"CUST#5500000000427"</f>
        <v>CUST#5500000000427</v>
      </c>
      <c r="G1197" s="3">
        <v>248</v>
      </c>
      <c r="H1197" t="str">
        <f>"CUST#5500000000427"</f>
        <v>CUST#5500000000427</v>
      </c>
    </row>
    <row r="1198" spans="1:8" x14ac:dyDescent="0.25">
      <c r="E1198" t="str">
        <f>"E106680"</f>
        <v>E106680</v>
      </c>
      <c r="F1198" t="str">
        <f>"THUNDERBOLT DOCKING STATION/AG"</f>
        <v>THUNDERBOLT DOCKING STATION/AG</v>
      </c>
      <c r="G1198" s="3">
        <v>120</v>
      </c>
      <c r="H1198" t="str">
        <f>"THUNDERBOLT DOCKING STATION/AG"</f>
        <v>THUNDERBOLT DOCKING STATION/AG</v>
      </c>
    </row>
    <row r="1199" spans="1:8" x14ac:dyDescent="0.25">
      <c r="A1199" t="s">
        <v>325</v>
      </c>
      <c r="B1199">
        <v>136973</v>
      </c>
      <c r="C1199" s="3">
        <v>718.5</v>
      </c>
      <c r="D1199" s="4">
        <v>44452</v>
      </c>
      <c r="E1199" t="str">
        <f>"175779"</f>
        <v>175779</v>
      </c>
      <c r="F1199" t="str">
        <f>"2021-2023 BOND PAUL PAPE"</f>
        <v>2021-2023 BOND PAUL PAPE</v>
      </c>
      <c r="G1199" s="3">
        <v>647.5</v>
      </c>
      <c r="H1199" t="str">
        <f>"2021-2023 BOND PAUL PAPE"</f>
        <v>2021-2023 BOND PAUL PAPE</v>
      </c>
    </row>
    <row r="1200" spans="1:8" x14ac:dyDescent="0.25">
      <c r="E1200" t="str">
        <f>"7289"</f>
        <v>7289</v>
      </c>
      <c r="F1200" t="str">
        <f>"INV 7289"</f>
        <v>INV 7289</v>
      </c>
      <c r="G1200" s="3">
        <v>71</v>
      </c>
      <c r="H1200" t="str">
        <f>"INV 7289"</f>
        <v>INV 7289</v>
      </c>
    </row>
    <row r="1201" spans="1:8" x14ac:dyDescent="0.25">
      <c r="A1201" t="s">
        <v>325</v>
      </c>
      <c r="B1201">
        <v>137156</v>
      </c>
      <c r="C1201" s="3">
        <v>450</v>
      </c>
      <c r="D1201" s="4">
        <v>44466</v>
      </c>
      <c r="E1201" t="str">
        <f>"202109215887"</f>
        <v>202109215887</v>
      </c>
      <c r="F1201" t="str">
        <f>"OCTOBER RENEWALS"</f>
        <v>OCTOBER RENEWALS</v>
      </c>
      <c r="G1201" s="3">
        <v>400</v>
      </c>
      <c r="H1201" t="str">
        <f>"OCTOBER RENEWALS"</f>
        <v>OCTOBER RENEWALS</v>
      </c>
    </row>
    <row r="1202" spans="1:8" x14ac:dyDescent="0.25">
      <c r="E1202" t="str">
        <f>"7287"</f>
        <v>7287</v>
      </c>
      <c r="F1202" t="str">
        <f>"ITEM# 177463/MARK WOBUS"</f>
        <v>ITEM# 177463/MARK WOBUS</v>
      </c>
      <c r="G1202" s="3">
        <v>50</v>
      </c>
      <c r="H1202" t="str">
        <f>"ITEM# 177463/MARK WOBUS"</f>
        <v>ITEM# 177463/MARK WOBUS</v>
      </c>
    </row>
    <row r="1203" spans="1:8" x14ac:dyDescent="0.25">
      <c r="A1203" t="s">
        <v>326</v>
      </c>
      <c r="B1203">
        <v>136974</v>
      </c>
      <c r="C1203" s="3">
        <v>160</v>
      </c>
      <c r="D1203" s="4">
        <v>44452</v>
      </c>
      <c r="E1203" t="str">
        <f>"316962"</f>
        <v>316962</v>
      </c>
      <c r="F1203" t="str">
        <f>"ID:255742/JO DAWN BOMAR/INV CO"</f>
        <v>ID:255742/JO DAWN BOMAR/INV CO</v>
      </c>
      <c r="G1203" s="3">
        <v>160</v>
      </c>
      <c r="H1203" t="str">
        <f>"ID:255742/JO DAWN BOMAR/INV CO"</f>
        <v>ID:255742/JO DAWN BOMAR/INV CO</v>
      </c>
    </row>
    <row r="1204" spans="1:8" x14ac:dyDescent="0.25">
      <c r="A1204" t="s">
        <v>327</v>
      </c>
      <c r="B1204">
        <v>137157</v>
      </c>
      <c r="C1204" s="3">
        <v>75</v>
      </c>
      <c r="D1204" s="4">
        <v>44466</v>
      </c>
      <c r="E1204" t="str">
        <f>"02514"</f>
        <v>02514</v>
      </c>
      <c r="F1204" t="str">
        <f>"DEBORAH SHIROCKY/MEMBERSHIP"</f>
        <v>DEBORAH SHIROCKY/MEMBERSHIP</v>
      </c>
      <c r="G1204" s="3">
        <v>75</v>
      </c>
      <c r="H1204" t="str">
        <f>"DEBORAH SHIROCKY/MEMBERSHIP"</f>
        <v>DEBORAH SHIROCKY/MEMBERSHIP</v>
      </c>
    </row>
    <row r="1205" spans="1:8" x14ac:dyDescent="0.25">
      <c r="A1205" t="s">
        <v>326</v>
      </c>
      <c r="B1205">
        <v>137158</v>
      </c>
      <c r="C1205" s="3">
        <v>91525.5</v>
      </c>
      <c r="D1205" s="4">
        <v>44466</v>
      </c>
      <c r="E1205" t="str">
        <f>"202109215842"</f>
        <v>202109215842</v>
      </c>
      <c r="F1205" t="str">
        <f>"WORKERS COMP 4TH QTR 2021"</f>
        <v>WORKERS COMP 4TH QTR 2021</v>
      </c>
      <c r="G1205" s="3">
        <v>107.4</v>
      </c>
      <c r="H1205" t="str">
        <f t="shared" ref="H1205:H1251" si="18">"WORKERS COMP 4TH QTR 2021"</f>
        <v>WORKERS COMP 4TH QTR 2021</v>
      </c>
    </row>
    <row r="1206" spans="1:8" x14ac:dyDescent="0.25">
      <c r="E1206" t="str">
        <f>""</f>
        <v/>
      </c>
      <c r="F1206" t="str">
        <f>""</f>
        <v/>
      </c>
      <c r="G1206" s="3">
        <v>143.19</v>
      </c>
      <c r="H1206" t="str">
        <f t="shared" si="18"/>
        <v>WORKERS COMP 4TH QTR 2021</v>
      </c>
    </row>
    <row r="1207" spans="1:8" x14ac:dyDescent="0.25">
      <c r="E1207" t="str">
        <f>""</f>
        <v/>
      </c>
      <c r="F1207" t="str">
        <f>""</f>
        <v/>
      </c>
      <c r="G1207" s="3">
        <v>357.98</v>
      </c>
      <c r="H1207" t="str">
        <f t="shared" si="18"/>
        <v>WORKERS COMP 4TH QTR 2021</v>
      </c>
    </row>
    <row r="1208" spans="1:8" x14ac:dyDescent="0.25">
      <c r="E1208" t="str">
        <f>""</f>
        <v/>
      </c>
      <c r="F1208" t="str">
        <f>""</f>
        <v/>
      </c>
      <c r="G1208" s="3">
        <v>107.4</v>
      </c>
      <c r="H1208" t="str">
        <f t="shared" si="18"/>
        <v>WORKERS COMP 4TH QTR 2021</v>
      </c>
    </row>
    <row r="1209" spans="1:8" x14ac:dyDescent="0.25">
      <c r="E1209" t="str">
        <f>""</f>
        <v/>
      </c>
      <c r="F1209" t="str">
        <f>""</f>
        <v/>
      </c>
      <c r="G1209" s="3">
        <v>71.599999999999994</v>
      </c>
      <c r="H1209" t="str">
        <f t="shared" si="18"/>
        <v>WORKERS COMP 4TH QTR 2021</v>
      </c>
    </row>
    <row r="1210" spans="1:8" x14ac:dyDescent="0.25">
      <c r="E1210" t="str">
        <f>""</f>
        <v/>
      </c>
      <c r="F1210" t="str">
        <f>""</f>
        <v/>
      </c>
      <c r="G1210" s="3">
        <v>250.59</v>
      </c>
      <c r="H1210" t="str">
        <f t="shared" si="18"/>
        <v>WORKERS COMP 4TH QTR 2021</v>
      </c>
    </row>
    <row r="1211" spans="1:8" x14ac:dyDescent="0.25">
      <c r="E1211" t="str">
        <f>""</f>
        <v/>
      </c>
      <c r="F1211" t="str">
        <f>""</f>
        <v/>
      </c>
      <c r="G1211" s="3">
        <v>859.16</v>
      </c>
      <c r="H1211" t="str">
        <f t="shared" si="18"/>
        <v>WORKERS COMP 4TH QTR 2021</v>
      </c>
    </row>
    <row r="1212" spans="1:8" x14ac:dyDescent="0.25">
      <c r="E1212" t="str">
        <f>""</f>
        <v/>
      </c>
      <c r="F1212" t="str">
        <f>""</f>
        <v/>
      </c>
      <c r="G1212" s="3">
        <v>35.799999999999997</v>
      </c>
      <c r="H1212" t="str">
        <f t="shared" si="18"/>
        <v>WORKERS COMP 4TH QTR 2021</v>
      </c>
    </row>
    <row r="1213" spans="1:8" x14ac:dyDescent="0.25">
      <c r="E1213" t="str">
        <f>""</f>
        <v/>
      </c>
      <c r="F1213" t="str">
        <f>""</f>
        <v/>
      </c>
      <c r="G1213" s="3">
        <v>143.19</v>
      </c>
      <c r="H1213" t="str">
        <f t="shared" si="18"/>
        <v>WORKERS COMP 4TH QTR 2021</v>
      </c>
    </row>
    <row r="1214" spans="1:8" x14ac:dyDescent="0.25">
      <c r="E1214" t="str">
        <f>""</f>
        <v/>
      </c>
      <c r="F1214" t="str">
        <f>""</f>
        <v/>
      </c>
      <c r="G1214" s="3">
        <v>286.39</v>
      </c>
      <c r="H1214" t="str">
        <f t="shared" si="18"/>
        <v>WORKERS COMP 4TH QTR 2021</v>
      </c>
    </row>
    <row r="1215" spans="1:8" x14ac:dyDescent="0.25">
      <c r="E1215" t="str">
        <f>""</f>
        <v/>
      </c>
      <c r="F1215" t="str">
        <f>""</f>
        <v/>
      </c>
      <c r="G1215" s="3">
        <v>572.78</v>
      </c>
      <c r="H1215" t="str">
        <f t="shared" si="18"/>
        <v>WORKERS COMP 4TH QTR 2021</v>
      </c>
    </row>
    <row r="1216" spans="1:8" x14ac:dyDescent="0.25">
      <c r="E1216" t="str">
        <f>""</f>
        <v/>
      </c>
      <c r="F1216" t="str">
        <f>""</f>
        <v/>
      </c>
      <c r="G1216" s="3">
        <v>143.19</v>
      </c>
      <c r="H1216" t="str">
        <f t="shared" si="18"/>
        <v>WORKERS COMP 4TH QTR 2021</v>
      </c>
    </row>
    <row r="1217" spans="5:8" x14ac:dyDescent="0.25">
      <c r="E1217" t="str">
        <f>""</f>
        <v/>
      </c>
      <c r="F1217" t="str">
        <f>""</f>
        <v/>
      </c>
      <c r="G1217" s="3">
        <v>143.19</v>
      </c>
      <c r="H1217" t="str">
        <f t="shared" si="18"/>
        <v>WORKERS COMP 4TH QTR 2021</v>
      </c>
    </row>
    <row r="1218" spans="5:8" x14ac:dyDescent="0.25">
      <c r="E1218" t="str">
        <f>""</f>
        <v/>
      </c>
      <c r="F1218" t="str">
        <f>""</f>
        <v/>
      </c>
      <c r="G1218" s="3">
        <v>143.19</v>
      </c>
      <c r="H1218" t="str">
        <f t="shared" si="18"/>
        <v>WORKERS COMP 4TH QTR 2021</v>
      </c>
    </row>
    <row r="1219" spans="5:8" x14ac:dyDescent="0.25">
      <c r="E1219" t="str">
        <f>""</f>
        <v/>
      </c>
      <c r="F1219" t="str">
        <f>""</f>
        <v/>
      </c>
      <c r="G1219" s="3">
        <v>143.19</v>
      </c>
      <c r="H1219" t="str">
        <f t="shared" si="18"/>
        <v>WORKERS COMP 4TH QTR 2021</v>
      </c>
    </row>
    <row r="1220" spans="5:8" x14ac:dyDescent="0.25">
      <c r="E1220" t="str">
        <f>""</f>
        <v/>
      </c>
      <c r="F1220" t="str">
        <f>""</f>
        <v/>
      </c>
      <c r="G1220" s="3">
        <v>71.599999999999994</v>
      </c>
      <c r="H1220" t="str">
        <f t="shared" si="18"/>
        <v>WORKERS COMP 4TH QTR 2021</v>
      </c>
    </row>
    <row r="1221" spans="5:8" x14ac:dyDescent="0.25">
      <c r="E1221" t="str">
        <f>""</f>
        <v/>
      </c>
      <c r="F1221" t="str">
        <f>""</f>
        <v/>
      </c>
      <c r="G1221" s="3">
        <v>292.04000000000002</v>
      </c>
      <c r="H1221" t="str">
        <f t="shared" si="18"/>
        <v>WORKERS COMP 4TH QTR 2021</v>
      </c>
    </row>
    <row r="1222" spans="5:8" x14ac:dyDescent="0.25">
      <c r="E1222" t="str">
        <f>""</f>
        <v/>
      </c>
      <c r="F1222" t="str">
        <f>""</f>
        <v/>
      </c>
      <c r="G1222" s="3">
        <v>286.39</v>
      </c>
      <c r="H1222" t="str">
        <f t="shared" si="18"/>
        <v>WORKERS COMP 4TH QTR 2021</v>
      </c>
    </row>
    <row r="1223" spans="5:8" x14ac:dyDescent="0.25">
      <c r="E1223" t="str">
        <f>""</f>
        <v/>
      </c>
      <c r="F1223" t="str">
        <f>""</f>
        <v/>
      </c>
      <c r="G1223" s="3">
        <v>143.16999999999999</v>
      </c>
      <c r="H1223" t="str">
        <f t="shared" si="18"/>
        <v>WORKERS COMP 4TH QTR 2021</v>
      </c>
    </row>
    <row r="1224" spans="5:8" x14ac:dyDescent="0.25">
      <c r="E1224" t="str">
        <f>""</f>
        <v/>
      </c>
      <c r="F1224" t="str">
        <f>""</f>
        <v/>
      </c>
      <c r="G1224" s="3">
        <v>143.19</v>
      </c>
      <c r="H1224" t="str">
        <f t="shared" si="18"/>
        <v>WORKERS COMP 4TH QTR 2021</v>
      </c>
    </row>
    <row r="1225" spans="5:8" x14ac:dyDescent="0.25">
      <c r="E1225" t="str">
        <f>""</f>
        <v/>
      </c>
      <c r="F1225" t="str">
        <f>""</f>
        <v/>
      </c>
      <c r="G1225" s="3">
        <v>465.38</v>
      </c>
      <c r="H1225" t="str">
        <f t="shared" si="18"/>
        <v>WORKERS COMP 4TH QTR 2021</v>
      </c>
    </row>
    <row r="1226" spans="5:8" x14ac:dyDescent="0.25">
      <c r="E1226" t="str">
        <f>""</f>
        <v/>
      </c>
      <c r="F1226" t="str">
        <f>""</f>
        <v/>
      </c>
      <c r="G1226" s="3">
        <v>250.59</v>
      </c>
      <c r="H1226" t="str">
        <f t="shared" si="18"/>
        <v>WORKERS COMP 4TH QTR 2021</v>
      </c>
    </row>
    <row r="1227" spans="5:8" x14ac:dyDescent="0.25">
      <c r="E1227" t="str">
        <f>""</f>
        <v/>
      </c>
      <c r="F1227" t="str">
        <f>""</f>
        <v/>
      </c>
      <c r="G1227" s="3">
        <v>564.42999999999995</v>
      </c>
      <c r="H1227" t="str">
        <f t="shared" si="18"/>
        <v>WORKERS COMP 4TH QTR 2021</v>
      </c>
    </row>
    <row r="1228" spans="5:8" x14ac:dyDescent="0.25">
      <c r="E1228" t="str">
        <f>""</f>
        <v/>
      </c>
      <c r="F1228" t="str">
        <f>""</f>
        <v/>
      </c>
      <c r="G1228" s="3">
        <v>4865.2299999999996</v>
      </c>
      <c r="H1228" t="str">
        <f t="shared" si="18"/>
        <v>WORKERS COMP 4TH QTR 2021</v>
      </c>
    </row>
    <row r="1229" spans="5:8" x14ac:dyDescent="0.25">
      <c r="E1229" t="str">
        <f>""</f>
        <v/>
      </c>
      <c r="F1229" t="str">
        <f>""</f>
        <v/>
      </c>
      <c r="G1229" s="3">
        <v>1577.76</v>
      </c>
      <c r="H1229" t="str">
        <f t="shared" si="18"/>
        <v>WORKERS COMP 4TH QTR 2021</v>
      </c>
    </row>
    <row r="1230" spans="5:8" x14ac:dyDescent="0.25">
      <c r="E1230" t="str">
        <f>""</f>
        <v/>
      </c>
      <c r="F1230" t="str">
        <f>""</f>
        <v/>
      </c>
      <c r="G1230" s="3">
        <v>224.12</v>
      </c>
      <c r="H1230" t="str">
        <f t="shared" si="18"/>
        <v>WORKERS COMP 4TH QTR 2021</v>
      </c>
    </row>
    <row r="1231" spans="5:8" x14ac:dyDescent="0.25">
      <c r="E1231" t="str">
        <f>""</f>
        <v/>
      </c>
      <c r="F1231" t="str">
        <f>""</f>
        <v/>
      </c>
      <c r="G1231" s="3">
        <v>224.12</v>
      </c>
      <c r="H1231" t="str">
        <f t="shared" si="18"/>
        <v>WORKERS COMP 4TH QTR 2021</v>
      </c>
    </row>
    <row r="1232" spans="5:8" x14ac:dyDescent="0.25">
      <c r="E1232" t="str">
        <f>""</f>
        <v/>
      </c>
      <c r="F1232" t="str">
        <f>""</f>
        <v/>
      </c>
      <c r="G1232" s="3">
        <v>224.12</v>
      </c>
      <c r="H1232" t="str">
        <f t="shared" si="18"/>
        <v>WORKERS COMP 4TH QTR 2021</v>
      </c>
    </row>
    <row r="1233" spans="5:8" x14ac:dyDescent="0.25">
      <c r="E1233" t="str">
        <f>""</f>
        <v/>
      </c>
      <c r="F1233" t="str">
        <f>""</f>
        <v/>
      </c>
      <c r="G1233" s="3">
        <v>224.12</v>
      </c>
      <c r="H1233" t="str">
        <f t="shared" si="18"/>
        <v>WORKERS COMP 4TH QTR 2021</v>
      </c>
    </row>
    <row r="1234" spans="5:8" x14ac:dyDescent="0.25">
      <c r="E1234" t="str">
        <f>""</f>
        <v/>
      </c>
      <c r="F1234" t="str">
        <f>""</f>
        <v/>
      </c>
      <c r="G1234" s="3">
        <v>20414.87</v>
      </c>
      <c r="H1234" t="str">
        <f t="shared" si="18"/>
        <v>WORKERS COMP 4TH QTR 2021</v>
      </c>
    </row>
    <row r="1235" spans="5:8" x14ac:dyDescent="0.25">
      <c r="E1235" t="str">
        <f>""</f>
        <v/>
      </c>
      <c r="F1235" t="str">
        <f>""</f>
        <v/>
      </c>
      <c r="G1235" s="3">
        <v>1120.58</v>
      </c>
      <c r="H1235" t="str">
        <f t="shared" si="18"/>
        <v>WORKERS COMP 4TH QTR 2021</v>
      </c>
    </row>
    <row r="1236" spans="5:8" x14ac:dyDescent="0.25">
      <c r="E1236" t="str">
        <f>""</f>
        <v/>
      </c>
      <c r="F1236" t="str">
        <f>""</f>
        <v/>
      </c>
      <c r="G1236" s="3">
        <v>24724.44</v>
      </c>
      <c r="H1236" t="str">
        <f t="shared" si="18"/>
        <v>WORKERS COMP 4TH QTR 2021</v>
      </c>
    </row>
    <row r="1237" spans="5:8" x14ac:dyDescent="0.25">
      <c r="E1237" t="str">
        <f>""</f>
        <v/>
      </c>
      <c r="F1237" t="str">
        <f>""</f>
        <v/>
      </c>
      <c r="G1237" s="3">
        <v>8793.66</v>
      </c>
      <c r="H1237" t="str">
        <f t="shared" si="18"/>
        <v>WORKERS COMP 4TH QTR 2021</v>
      </c>
    </row>
    <row r="1238" spans="5:8" x14ac:dyDescent="0.25">
      <c r="E1238" t="str">
        <f>""</f>
        <v/>
      </c>
      <c r="F1238" t="str">
        <f>""</f>
        <v/>
      </c>
      <c r="G1238" s="3">
        <v>71.599999999999994</v>
      </c>
      <c r="H1238" t="str">
        <f t="shared" si="18"/>
        <v>WORKERS COMP 4TH QTR 2021</v>
      </c>
    </row>
    <row r="1239" spans="5:8" x14ac:dyDescent="0.25">
      <c r="E1239" t="str">
        <f>""</f>
        <v/>
      </c>
      <c r="F1239" t="str">
        <f>""</f>
        <v/>
      </c>
      <c r="G1239" s="3">
        <v>107.4</v>
      </c>
      <c r="H1239" t="str">
        <f t="shared" si="18"/>
        <v>WORKERS COMP 4TH QTR 2021</v>
      </c>
    </row>
    <row r="1240" spans="5:8" x14ac:dyDescent="0.25">
      <c r="E1240" t="str">
        <f>""</f>
        <v/>
      </c>
      <c r="F1240" t="str">
        <f>""</f>
        <v/>
      </c>
      <c r="G1240" s="3">
        <v>254.24</v>
      </c>
      <c r="H1240" t="str">
        <f t="shared" si="18"/>
        <v>WORKERS COMP 4TH QTR 2021</v>
      </c>
    </row>
    <row r="1241" spans="5:8" x14ac:dyDescent="0.25">
      <c r="E1241" t="str">
        <f>""</f>
        <v/>
      </c>
      <c r="F1241" t="str">
        <f>""</f>
        <v/>
      </c>
      <c r="G1241" s="3">
        <v>107.4</v>
      </c>
      <c r="H1241" t="str">
        <f t="shared" si="18"/>
        <v>WORKERS COMP 4TH QTR 2021</v>
      </c>
    </row>
    <row r="1242" spans="5:8" x14ac:dyDescent="0.25">
      <c r="E1242" t="str">
        <f>""</f>
        <v/>
      </c>
      <c r="F1242" t="str">
        <f>""</f>
        <v/>
      </c>
      <c r="G1242" s="3">
        <v>127.12</v>
      </c>
      <c r="H1242" t="str">
        <f t="shared" si="18"/>
        <v>WORKERS COMP 4TH QTR 2021</v>
      </c>
    </row>
    <row r="1243" spans="5:8" x14ac:dyDescent="0.25">
      <c r="E1243" t="str">
        <f>""</f>
        <v/>
      </c>
      <c r="F1243" t="str">
        <f>""</f>
        <v/>
      </c>
      <c r="G1243" s="3">
        <v>159.4</v>
      </c>
      <c r="H1243" t="str">
        <f t="shared" si="18"/>
        <v>WORKERS COMP 4TH QTR 2021</v>
      </c>
    </row>
    <row r="1244" spans="5:8" x14ac:dyDescent="0.25">
      <c r="E1244" t="str">
        <f>""</f>
        <v/>
      </c>
      <c r="F1244" t="str">
        <f>""</f>
        <v/>
      </c>
      <c r="G1244" s="3">
        <v>71.599999999999994</v>
      </c>
      <c r="H1244" t="str">
        <f t="shared" si="18"/>
        <v>WORKERS COMP 4TH QTR 2021</v>
      </c>
    </row>
    <row r="1245" spans="5:8" x14ac:dyDescent="0.25">
      <c r="E1245" t="str">
        <f>""</f>
        <v/>
      </c>
      <c r="F1245" t="str">
        <f>""</f>
        <v/>
      </c>
      <c r="G1245" s="3">
        <v>3989.8</v>
      </c>
      <c r="H1245" t="str">
        <f t="shared" si="18"/>
        <v>WORKERS COMP 4TH QTR 2021</v>
      </c>
    </row>
    <row r="1246" spans="5:8" x14ac:dyDescent="0.25">
      <c r="E1246" t="str">
        <f>""</f>
        <v/>
      </c>
      <c r="F1246" t="str">
        <f>""</f>
        <v/>
      </c>
      <c r="G1246" s="3">
        <v>3738.49</v>
      </c>
      <c r="H1246" t="str">
        <f t="shared" si="18"/>
        <v>WORKERS COMP 4TH QTR 2021</v>
      </c>
    </row>
    <row r="1247" spans="5:8" x14ac:dyDescent="0.25">
      <c r="E1247" t="str">
        <f>""</f>
        <v/>
      </c>
      <c r="F1247" t="str">
        <f>""</f>
        <v/>
      </c>
      <c r="G1247" s="3">
        <v>4784.12</v>
      </c>
      <c r="H1247" t="str">
        <f t="shared" si="18"/>
        <v>WORKERS COMP 4TH QTR 2021</v>
      </c>
    </row>
    <row r="1248" spans="5:8" x14ac:dyDescent="0.25">
      <c r="E1248" t="str">
        <f>""</f>
        <v/>
      </c>
      <c r="F1248" t="str">
        <f>""</f>
        <v/>
      </c>
      <c r="G1248" s="3">
        <v>4411.71</v>
      </c>
      <c r="H1248" t="str">
        <f t="shared" si="18"/>
        <v>WORKERS COMP 4TH QTR 2021</v>
      </c>
    </row>
    <row r="1249" spans="1:8" x14ac:dyDescent="0.25">
      <c r="E1249" t="str">
        <f>""</f>
        <v/>
      </c>
      <c r="F1249" t="str">
        <f>""</f>
        <v/>
      </c>
      <c r="G1249" s="3">
        <v>5421.65</v>
      </c>
      <c r="H1249" t="str">
        <f t="shared" si="18"/>
        <v>WORKERS COMP 4TH QTR 2021</v>
      </c>
    </row>
    <row r="1250" spans="1:8" x14ac:dyDescent="0.25">
      <c r="E1250" t="str">
        <f>""</f>
        <v/>
      </c>
      <c r="F1250" t="str">
        <f>""</f>
        <v/>
      </c>
      <c r="G1250" s="3">
        <v>127.12</v>
      </c>
      <c r="H1250" t="str">
        <f t="shared" si="18"/>
        <v>WORKERS COMP 4TH QTR 2021</v>
      </c>
    </row>
    <row r="1251" spans="1:8" x14ac:dyDescent="0.25">
      <c r="E1251" t="str">
        <f>""</f>
        <v/>
      </c>
      <c r="F1251" t="str">
        <f>""</f>
        <v/>
      </c>
      <c r="G1251" s="3">
        <v>35.799999999999997</v>
      </c>
      <c r="H1251" t="str">
        <f t="shared" si="18"/>
        <v>WORKERS COMP 4TH QTR 2021</v>
      </c>
    </row>
    <row r="1252" spans="1:8" x14ac:dyDescent="0.25">
      <c r="A1252" t="s">
        <v>326</v>
      </c>
      <c r="B1252">
        <v>137194</v>
      </c>
      <c r="C1252" s="3">
        <v>5727.14</v>
      </c>
      <c r="D1252" s="4">
        <v>44469</v>
      </c>
      <c r="E1252" t="str">
        <f>"D-2021-4-0110"</f>
        <v>D-2021-4-0110</v>
      </c>
      <c r="F1252" t="str">
        <f>"UNEMPLOYMENT QTR END 09/30/21"</f>
        <v>UNEMPLOYMENT QTR END 09/30/21</v>
      </c>
      <c r="G1252" s="3">
        <v>22.64</v>
      </c>
      <c r="H1252" t="str">
        <f t="shared" ref="H1252:H1290" si="19">"UNEMPLOYMENT QTR END 09/30/21"</f>
        <v>UNEMPLOYMENT QTR END 09/30/21</v>
      </c>
    </row>
    <row r="1253" spans="1:8" x14ac:dyDescent="0.25">
      <c r="E1253" t="str">
        <f>""</f>
        <v/>
      </c>
      <c r="F1253" t="str">
        <f>""</f>
        <v/>
      </c>
      <c r="G1253" s="3">
        <v>89.58</v>
      </c>
      <c r="H1253" t="str">
        <f t="shared" si="19"/>
        <v>UNEMPLOYMENT QTR END 09/30/21</v>
      </c>
    </row>
    <row r="1254" spans="1:8" x14ac:dyDescent="0.25">
      <c r="E1254" t="str">
        <f>""</f>
        <v/>
      </c>
      <c r="F1254" t="str">
        <f>""</f>
        <v/>
      </c>
      <c r="G1254" s="3">
        <v>36.92</v>
      </c>
      <c r="H1254" t="str">
        <f t="shared" si="19"/>
        <v>UNEMPLOYMENT QTR END 09/30/21</v>
      </c>
    </row>
    <row r="1255" spans="1:8" x14ac:dyDescent="0.25">
      <c r="E1255" t="str">
        <f>""</f>
        <v/>
      </c>
      <c r="F1255" t="str">
        <f>""</f>
        <v/>
      </c>
      <c r="G1255" s="3">
        <v>16.2</v>
      </c>
      <c r="H1255" t="str">
        <f t="shared" si="19"/>
        <v>UNEMPLOYMENT QTR END 09/30/21</v>
      </c>
    </row>
    <row r="1256" spans="1:8" x14ac:dyDescent="0.25">
      <c r="E1256" t="str">
        <f>""</f>
        <v/>
      </c>
      <c r="F1256" t="str">
        <f>""</f>
        <v/>
      </c>
      <c r="G1256" s="3">
        <v>74.08</v>
      </c>
      <c r="H1256" t="str">
        <f t="shared" si="19"/>
        <v>UNEMPLOYMENT QTR END 09/30/21</v>
      </c>
    </row>
    <row r="1257" spans="1:8" x14ac:dyDescent="0.25">
      <c r="E1257" t="str">
        <f>""</f>
        <v/>
      </c>
      <c r="F1257" t="str">
        <f>""</f>
        <v/>
      </c>
      <c r="G1257" s="3">
        <v>272.45</v>
      </c>
      <c r="H1257" t="str">
        <f t="shared" si="19"/>
        <v>UNEMPLOYMENT QTR END 09/30/21</v>
      </c>
    </row>
    <row r="1258" spans="1:8" x14ac:dyDescent="0.25">
      <c r="E1258" t="str">
        <f>""</f>
        <v/>
      </c>
      <c r="F1258" t="str">
        <f>""</f>
        <v/>
      </c>
      <c r="G1258" s="3">
        <v>9.7799999999999994</v>
      </c>
      <c r="H1258" t="str">
        <f t="shared" si="19"/>
        <v>UNEMPLOYMENT QTR END 09/30/21</v>
      </c>
    </row>
    <row r="1259" spans="1:8" x14ac:dyDescent="0.25">
      <c r="E1259" t="str">
        <f>""</f>
        <v/>
      </c>
      <c r="F1259" t="str">
        <f>""</f>
        <v/>
      </c>
      <c r="G1259" s="3">
        <v>45.15</v>
      </c>
      <c r="H1259" t="str">
        <f t="shared" si="19"/>
        <v>UNEMPLOYMENT QTR END 09/30/21</v>
      </c>
    </row>
    <row r="1260" spans="1:8" x14ac:dyDescent="0.25">
      <c r="E1260" t="str">
        <f>""</f>
        <v/>
      </c>
      <c r="F1260" t="str">
        <f>""</f>
        <v/>
      </c>
      <c r="G1260" s="3">
        <v>78.81</v>
      </c>
      <c r="H1260" t="str">
        <f t="shared" si="19"/>
        <v>UNEMPLOYMENT QTR END 09/30/21</v>
      </c>
    </row>
    <row r="1261" spans="1:8" x14ac:dyDescent="0.25">
      <c r="E1261" t="str">
        <f>""</f>
        <v/>
      </c>
      <c r="F1261" t="str">
        <f>""</f>
        <v/>
      </c>
      <c r="G1261" s="3">
        <v>131.26</v>
      </c>
      <c r="H1261" t="str">
        <f t="shared" si="19"/>
        <v>UNEMPLOYMENT QTR END 09/30/21</v>
      </c>
    </row>
    <row r="1262" spans="1:8" x14ac:dyDescent="0.25">
      <c r="E1262" t="str">
        <f>""</f>
        <v/>
      </c>
      <c r="F1262" t="str">
        <f>""</f>
        <v/>
      </c>
      <c r="G1262" s="3">
        <v>28.33</v>
      </c>
      <c r="H1262" t="str">
        <f t="shared" si="19"/>
        <v>UNEMPLOYMENT QTR END 09/30/21</v>
      </c>
    </row>
    <row r="1263" spans="1:8" x14ac:dyDescent="0.25">
      <c r="E1263" t="str">
        <f>""</f>
        <v/>
      </c>
      <c r="F1263" t="str">
        <f>""</f>
        <v/>
      </c>
      <c r="G1263" s="3">
        <v>20.96</v>
      </c>
      <c r="H1263" t="str">
        <f t="shared" si="19"/>
        <v>UNEMPLOYMENT QTR END 09/30/21</v>
      </c>
    </row>
    <row r="1264" spans="1:8" x14ac:dyDescent="0.25">
      <c r="E1264" t="str">
        <f>""</f>
        <v/>
      </c>
      <c r="F1264" t="str">
        <f>""</f>
        <v/>
      </c>
      <c r="G1264" s="3">
        <v>22.82</v>
      </c>
      <c r="H1264" t="str">
        <f t="shared" si="19"/>
        <v>UNEMPLOYMENT QTR END 09/30/21</v>
      </c>
    </row>
    <row r="1265" spans="5:8" x14ac:dyDescent="0.25">
      <c r="E1265" t="str">
        <f>""</f>
        <v/>
      </c>
      <c r="F1265" t="str">
        <f>""</f>
        <v/>
      </c>
      <c r="G1265" s="3">
        <v>25.29</v>
      </c>
      <c r="H1265" t="str">
        <f t="shared" si="19"/>
        <v>UNEMPLOYMENT QTR END 09/30/21</v>
      </c>
    </row>
    <row r="1266" spans="5:8" x14ac:dyDescent="0.25">
      <c r="E1266" t="str">
        <f>""</f>
        <v/>
      </c>
      <c r="F1266" t="str">
        <f>""</f>
        <v/>
      </c>
      <c r="G1266" s="3">
        <v>21.15</v>
      </c>
      <c r="H1266" t="str">
        <f t="shared" si="19"/>
        <v>UNEMPLOYMENT QTR END 09/30/21</v>
      </c>
    </row>
    <row r="1267" spans="5:8" x14ac:dyDescent="0.25">
      <c r="E1267" t="str">
        <f>""</f>
        <v/>
      </c>
      <c r="F1267" t="str">
        <f>""</f>
        <v/>
      </c>
      <c r="G1267" s="3">
        <v>261.52</v>
      </c>
      <c r="H1267" t="str">
        <f t="shared" si="19"/>
        <v>UNEMPLOYMENT QTR END 09/30/21</v>
      </c>
    </row>
    <row r="1268" spans="5:8" x14ac:dyDescent="0.25">
      <c r="E1268" t="str">
        <f>""</f>
        <v/>
      </c>
      <c r="F1268" t="str">
        <f>""</f>
        <v/>
      </c>
      <c r="G1268" s="3">
        <v>95.13</v>
      </c>
      <c r="H1268" t="str">
        <f t="shared" si="19"/>
        <v>UNEMPLOYMENT QTR END 09/30/21</v>
      </c>
    </row>
    <row r="1269" spans="5:8" x14ac:dyDescent="0.25">
      <c r="E1269" t="str">
        <f>""</f>
        <v/>
      </c>
      <c r="F1269" t="str">
        <f>""</f>
        <v/>
      </c>
      <c r="G1269" s="3">
        <v>32.880000000000003</v>
      </c>
      <c r="H1269" t="str">
        <f t="shared" si="19"/>
        <v>UNEMPLOYMENT QTR END 09/30/21</v>
      </c>
    </row>
    <row r="1270" spans="5:8" x14ac:dyDescent="0.25">
      <c r="E1270" t="str">
        <f>""</f>
        <v/>
      </c>
      <c r="F1270" t="str">
        <f>""</f>
        <v/>
      </c>
      <c r="G1270" s="3">
        <v>46.08</v>
      </c>
      <c r="H1270" t="str">
        <f t="shared" si="19"/>
        <v>UNEMPLOYMENT QTR END 09/30/21</v>
      </c>
    </row>
    <row r="1271" spans="5:8" x14ac:dyDescent="0.25">
      <c r="E1271" t="str">
        <f>""</f>
        <v/>
      </c>
      <c r="F1271" t="str">
        <f>""</f>
        <v/>
      </c>
      <c r="G1271" s="3">
        <v>112.25</v>
      </c>
      <c r="H1271" t="str">
        <f t="shared" si="19"/>
        <v>UNEMPLOYMENT QTR END 09/30/21</v>
      </c>
    </row>
    <row r="1272" spans="5:8" x14ac:dyDescent="0.25">
      <c r="E1272" t="str">
        <f>""</f>
        <v/>
      </c>
      <c r="F1272" t="str">
        <f>""</f>
        <v/>
      </c>
      <c r="G1272" s="3">
        <v>71.36</v>
      </c>
      <c r="H1272" t="str">
        <f t="shared" si="19"/>
        <v>UNEMPLOYMENT QTR END 09/30/21</v>
      </c>
    </row>
    <row r="1273" spans="5:8" x14ac:dyDescent="0.25">
      <c r="E1273" t="str">
        <f>""</f>
        <v/>
      </c>
      <c r="F1273" t="str">
        <f>""</f>
        <v/>
      </c>
      <c r="G1273" s="3">
        <v>169.54</v>
      </c>
      <c r="H1273" t="str">
        <f t="shared" si="19"/>
        <v>UNEMPLOYMENT QTR END 09/30/21</v>
      </c>
    </row>
    <row r="1274" spans="5:8" x14ac:dyDescent="0.25">
      <c r="E1274" t="str">
        <f>""</f>
        <v/>
      </c>
      <c r="F1274" t="str">
        <f>""</f>
        <v/>
      </c>
      <c r="G1274" s="3">
        <v>118.06</v>
      </c>
      <c r="H1274" t="str">
        <f t="shared" si="19"/>
        <v>UNEMPLOYMENT QTR END 09/30/21</v>
      </c>
    </row>
    <row r="1275" spans="5:8" x14ac:dyDescent="0.25">
      <c r="E1275" t="str">
        <f>""</f>
        <v/>
      </c>
      <c r="F1275" t="str">
        <f>""</f>
        <v/>
      </c>
      <c r="G1275" s="3">
        <v>262.20999999999998</v>
      </c>
      <c r="H1275" t="str">
        <f t="shared" si="19"/>
        <v>UNEMPLOYMENT QTR END 09/30/21</v>
      </c>
    </row>
    <row r="1276" spans="5:8" x14ac:dyDescent="0.25">
      <c r="E1276" t="str">
        <f>""</f>
        <v/>
      </c>
      <c r="F1276" t="str">
        <f>""</f>
        <v/>
      </c>
      <c r="G1276" s="3">
        <v>1308.98</v>
      </c>
      <c r="H1276" t="str">
        <f t="shared" si="19"/>
        <v>UNEMPLOYMENT QTR END 09/30/21</v>
      </c>
    </row>
    <row r="1277" spans="5:8" x14ac:dyDescent="0.25">
      <c r="E1277" t="str">
        <f>""</f>
        <v/>
      </c>
      <c r="F1277" t="str">
        <f>""</f>
        <v/>
      </c>
      <c r="G1277" s="3">
        <v>58.52</v>
      </c>
      <c r="H1277" t="str">
        <f t="shared" si="19"/>
        <v>UNEMPLOYMENT QTR END 09/30/21</v>
      </c>
    </row>
    <row r="1278" spans="5:8" x14ac:dyDescent="0.25">
      <c r="E1278" t="str">
        <f>""</f>
        <v/>
      </c>
      <c r="F1278" t="str">
        <f>""</f>
        <v/>
      </c>
      <c r="G1278" s="3">
        <v>1345.78</v>
      </c>
      <c r="H1278" t="str">
        <f t="shared" si="19"/>
        <v>UNEMPLOYMENT QTR END 09/30/21</v>
      </c>
    </row>
    <row r="1279" spans="5:8" x14ac:dyDescent="0.25">
      <c r="E1279" t="str">
        <f>""</f>
        <v/>
      </c>
      <c r="F1279" t="str">
        <f>""</f>
        <v/>
      </c>
      <c r="G1279" s="3">
        <v>167.4</v>
      </c>
      <c r="H1279" t="str">
        <f t="shared" si="19"/>
        <v>UNEMPLOYMENT QTR END 09/30/21</v>
      </c>
    </row>
    <row r="1280" spans="5:8" x14ac:dyDescent="0.25">
      <c r="E1280" t="str">
        <f>""</f>
        <v/>
      </c>
      <c r="F1280" t="str">
        <f>""</f>
        <v/>
      </c>
      <c r="G1280" s="3">
        <v>14.84</v>
      </c>
      <c r="H1280" t="str">
        <f t="shared" si="19"/>
        <v>UNEMPLOYMENT QTR END 09/30/21</v>
      </c>
    </row>
    <row r="1281" spans="1:8" x14ac:dyDescent="0.25">
      <c r="E1281" t="str">
        <f>""</f>
        <v/>
      </c>
      <c r="F1281" t="str">
        <f>""</f>
        <v/>
      </c>
      <c r="G1281" s="3">
        <v>31.97</v>
      </c>
      <c r="H1281" t="str">
        <f t="shared" si="19"/>
        <v>UNEMPLOYMENT QTR END 09/30/21</v>
      </c>
    </row>
    <row r="1282" spans="1:8" x14ac:dyDescent="0.25">
      <c r="E1282" t="str">
        <f>""</f>
        <v/>
      </c>
      <c r="F1282" t="str">
        <f>""</f>
        <v/>
      </c>
      <c r="G1282" s="3">
        <v>31.7</v>
      </c>
      <c r="H1282" t="str">
        <f t="shared" si="19"/>
        <v>UNEMPLOYMENT QTR END 09/30/21</v>
      </c>
    </row>
    <row r="1283" spans="1:8" x14ac:dyDescent="0.25">
      <c r="E1283" t="str">
        <f>""</f>
        <v/>
      </c>
      <c r="F1283" t="str">
        <f>""</f>
        <v/>
      </c>
      <c r="G1283" s="3">
        <v>8.89</v>
      </c>
      <c r="H1283" t="str">
        <f t="shared" si="19"/>
        <v>UNEMPLOYMENT QTR END 09/30/21</v>
      </c>
    </row>
    <row r="1284" spans="1:8" x14ac:dyDescent="0.25">
      <c r="E1284" t="str">
        <f>""</f>
        <v/>
      </c>
      <c r="F1284" t="str">
        <f>""</f>
        <v/>
      </c>
      <c r="G1284" s="3">
        <v>34.74</v>
      </c>
      <c r="H1284" t="str">
        <f t="shared" si="19"/>
        <v>UNEMPLOYMENT QTR END 09/30/21</v>
      </c>
    </row>
    <row r="1285" spans="1:8" x14ac:dyDescent="0.25">
      <c r="E1285" t="str">
        <f>""</f>
        <v/>
      </c>
      <c r="F1285" t="str">
        <f>""</f>
        <v/>
      </c>
      <c r="G1285" s="3">
        <v>32.03</v>
      </c>
      <c r="H1285" t="str">
        <f t="shared" si="19"/>
        <v>UNEMPLOYMENT QTR END 09/30/21</v>
      </c>
    </row>
    <row r="1286" spans="1:8" x14ac:dyDescent="0.25">
      <c r="E1286" t="str">
        <f>""</f>
        <v/>
      </c>
      <c r="F1286" t="str">
        <f>""</f>
        <v/>
      </c>
      <c r="G1286" s="3">
        <v>22.25</v>
      </c>
      <c r="H1286" t="str">
        <f t="shared" si="19"/>
        <v>UNEMPLOYMENT QTR END 09/30/21</v>
      </c>
    </row>
    <row r="1287" spans="1:8" x14ac:dyDescent="0.25">
      <c r="E1287" t="str">
        <f>""</f>
        <v/>
      </c>
      <c r="F1287" t="str">
        <f>""</f>
        <v/>
      </c>
      <c r="G1287" s="3">
        <v>121.72</v>
      </c>
      <c r="H1287" t="str">
        <f t="shared" si="19"/>
        <v>UNEMPLOYMENT QTR END 09/30/21</v>
      </c>
    </row>
    <row r="1288" spans="1:8" x14ac:dyDescent="0.25">
      <c r="E1288" t="str">
        <f>""</f>
        <v/>
      </c>
      <c r="F1288" t="str">
        <f>""</f>
        <v/>
      </c>
      <c r="G1288" s="3">
        <v>154.52000000000001</v>
      </c>
      <c r="H1288" t="str">
        <f t="shared" si="19"/>
        <v>UNEMPLOYMENT QTR END 09/30/21</v>
      </c>
    </row>
    <row r="1289" spans="1:8" x14ac:dyDescent="0.25">
      <c r="E1289" t="str">
        <f>""</f>
        <v/>
      </c>
      <c r="F1289" t="str">
        <f>""</f>
        <v/>
      </c>
      <c r="G1289" s="3">
        <v>144.41</v>
      </c>
      <c r="H1289" t="str">
        <f t="shared" si="19"/>
        <v>UNEMPLOYMENT QTR END 09/30/21</v>
      </c>
    </row>
    <row r="1290" spans="1:8" x14ac:dyDescent="0.25">
      <c r="E1290" t="str">
        <f>""</f>
        <v/>
      </c>
      <c r="F1290" t="str">
        <f>""</f>
        <v/>
      </c>
      <c r="G1290" s="3">
        <v>184.94</v>
      </c>
      <c r="H1290" t="str">
        <f t="shared" si="19"/>
        <v>UNEMPLOYMENT QTR END 09/30/21</v>
      </c>
    </row>
    <row r="1291" spans="1:8" x14ac:dyDescent="0.25">
      <c r="A1291" t="s">
        <v>328</v>
      </c>
      <c r="B1291">
        <v>137159</v>
      </c>
      <c r="C1291" s="3">
        <v>500</v>
      </c>
      <c r="D1291" s="4">
        <v>44466</v>
      </c>
      <c r="E1291" t="str">
        <f>"202109205788"</f>
        <v>202109205788</v>
      </c>
      <c r="F1291" t="str">
        <f>"ADENA LEWIS/TEXAS BRAZOS TRAIL"</f>
        <v>ADENA LEWIS/TEXAS BRAZOS TRAIL</v>
      </c>
      <c r="G1291" s="3">
        <v>500</v>
      </c>
      <c r="H1291" t="str">
        <f>"ADENA LEWIS/TEXAS BRAZOS TRAIL"</f>
        <v>ADENA LEWIS/TEXAS BRAZOS TRAIL</v>
      </c>
    </row>
    <row r="1292" spans="1:8" x14ac:dyDescent="0.25">
      <c r="A1292" t="s">
        <v>329</v>
      </c>
      <c r="B1292">
        <v>136975</v>
      </c>
      <c r="C1292" s="3">
        <v>50</v>
      </c>
      <c r="D1292" s="4">
        <v>44452</v>
      </c>
      <c r="E1292" t="str">
        <f>"202109085618"</f>
        <v>202109085618</v>
      </c>
      <c r="F1292" t="str">
        <f>"REFUND DEVELOPMENT PREMIT"</f>
        <v>REFUND DEVELOPMENT PREMIT</v>
      </c>
      <c r="G1292" s="3">
        <v>50</v>
      </c>
      <c r="H1292" t="str">
        <f>"REFUND DEVELOPMENT PREMIT"</f>
        <v>REFUND DEVELOPMENT PREMIT</v>
      </c>
    </row>
    <row r="1293" spans="1:8" x14ac:dyDescent="0.25">
      <c r="A1293" t="s">
        <v>330</v>
      </c>
      <c r="B1293">
        <v>137160</v>
      </c>
      <c r="C1293" s="3">
        <v>3793.25</v>
      </c>
      <c r="D1293" s="4">
        <v>44466</v>
      </c>
      <c r="E1293" t="str">
        <f>"155388"</f>
        <v>155388</v>
      </c>
      <c r="F1293" t="str">
        <f>"REF#F-1044/PCT#1"</f>
        <v>REF#F-1044/PCT#1</v>
      </c>
      <c r="G1293" s="3">
        <v>3793.25</v>
      </c>
      <c r="H1293" t="str">
        <f>"REF#F-1044/PCT#1"</f>
        <v>REF#F-1044/PCT#1</v>
      </c>
    </row>
    <row r="1294" spans="1:8" x14ac:dyDescent="0.25">
      <c r="A1294" t="s">
        <v>331</v>
      </c>
      <c r="B1294">
        <v>5038</v>
      </c>
      <c r="C1294" s="3">
        <v>110</v>
      </c>
      <c r="D1294" s="4">
        <v>44453</v>
      </c>
      <c r="E1294" t="str">
        <f>"18578"</f>
        <v>18578</v>
      </c>
      <c r="F1294" t="str">
        <f>"MEDICAL WASTE/ANIMAL SHELTER"</f>
        <v>MEDICAL WASTE/ANIMAL SHELTER</v>
      </c>
      <c r="G1294" s="3">
        <v>110</v>
      </c>
      <c r="H1294" t="str">
        <f>"MEDICAL WASTE/ANIMAL SHELTER"</f>
        <v>MEDICAL WASTE/ANIMAL SHELTER</v>
      </c>
    </row>
    <row r="1295" spans="1:8" x14ac:dyDescent="0.25">
      <c r="A1295" t="s">
        <v>332</v>
      </c>
      <c r="B1295">
        <v>136976</v>
      </c>
      <c r="C1295" s="3">
        <v>60</v>
      </c>
      <c r="D1295" s="4">
        <v>44452</v>
      </c>
      <c r="E1295" t="str">
        <f>"202109025507"</f>
        <v>202109025507</v>
      </c>
      <c r="F1295" t="str">
        <f>"DECAL #57602/ELBI#18057"</f>
        <v>DECAL #57602/ELBI#18057</v>
      </c>
      <c r="G1295" s="3">
        <v>20</v>
      </c>
      <c r="H1295" t="str">
        <f>"DECAL #57602/ELBI#18057"</f>
        <v>DECAL #57602/ELBI#18057</v>
      </c>
    </row>
    <row r="1296" spans="1:8" x14ac:dyDescent="0.25">
      <c r="E1296" t="str">
        <f>"202109025508"</f>
        <v>202109025508</v>
      </c>
      <c r="F1296" t="str">
        <f>"DECAL #57601/ELBI #18057"</f>
        <v>DECAL #57601/ELBI #18057</v>
      </c>
      <c r="G1296" s="3">
        <v>20</v>
      </c>
      <c r="H1296" t="str">
        <f>"DECAL #57601/ELBI #18057"</f>
        <v>DECAL #57601/ELBI #18057</v>
      </c>
    </row>
    <row r="1297" spans="1:8" x14ac:dyDescent="0.25">
      <c r="E1297" t="str">
        <f>"202109025509"</f>
        <v>202109025509</v>
      </c>
      <c r="F1297" t="str">
        <f>"DECAL #54465/ELBI #342"</f>
        <v>DECAL #54465/ELBI #342</v>
      </c>
      <c r="G1297" s="3">
        <v>20</v>
      </c>
      <c r="H1297" t="str">
        <f>"DECAL #54465/ELBI #342"</f>
        <v>DECAL #54465/ELBI #342</v>
      </c>
    </row>
    <row r="1298" spans="1:8" x14ac:dyDescent="0.25">
      <c r="A1298" t="s">
        <v>333</v>
      </c>
      <c r="B1298">
        <v>137161</v>
      </c>
      <c r="C1298" s="3">
        <v>11</v>
      </c>
      <c r="D1298" s="4">
        <v>44466</v>
      </c>
      <c r="E1298" t="str">
        <f>"202109175732"</f>
        <v>202109175732</v>
      </c>
      <c r="F1298" t="str">
        <f>"RESTITUTION/JACOB SHINE"</f>
        <v>RESTITUTION/JACOB SHINE</v>
      </c>
      <c r="G1298" s="3">
        <v>11</v>
      </c>
      <c r="H1298" t="str">
        <f>"RESTITUTION/JACOB SHINE"</f>
        <v>RESTITUTION/JACOB SHINE</v>
      </c>
    </row>
    <row r="1299" spans="1:8" x14ac:dyDescent="0.25">
      <c r="A1299" t="s">
        <v>334</v>
      </c>
      <c r="B1299">
        <v>136977</v>
      </c>
      <c r="C1299" s="3">
        <v>155</v>
      </c>
      <c r="D1299" s="4">
        <v>44452</v>
      </c>
      <c r="E1299" t="str">
        <f>"6141655"</f>
        <v>6141655</v>
      </c>
      <c r="F1299" t="str">
        <f>"CUST#1-238865/WASTE SRVC"</f>
        <v>CUST#1-238865/WASTE SRVC</v>
      </c>
      <c r="G1299" s="3">
        <v>155</v>
      </c>
      <c r="H1299" t="str">
        <f>"CUST#1-238865/WASTE SRVC"</f>
        <v>CUST#1-238865/WASTE SRVC</v>
      </c>
    </row>
    <row r="1300" spans="1:8" x14ac:dyDescent="0.25">
      <c r="A1300" t="s">
        <v>335</v>
      </c>
      <c r="B1300">
        <v>136978</v>
      </c>
      <c r="C1300" s="3">
        <v>50</v>
      </c>
      <c r="D1300" s="4">
        <v>44452</v>
      </c>
      <c r="E1300" t="str">
        <f>"202109015435"</f>
        <v>202109015435</v>
      </c>
      <c r="F1300" t="str">
        <f>"2021 MEMBERSHIP DUES/S.LOUCKS"</f>
        <v>2021 MEMBERSHIP DUES/S.LOUCKS</v>
      </c>
      <c r="G1300" s="3">
        <v>50</v>
      </c>
      <c r="H1300" t="str">
        <f>"2021 MEMBERSHIP DUES/S.LOUCKS"</f>
        <v>2021 MEMBERSHIP DUES/S.LOUCKS</v>
      </c>
    </row>
    <row r="1301" spans="1:8" x14ac:dyDescent="0.25">
      <c r="A1301" t="s">
        <v>336</v>
      </c>
      <c r="B1301">
        <v>137162</v>
      </c>
      <c r="C1301" s="3">
        <v>790</v>
      </c>
      <c r="D1301" s="4">
        <v>44466</v>
      </c>
      <c r="E1301" t="str">
        <f>"202109225903"</f>
        <v>202109225903</v>
      </c>
      <c r="F1301" t="str">
        <f>"TRAINING"</f>
        <v>TRAINING</v>
      </c>
      <c r="G1301" s="3">
        <v>790</v>
      </c>
      <c r="H1301" t="str">
        <f>"TRAINING"</f>
        <v>TRAINING</v>
      </c>
    </row>
    <row r="1302" spans="1:8" x14ac:dyDescent="0.25">
      <c r="A1302" t="s">
        <v>337</v>
      </c>
      <c r="B1302">
        <v>136979</v>
      </c>
      <c r="C1302" s="3">
        <v>908.09</v>
      </c>
      <c r="D1302" s="4">
        <v>44452</v>
      </c>
      <c r="E1302" t="str">
        <f>"241267"</f>
        <v>241267</v>
      </c>
      <c r="F1302" t="str">
        <f>"CUST#241267/PCT#1"</f>
        <v>CUST#241267/PCT#1</v>
      </c>
      <c r="G1302" s="3">
        <v>908.09</v>
      </c>
      <c r="H1302" t="str">
        <f>"CUST#241267/PCT#1"</f>
        <v>CUST#241267/PCT#1</v>
      </c>
    </row>
    <row r="1303" spans="1:8" x14ac:dyDescent="0.25">
      <c r="A1303" t="s">
        <v>337</v>
      </c>
      <c r="B1303">
        <v>137163</v>
      </c>
      <c r="C1303" s="3">
        <v>2599.7800000000002</v>
      </c>
      <c r="D1303" s="4">
        <v>44466</v>
      </c>
      <c r="E1303" t="str">
        <f>"20098810"</f>
        <v>20098810</v>
      </c>
      <c r="F1303" t="str">
        <f>"CUST#260045/PCT#1"</f>
        <v>CUST#260045/PCT#1</v>
      </c>
      <c r="G1303" s="3">
        <v>921.58</v>
      </c>
      <c r="H1303" t="str">
        <f>"CUST#260045/PCT#1"</f>
        <v>CUST#260045/PCT#1</v>
      </c>
    </row>
    <row r="1304" spans="1:8" x14ac:dyDescent="0.25">
      <c r="E1304" t="str">
        <f>"200989550"</f>
        <v>200989550</v>
      </c>
      <c r="F1304" t="str">
        <f>"CUST#255120/PCT#2"</f>
        <v>CUST#255120/PCT#2</v>
      </c>
      <c r="G1304" s="3">
        <v>1678.2</v>
      </c>
      <c r="H1304" t="str">
        <f>"CUST#255120/PCT#2"</f>
        <v>CUST#255120/PCT#2</v>
      </c>
    </row>
    <row r="1305" spans="1:8" x14ac:dyDescent="0.25">
      <c r="A1305" t="s">
        <v>338</v>
      </c>
      <c r="B1305">
        <v>136980</v>
      </c>
      <c r="C1305" s="3">
        <v>570.4</v>
      </c>
      <c r="D1305" s="4">
        <v>44452</v>
      </c>
      <c r="E1305" t="str">
        <f>"1CO-3153-21"</f>
        <v>1CO-3153-21</v>
      </c>
      <c r="F1305" t="str">
        <f>"A8382148/TIMOTHY MORGAN"</f>
        <v>A8382148/TIMOTHY MORGAN</v>
      </c>
      <c r="G1305" s="3">
        <v>157.25</v>
      </c>
      <c r="H1305" t="str">
        <f>"A8382148/TIMOTHY MORGAN"</f>
        <v>A8382148/TIMOTHY MORGAN</v>
      </c>
    </row>
    <row r="1306" spans="1:8" x14ac:dyDescent="0.25">
      <c r="E1306" t="str">
        <f>"J2-70216"</f>
        <v>J2-70216</v>
      </c>
      <c r="F1306" t="str">
        <f>"A-16711/ERIK BICKNELL"</f>
        <v>A-16711/ERIK BICKNELL</v>
      </c>
      <c r="G1306" s="3">
        <v>114.75</v>
      </c>
      <c r="H1306" t="str">
        <f>"A-16711/ERIK BICKNELL"</f>
        <v>A-16711/ERIK BICKNELL</v>
      </c>
    </row>
    <row r="1307" spans="1:8" x14ac:dyDescent="0.25">
      <c r="E1307" t="str">
        <f>"J2-703115"</f>
        <v>J2-703115</v>
      </c>
      <c r="F1307" t="str">
        <f>"A-12867/ROBERT MAKELA"</f>
        <v>A-12867/ROBERT MAKELA</v>
      </c>
      <c r="G1307" s="3">
        <v>68.2</v>
      </c>
      <c r="H1307" t="str">
        <f>"A-12867/ROBERT MAKELA"</f>
        <v>A-12867/ROBERT MAKELA</v>
      </c>
    </row>
    <row r="1308" spans="1:8" x14ac:dyDescent="0.25">
      <c r="E1308" t="str">
        <f>"J2-70316"</f>
        <v>J2-70316</v>
      </c>
      <c r="F1308" t="str">
        <f>"A-12864/JESSICA GERLACH"</f>
        <v>A-12864/JESSICA GERLACH</v>
      </c>
      <c r="G1308" s="3">
        <v>81</v>
      </c>
      <c r="H1308" t="str">
        <f>"A-12864/JESSICA GERLACH"</f>
        <v>A-12864/JESSICA GERLACH</v>
      </c>
    </row>
    <row r="1309" spans="1:8" x14ac:dyDescent="0.25">
      <c r="E1309" t="str">
        <f>"J2-70318"</f>
        <v>J2-70318</v>
      </c>
      <c r="F1309" t="str">
        <f>"A-12868/MARK OWEN"</f>
        <v>A-12868/MARK OWEN</v>
      </c>
      <c r="G1309" s="3">
        <v>68.2</v>
      </c>
      <c r="H1309" t="str">
        <f>"A-12868/MARK OWEN"</f>
        <v>A-12868/MARK OWEN</v>
      </c>
    </row>
    <row r="1310" spans="1:8" x14ac:dyDescent="0.25">
      <c r="E1310" t="str">
        <f>"J2-70320"</f>
        <v>J2-70320</v>
      </c>
      <c r="F1310" t="str">
        <f>"A-12865/ASHLEY GERLACH"</f>
        <v>A-12865/ASHLEY GERLACH</v>
      </c>
      <c r="G1310" s="3">
        <v>81</v>
      </c>
      <c r="H1310" t="str">
        <f>"A-12865/ASHLEY GERLACH"</f>
        <v>A-12865/ASHLEY GERLACH</v>
      </c>
    </row>
    <row r="1311" spans="1:8" x14ac:dyDescent="0.25">
      <c r="A1311" t="s">
        <v>339</v>
      </c>
      <c r="B1311">
        <v>136981</v>
      </c>
      <c r="C1311" s="3">
        <v>470</v>
      </c>
      <c r="D1311" s="4">
        <v>44452</v>
      </c>
      <c r="E1311" t="str">
        <f>"081921"</f>
        <v>081921</v>
      </c>
      <c r="F1311" t="str">
        <f>"TEXAS PATCHER/PCT#1"</f>
        <v>TEXAS PATCHER/PCT#1</v>
      </c>
      <c r="G1311" s="3">
        <v>470</v>
      </c>
      <c r="H1311" t="str">
        <f>"TEXAS PATCHER/PCT#1"</f>
        <v>TEXAS PATCHER/PCT#1</v>
      </c>
    </row>
    <row r="1312" spans="1:8" x14ac:dyDescent="0.25">
      <c r="A1312" t="s">
        <v>340</v>
      </c>
      <c r="B1312">
        <v>136982</v>
      </c>
      <c r="C1312" s="3">
        <v>150</v>
      </c>
      <c r="D1312" s="4">
        <v>44452</v>
      </c>
      <c r="E1312" t="str">
        <f>"202109075594"</f>
        <v>202109075594</v>
      </c>
      <c r="F1312" t="str">
        <f>"MEMBERSHIP"</f>
        <v>MEMBERSHIP</v>
      </c>
      <c r="G1312" s="3">
        <v>75</v>
      </c>
      <c r="H1312" t="str">
        <f>"MEMBERSHIP - LE"</f>
        <v>MEMBERSHIP - LE</v>
      </c>
    </row>
    <row r="1313" spans="1:8" x14ac:dyDescent="0.25">
      <c r="E1313" t="str">
        <f>""</f>
        <v/>
      </c>
      <c r="F1313" t="str">
        <f>""</f>
        <v/>
      </c>
      <c r="G1313" s="3">
        <v>75</v>
      </c>
      <c r="H1313" t="str">
        <f>"MEMBERSHIP - JALI"</f>
        <v>MEMBERSHIP - JALI</v>
      </c>
    </row>
    <row r="1314" spans="1:8" x14ac:dyDescent="0.25">
      <c r="A1314" t="s">
        <v>341</v>
      </c>
      <c r="B1314">
        <v>5132</v>
      </c>
      <c r="C1314" s="3">
        <v>380.08</v>
      </c>
      <c r="D1314" s="4">
        <v>44467</v>
      </c>
      <c r="E1314" t="str">
        <f>"202109215862"</f>
        <v>202109215862</v>
      </c>
      <c r="F1314" t="str">
        <f>"INDIGENT HEALTH"</f>
        <v>INDIGENT HEALTH</v>
      </c>
      <c r="G1314" s="3">
        <v>173.77</v>
      </c>
      <c r="H1314" t="str">
        <f>"INDIGENT HEALTH"</f>
        <v>INDIGENT HEALTH</v>
      </c>
    </row>
    <row r="1315" spans="1:8" x14ac:dyDescent="0.25">
      <c r="E1315" t="str">
        <f>""</f>
        <v/>
      </c>
      <c r="F1315" t="str">
        <f>""</f>
        <v/>
      </c>
      <c r="G1315" s="3">
        <v>206.31</v>
      </c>
      <c r="H1315" t="str">
        <f>"INDIGENT HEALTH"</f>
        <v>INDIGENT HEALTH</v>
      </c>
    </row>
    <row r="1316" spans="1:8" x14ac:dyDescent="0.25">
      <c r="A1316" t="s">
        <v>342</v>
      </c>
      <c r="B1316">
        <v>5026</v>
      </c>
      <c r="C1316" s="3">
        <v>1790</v>
      </c>
      <c r="D1316" s="4">
        <v>44453</v>
      </c>
      <c r="E1316" t="str">
        <f>"266470"</f>
        <v>266470</v>
      </c>
      <c r="F1316" t="str">
        <f>"ACCT#188757/MIKE FISHER BLD"</f>
        <v>ACCT#188757/MIKE FISHER BLD</v>
      </c>
      <c r="G1316" s="3">
        <v>112</v>
      </c>
      <c r="H1316" t="str">
        <f>"ACCT#188757/MIKE FISHER BLD"</f>
        <v>ACCT#188757/MIKE FISHER BLD</v>
      </c>
    </row>
    <row r="1317" spans="1:8" x14ac:dyDescent="0.25">
      <c r="E1317" t="str">
        <f>"267296"</f>
        <v>267296</v>
      </c>
      <c r="F1317" t="str">
        <f>"ACCT#188757/HISTORIC JAIL"</f>
        <v>ACCT#188757/HISTORIC JAIL</v>
      </c>
      <c r="G1317" s="3">
        <v>76</v>
      </c>
      <c r="H1317" t="str">
        <f>"ACCT#188757/HISTORIC JAIL"</f>
        <v>ACCT#188757/HISTORIC JAIL</v>
      </c>
    </row>
    <row r="1318" spans="1:8" x14ac:dyDescent="0.25">
      <c r="E1318" t="str">
        <f>"267341"</f>
        <v>267341</v>
      </c>
      <c r="F1318" t="str">
        <f>"ACCT#188757/EXTENSION HABITAT"</f>
        <v>ACCT#188757/EXTENSION HABITAT</v>
      </c>
      <c r="G1318" s="3">
        <v>89</v>
      </c>
      <c r="H1318" t="str">
        <f>"ACCT#188757/EXTENSION HABITAT"</f>
        <v>ACCT#188757/EXTENSION HABITAT</v>
      </c>
    </row>
    <row r="1319" spans="1:8" x14ac:dyDescent="0.25">
      <c r="E1319" t="str">
        <f>"267384"</f>
        <v>267384</v>
      </c>
      <c r="F1319" t="str">
        <f>"ACCT#188757/JUVENILE PROBATION"</f>
        <v>ACCT#188757/JUVENILE PROBATION</v>
      </c>
      <c r="G1319" s="3">
        <v>132</v>
      </c>
      <c r="H1319" t="str">
        <f>"ACCT#188757/JUVENILE PROBATION"</f>
        <v>ACCT#188757/JUVENILE PROBATION</v>
      </c>
    </row>
    <row r="1320" spans="1:8" x14ac:dyDescent="0.25">
      <c r="E1320" t="str">
        <f>"267691"</f>
        <v>267691</v>
      </c>
      <c r="F1320" t="str">
        <f>"ACCT#188757/TAX OFFICE"</f>
        <v>ACCT#188757/TAX OFFICE</v>
      </c>
      <c r="G1320" s="3">
        <v>102</v>
      </c>
      <c r="H1320" t="str">
        <f>"ACCT#188757/TAX OFFICE"</f>
        <v>ACCT#188757/TAX OFFICE</v>
      </c>
    </row>
    <row r="1321" spans="1:8" x14ac:dyDescent="0.25">
      <c r="E1321" t="str">
        <f>"267706"</f>
        <v>267706</v>
      </c>
      <c r="F1321" t="str">
        <f>"ACCT#188757/LBJ BUILDING"</f>
        <v>ACCT#188757/LBJ BUILDING</v>
      </c>
      <c r="G1321" s="3">
        <v>69</v>
      </c>
      <c r="H1321" t="str">
        <f>"ACCT#188757/LBJ BUILDING"</f>
        <v>ACCT#188757/LBJ BUILDING</v>
      </c>
    </row>
    <row r="1322" spans="1:8" x14ac:dyDescent="0.25">
      <c r="E1322" t="str">
        <f>"267712"</f>
        <v>267712</v>
      </c>
      <c r="F1322" t="str">
        <f>"ACCT#188757/PCT#4 BARN"</f>
        <v>ACCT#188757/PCT#4 BARN</v>
      </c>
      <c r="G1322" s="3">
        <v>95.5</v>
      </c>
      <c r="H1322" t="str">
        <f>"ACCT#188757/PCT#4 BARN"</f>
        <v>ACCT#188757/PCT#4 BARN</v>
      </c>
    </row>
    <row r="1323" spans="1:8" x14ac:dyDescent="0.25">
      <c r="E1323" t="str">
        <f>"267800"</f>
        <v>267800</v>
      </c>
      <c r="F1323" t="str">
        <f>"ACCT#188757/JUVENILE BOOT CAMP"</f>
        <v>ACCT#188757/JUVENILE BOOT CAMP</v>
      </c>
      <c r="G1323" s="3">
        <v>118.5</v>
      </c>
      <c r="H1323" t="str">
        <f>"ACCT#188757/JUVENILE BOOT CAMP"</f>
        <v>ACCT#188757/JUVENILE BOOT CAMP</v>
      </c>
    </row>
    <row r="1324" spans="1:8" x14ac:dyDescent="0.25">
      <c r="E1324" t="str">
        <f>"267809"</f>
        <v>267809</v>
      </c>
      <c r="F1324" t="str">
        <f>"ACCT#188757/SIGN SHOP"</f>
        <v>ACCT#188757/SIGN SHOP</v>
      </c>
      <c r="G1324" s="3">
        <v>95</v>
      </c>
      <c r="H1324" t="str">
        <f>"ACCT#188757/SIGN SHOP"</f>
        <v>ACCT#188757/SIGN SHOP</v>
      </c>
    </row>
    <row r="1325" spans="1:8" x14ac:dyDescent="0.25">
      <c r="E1325" t="str">
        <f>"268559"</f>
        <v>268559</v>
      </c>
      <c r="F1325" t="str">
        <f>"ACCT#188757/ANIMAL SHELTER"</f>
        <v>ACCT#188757/ANIMAL SHELTER</v>
      </c>
      <c r="G1325" s="3">
        <v>290</v>
      </c>
      <c r="H1325" t="str">
        <f>"ACCT#188757/ANIMAL SHELTER"</f>
        <v>ACCT#188757/ANIMAL SHELTER</v>
      </c>
    </row>
    <row r="1326" spans="1:8" x14ac:dyDescent="0.25">
      <c r="E1326" t="str">
        <f>"270448"</f>
        <v>270448</v>
      </c>
      <c r="F1326" t="str">
        <f>"ACCT#188757/COURTHOUSE"</f>
        <v>ACCT#188757/COURTHOUSE</v>
      </c>
      <c r="G1326" s="3">
        <v>486</v>
      </c>
      <c r="H1326" t="str">
        <f>"ACCT#188757/COURTHOUSE"</f>
        <v>ACCT#188757/COURTHOUSE</v>
      </c>
    </row>
    <row r="1327" spans="1:8" x14ac:dyDescent="0.25">
      <c r="E1327" t="str">
        <f>"270767"</f>
        <v>270767</v>
      </c>
      <c r="F1327" t="str">
        <f>"ACCT#188757/CEDAR CREEK PARK"</f>
        <v>ACCT#188757/CEDAR CREEK PARK</v>
      </c>
      <c r="G1327" s="3">
        <v>125</v>
      </c>
      <c r="H1327" t="str">
        <f>"ACCT#188757/CEDAR CREEK PARK"</f>
        <v>ACCT#188757/CEDAR CREEK PARK</v>
      </c>
    </row>
    <row r="1328" spans="1:8" x14ac:dyDescent="0.25">
      <c r="A1328" t="s">
        <v>342</v>
      </c>
      <c r="B1328">
        <v>5119</v>
      </c>
      <c r="C1328" s="3">
        <v>766.5</v>
      </c>
      <c r="D1328" s="4">
        <v>44467</v>
      </c>
      <c r="E1328" t="str">
        <f>"272545"</f>
        <v>272545</v>
      </c>
      <c r="F1328" t="str">
        <f>"ACCT#188757/LOST PINES PARK"</f>
        <v>ACCT#188757/LOST PINES PARK</v>
      </c>
      <c r="G1328" s="3">
        <v>75</v>
      </c>
      <c r="H1328" t="str">
        <f>"ACCT#188757/LOST PINES PARK"</f>
        <v>ACCT#188757/LOST PINES PARK</v>
      </c>
    </row>
    <row r="1329" spans="1:8" x14ac:dyDescent="0.25">
      <c r="E1329" t="str">
        <f>"272820"</f>
        <v>272820</v>
      </c>
      <c r="F1329" t="str">
        <f>"ACCT#188757/MIKE FISHER BULD."</f>
        <v>ACCT#188757/MIKE FISHER BULD.</v>
      </c>
      <c r="G1329" s="3">
        <v>112</v>
      </c>
      <c r="H1329" t="str">
        <f>"ACCT#188757/MIKE FISHER BULD."</f>
        <v>ACCT#188757/MIKE FISHER BULD.</v>
      </c>
    </row>
    <row r="1330" spans="1:8" x14ac:dyDescent="0.25">
      <c r="E1330" t="str">
        <f>"272992"</f>
        <v>272992</v>
      </c>
      <c r="F1330" t="str">
        <f>"ACCT#188757/DPS/TLD"</f>
        <v>ACCT#188757/DPS/TLD</v>
      </c>
      <c r="G1330" s="3">
        <v>76</v>
      </c>
      <c r="H1330" t="str">
        <f>"ACCT#188757/DPS/TLD"</f>
        <v>ACCT#188757/DPS/TLD</v>
      </c>
    </row>
    <row r="1331" spans="1:8" x14ac:dyDescent="0.25">
      <c r="E1331" t="str">
        <f>"273414"</f>
        <v>273414</v>
      </c>
      <c r="F1331" t="str">
        <f>"ACCT#188757/ANIMAL SHELTER"</f>
        <v>ACCT#188757/ANIMAL SHELTER</v>
      </c>
      <c r="G1331" s="3">
        <v>290</v>
      </c>
      <c r="H1331" t="str">
        <f>"ACCT#188757/ANIMAL SHELTER"</f>
        <v>ACCT#188757/ANIMAL SHELTER</v>
      </c>
    </row>
    <row r="1332" spans="1:8" x14ac:dyDescent="0.25">
      <c r="E1332" t="str">
        <f>"273551"</f>
        <v>273551</v>
      </c>
      <c r="F1332" t="str">
        <f>"ACCT#188757/RD&amp;BRIDGE SIGN SHP"</f>
        <v>ACCT#188757/RD&amp;BRIDGE SIGN SHP</v>
      </c>
      <c r="G1332" s="3">
        <v>95</v>
      </c>
      <c r="H1332" t="str">
        <f>"ACCT#188757/RD&amp;BRIDGE SIGN SHP"</f>
        <v>ACCT#188757/RD&amp;BRIDGE SIGN SHP</v>
      </c>
    </row>
    <row r="1333" spans="1:8" x14ac:dyDescent="0.25">
      <c r="E1333" t="str">
        <f>"273605"</f>
        <v>273605</v>
      </c>
      <c r="F1333" t="str">
        <f>"ACCT#188757/JUVENILE  BOOT CMP"</f>
        <v>ACCT#188757/JUVENILE  BOOT CMP</v>
      </c>
      <c r="G1333" s="3">
        <v>118.5</v>
      </c>
      <c r="H1333" t="str">
        <f>"ACCT#188757/JUVENILE  BOOT CMP"</f>
        <v>ACCT#188757/JUVENILE  BOOT CMP</v>
      </c>
    </row>
    <row r="1334" spans="1:8" x14ac:dyDescent="0.25">
      <c r="A1334" t="s">
        <v>343</v>
      </c>
      <c r="B1334">
        <v>136983</v>
      </c>
      <c r="C1334" s="3">
        <v>185</v>
      </c>
      <c r="D1334" s="4">
        <v>44452</v>
      </c>
      <c r="E1334" t="str">
        <f>"895887"</f>
        <v>895887</v>
      </c>
      <c r="F1334" t="str">
        <f>"INV 895887"</f>
        <v>INV 895887</v>
      </c>
      <c r="G1334" s="3">
        <v>185</v>
      </c>
      <c r="H1334" t="str">
        <f>"INV 895887"</f>
        <v>INV 895887</v>
      </c>
    </row>
    <row r="1335" spans="1:8" x14ac:dyDescent="0.25">
      <c r="A1335" t="s">
        <v>343</v>
      </c>
      <c r="B1335">
        <v>137164</v>
      </c>
      <c r="C1335" s="3">
        <v>370</v>
      </c>
      <c r="D1335" s="4">
        <v>44466</v>
      </c>
      <c r="E1335" t="str">
        <f>"895894"</f>
        <v>895894</v>
      </c>
      <c r="F1335" t="str">
        <f>"FINAL RIDE/OLD SAN ANTNIO RD"</f>
        <v>FINAL RIDE/OLD SAN ANTNIO RD</v>
      </c>
      <c r="G1335" s="3">
        <v>185</v>
      </c>
      <c r="H1335" t="str">
        <f>"FINAL RIDE/OLD SAN ANTNIO RD"</f>
        <v>FINAL RIDE/OLD SAN ANTNIO RD</v>
      </c>
    </row>
    <row r="1336" spans="1:8" x14ac:dyDescent="0.25">
      <c r="E1336" t="str">
        <f>"895898"</f>
        <v>895898</v>
      </c>
      <c r="F1336" t="str">
        <f>"FINAL RIDE/SNAD HILLS ROAD"</f>
        <v>FINAL RIDE/SNAD HILLS ROAD</v>
      </c>
      <c r="G1336" s="3">
        <v>185</v>
      </c>
      <c r="H1336" t="str">
        <f>"FINAL RIDE/SNAD HILLS ROAD"</f>
        <v>FINAL RIDE/SNAD HILLS ROAD</v>
      </c>
    </row>
    <row r="1337" spans="1:8" x14ac:dyDescent="0.25">
      <c r="A1337" t="s">
        <v>344</v>
      </c>
      <c r="B1337">
        <v>5014</v>
      </c>
      <c r="C1337" s="3">
        <v>1325</v>
      </c>
      <c r="D1337" s="4">
        <v>44453</v>
      </c>
      <c r="E1337" t="str">
        <f>"202109075559"</f>
        <v>202109075559</v>
      </c>
      <c r="F1337" t="str">
        <f>"20-200030"</f>
        <v>20-200030</v>
      </c>
      <c r="G1337" s="3">
        <v>750</v>
      </c>
      <c r="H1337" t="str">
        <f>"20-200030"</f>
        <v>20-200030</v>
      </c>
    </row>
    <row r="1338" spans="1:8" x14ac:dyDescent="0.25">
      <c r="E1338" t="str">
        <f>"202109075560"</f>
        <v>202109075560</v>
      </c>
      <c r="F1338" t="str">
        <f>"20-20262"</f>
        <v>20-20262</v>
      </c>
      <c r="G1338" s="3">
        <v>325</v>
      </c>
      <c r="H1338" t="str">
        <f>"20-20262"</f>
        <v>20-20262</v>
      </c>
    </row>
    <row r="1339" spans="1:8" x14ac:dyDescent="0.25">
      <c r="E1339" t="str">
        <f>"202109075561"</f>
        <v>202109075561</v>
      </c>
      <c r="F1339" t="str">
        <f>"02-1224-6"</f>
        <v>02-1224-6</v>
      </c>
      <c r="G1339" s="3">
        <v>250</v>
      </c>
      <c r="H1339" t="str">
        <f>"02-1224-6"</f>
        <v>02-1224-6</v>
      </c>
    </row>
    <row r="1340" spans="1:8" x14ac:dyDescent="0.25">
      <c r="A1340" t="s">
        <v>344</v>
      </c>
      <c r="B1340">
        <v>5107</v>
      </c>
      <c r="C1340" s="3">
        <v>2650</v>
      </c>
      <c r="D1340" s="4">
        <v>44467</v>
      </c>
      <c r="E1340" t="str">
        <f>"202109155700"</f>
        <v>202109155700</v>
      </c>
      <c r="F1340" t="str">
        <f>"JP11122020A"</f>
        <v>JP11122020A</v>
      </c>
      <c r="G1340" s="3">
        <v>400</v>
      </c>
      <c r="H1340" t="str">
        <f>"JP11122020A"</f>
        <v>JP11122020A</v>
      </c>
    </row>
    <row r="1341" spans="1:8" x14ac:dyDescent="0.25">
      <c r="E1341" t="str">
        <f>"202109155701"</f>
        <v>202109155701</v>
      </c>
      <c r="F1341" t="str">
        <f>"CM 20200419"</f>
        <v>CM 20200419</v>
      </c>
      <c r="G1341" s="3">
        <v>400</v>
      </c>
      <c r="H1341" t="str">
        <f>"CM 20200419"</f>
        <v>CM 20200419</v>
      </c>
    </row>
    <row r="1342" spans="1:8" x14ac:dyDescent="0.25">
      <c r="E1342" t="str">
        <f>"202109155702"</f>
        <v>202109155702</v>
      </c>
      <c r="F1342" t="str">
        <f>"JP1072220211"</f>
        <v>JP1072220211</v>
      </c>
      <c r="G1342" s="3">
        <v>400</v>
      </c>
      <c r="H1342" t="str">
        <f>"JP1072220211"</f>
        <v>JP1072220211</v>
      </c>
    </row>
    <row r="1343" spans="1:8" x14ac:dyDescent="0.25">
      <c r="E1343" t="str">
        <f>"202109205797"</f>
        <v>202109205797</v>
      </c>
      <c r="F1343" t="str">
        <f>"16-958"</f>
        <v>16-958</v>
      </c>
      <c r="G1343" s="3">
        <v>400</v>
      </c>
      <c r="H1343" t="str">
        <f>"16-958"</f>
        <v>16-958</v>
      </c>
    </row>
    <row r="1344" spans="1:8" x14ac:dyDescent="0.25">
      <c r="E1344" t="str">
        <f>"202109205803"</f>
        <v>202109205803</v>
      </c>
      <c r="F1344" t="str">
        <f>"57-724"</f>
        <v>57-724</v>
      </c>
      <c r="G1344" s="3">
        <v>250</v>
      </c>
      <c r="H1344" t="str">
        <f>"57-724"</f>
        <v>57-724</v>
      </c>
    </row>
    <row r="1345" spans="1:8" x14ac:dyDescent="0.25">
      <c r="E1345" t="str">
        <f>"202109205809"</f>
        <v>202109205809</v>
      </c>
      <c r="F1345" t="str">
        <f>"17-356"</f>
        <v>17-356</v>
      </c>
      <c r="G1345" s="3">
        <v>400</v>
      </c>
      <c r="H1345" t="str">
        <f>"17-356"</f>
        <v>17-356</v>
      </c>
    </row>
    <row r="1346" spans="1:8" x14ac:dyDescent="0.25">
      <c r="E1346" t="str">
        <f>"202109205810"</f>
        <v>202109205810</v>
      </c>
      <c r="F1346" t="str">
        <f>"JP108012019A"</f>
        <v>JP108012019A</v>
      </c>
      <c r="G1346" s="3">
        <v>400</v>
      </c>
      <c r="H1346" t="str">
        <f>"JP108012019A"</f>
        <v>JP108012019A</v>
      </c>
    </row>
    <row r="1347" spans="1:8" x14ac:dyDescent="0.25">
      <c r="A1347" t="s">
        <v>345</v>
      </c>
      <c r="B1347">
        <v>137165</v>
      </c>
      <c r="C1347" s="3">
        <v>89.9</v>
      </c>
      <c r="D1347" s="4">
        <v>44466</v>
      </c>
      <c r="E1347" t="str">
        <f>"202109215832"</f>
        <v>202109215832</v>
      </c>
      <c r="F1347" t="str">
        <f>"REIMBURSE/THOMAS LAHAYE"</f>
        <v>REIMBURSE/THOMAS LAHAYE</v>
      </c>
      <c r="G1347" s="3">
        <v>89.9</v>
      </c>
      <c r="H1347" t="str">
        <f>"REIMBURSE/THOMAS LAHAYE"</f>
        <v>REIMBURSE/THOMAS LAHAYE</v>
      </c>
    </row>
    <row r="1348" spans="1:8" x14ac:dyDescent="0.25">
      <c r="A1348" t="s">
        <v>346</v>
      </c>
      <c r="B1348">
        <v>136984</v>
      </c>
      <c r="C1348" s="3">
        <v>828.92</v>
      </c>
      <c r="D1348" s="4">
        <v>44452</v>
      </c>
      <c r="E1348" t="str">
        <f>"844764221"</f>
        <v>844764221</v>
      </c>
      <c r="F1348" t="str">
        <f>"ACCT#1000310962"</f>
        <v>ACCT#1000310962</v>
      </c>
      <c r="G1348" s="3">
        <v>828.92</v>
      </c>
      <c r="H1348" t="str">
        <f>"ACCT#1000310962"</f>
        <v>ACCT#1000310962</v>
      </c>
    </row>
    <row r="1349" spans="1:8" x14ac:dyDescent="0.25">
      <c r="A1349" t="s">
        <v>346</v>
      </c>
      <c r="B1349">
        <v>137166</v>
      </c>
      <c r="C1349" s="3">
        <v>856.59</v>
      </c>
      <c r="D1349" s="4">
        <v>44466</v>
      </c>
      <c r="E1349" t="str">
        <f>"844927314"</f>
        <v>844927314</v>
      </c>
      <c r="F1349" t="str">
        <f>"ACCT#100310962/LAW LIBRARY"</f>
        <v>ACCT#100310962/LAW LIBRARY</v>
      </c>
      <c r="G1349" s="3">
        <v>856.59</v>
      </c>
      <c r="H1349" t="str">
        <f>"ACCT#100310962/LAW LIBRARY"</f>
        <v>ACCT#100310962/LAW LIBRARY</v>
      </c>
    </row>
    <row r="1350" spans="1:8" x14ac:dyDescent="0.25">
      <c r="A1350" t="s">
        <v>347</v>
      </c>
      <c r="B1350">
        <v>136985</v>
      </c>
      <c r="C1350" s="3">
        <v>755.66</v>
      </c>
      <c r="D1350" s="4">
        <v>44452</v>
      </c>
      <c r="E1350" t="str">
        <f>"0155923081221"</f>
        <v>0155923081221</v>
      </c>
      <c r="F1350" t="str">
        <f>"ACCT#8260160140155923"</f>
        <v>ACCT#8260160140155923</v>
      </c>
      <c r="G1350" s="3">
        <v>120.14</v>
      </c>
      <c r="H1350" t="str">
        <f>"ACCT#8260160140155923"</f>
        <v>ACCT#8260160140155923</v>
      </c>
    </row>
    <row r="1351" spans="1:8" x14ac:dyDescent="0.25">
      <c r="E1351" t="str">
        <f>"0167100081621"</f>
        <v>0167100081621</v>
      </c>
      <c r="F1351" t="str">
        <f>"ACCT#8260160170167100"</f>
        <v>ACCT#8260160170167100</v>
      </c>
      <c r="G1351" s="3">
        <v>635.52</v>
      </c>
      <c r="H1351" t="str">
        <f>"ACCT#8260160170167100"</f>
        <v>ACCT#8260160170167100</v>
      </c>
    </row>
    <row r="1352" spans="1:8" x14ac:dyDescent="0.25">
      <c r="A1352" t="s">
        <v>347</v>
      </c>
      <c r="B1352">
        <v>137167</v>
      </c>
      <c r="C1352" s="3">
        <v>3855.2</v>
      </c>
      <c r="D1352" s="4">
        <v>44466</v>
      </c>
      <c r="E1352" t="str">
        <f>"0155923091221"</f>
        <v>0155923091221</v>
      </c>
      <c r="F1352" t="str">
        <f>"ACCT#8260160170155923"</f>
        <v>ACCT#8260160170155923</v>
      </c>
      <c r="G1352" s="3">
        <v>120.14</v>
      </c>
      <c r="H1352" t="str">
        <f>"ACCT#8260160170155923"</f>
        <v>ACCT#8260160170155923</v>
      </c>
    </row>
    <row r="1353" spans="1:8" x14ac:dyDescent="0.25">
      <c r="E1353" t="str">
        <f>"0164314090921"</f>
        <v>0164314090921</v>
      </c>
      <c r="F1353" t="str">
        <f>"ACCT#826016111016434"</f>
        <v>ACCT#826016111016434</v>
      </c>
      <c r="G1353" s="3">
        <v>668.89</v>
      </c>
      <c r="H1353" t="str">
        <f>"ACCT#826016111016434"</f>
        <v>ACCT#826016111016434</v>
      </c>
    </row>
    <row r="1354" spans="1:8" x14ac:dyDescent="0.25">
      <c r="E1354" t="str">
        <f>"202109205786"</f>
        <v>202109205786</v>
      </c>
      <c r="F1354" t="str">
        <f>"ACCT#8260163000003669"</f>
        <v>ACCT#8260163000003669</v>
      </c>
      <c r="G1354" s="3">
        <v>2912.45</v>
      </c>
      <c r="H1354" t="str">
        <f>"ACCT#8260163000003669"</f>
        <v>ACCT#8260163000003669</v>
      </c>
    </row>
    <row r="1355" spans="1:8" x14ac:dyDescent="0.25">
      <c r="E1355" t="str">
        <f>""</f>
        <v/>
      </c>
      <c r="F1355" t="str">
        <f>""</f>
        <v/>
      </c>
      <c r="G1355" s="3">
        <v>153.72</v>
      </c>
      <c r="H1355" t="str">
        <f>"ACCT#8260163000003669"</f>
        <v>ACCT#8260163000003669</v>
      </c>
    </row>
    <row r="1356" spans="1:8" x14ac:dyDescent="0.25">
      <c r="A1356" t="s">
        <v>348</v>
      </c>
      <c r="B1356">
        <v>136986</v>
      </c>
      <c r="C1356" s="3">
        <v>1512</v>
      </c>
      <c r="D1356" s="4">
        <v>44452</v>
      </c>
      <c r="E1356" t="str">
        <f>"033260"</f>
        <v>033260</v>
      </c>
      <c r="F1356" t="str">
        <f>"CUST#0001725/DRUM LINER"</f>
        <v>CUST#0001725/DRUM LINER</v>
      </c>
      <c r="G1356" s="3">
        <v>1512</v>
      </c>
      <c r="H1356" t="str">
        <f>"CUST#0001725/DRUM LINER"</f>
        <v>CUST#0001725/DRUM LINER</v>
      </c>
    </row>
    <row r="1357" spans="1:8" x14ac:dyDescent="0.25">
      <c r="A1357" t="s">
        <v>349</v>
      </c>
      <c r="B1357">
        <v>137168</v>
      </c>
      <c r="C1357" s="3">
        <v>587.88</v>
      </c>
      <c r="D1357" s="4">
        <v>44466</v>
      </c>
      <c r="E1357" t="str">
        <f>"202109215845"</f>
        <v>202109215845</v>
      </c>
      <c r="F1357" t="str">
        <f>"REIMBURSE/TODD D. DUBOSE"</f>
        <v>REIMBURSE/TODD D. DUBOSE</v>
      </c>
      <c r="G1357" s="3">
        <v>225</v>
      </c>
      <c r="H1357" t="str">
        <f>"REIMBURSE/TODD D. DUBOSE"</f>
        <v>REIMBURSE/TODD D. DUBOSE</v>
      </c>
    </row>
    <row r="1358" spans="1:8" x14ac:dyDescent="0.25">
      <c r="E1358" t="str">
        <f>"202109215846"</f>
        <v>202109215846</v>
      </c>
      <c r="F1358" t="str">
        <f>"TRAVEL/TODD D. DUBOSE"</f>
        <v>TRAVEL/TODD D. DUBOSE</v>
      </c>
      <c r="G1358" s="3">
        <v>362.88</v>
      </c>
      <c r="H1358" t="str">
        <f>"TRAVEL/TODD D. DUBOSE"</f>
        <v>TRAVEL/TODD D. DUBOSE</v>
      </c>
    </row>
    <row r="1359" spans="1:8" x14ac:dyDescent="0.25">
      <c r="A1359" t="s">
        <v>350</v>
      </c>
      <c r="B1359">
        <v>137169</v>
      </c>
      <c r="C1359" s="3">
        <v>225</v>
      </c>
      <c r="D1359" s="4">
        <v>44466</v>
      </c>
      <c r="E1359" t="str">
        <f>"202109215847"</f>
        <v>202109215847</v>
      </c>
      <c r="F1359" t="str">
        <f>"REIMBURSE/TOMIKA NOWLIN"</f>
        <v>REIMBURSE/TOMIKA NOWLIN</v>
      </c>
      <c r="G1359" s="3">
        <v>225</v>
      </c>
      <c r="H1359" t="str">
        <f>"REIMBURSE/TOMIKA NOWLIN"</f>
        <v>REIMBURSE/TOMIKA NOWLIN</v>
      </c>
    </row>
    <row r="1360" spans="1:8" x14ac:dyDescent="0.25">
      <c r="A1360" t="s">
        <v>351</v>
      </c>
      <c r="B1360">
        <v>136987</v>
      </c>
      <c r="C1360" s="3">
        <v>545.6</v>
      </c>
      <c r="D1360" s="4">
        <v>44452</v>
      </c>
      <c r="E1360" t="str">
        <f>"200745021"</f>
        <v>200745021</v>
      </c>
      <c r="F1360" t="str">
        <f>"Tractor Supply"</f>
        <v>Tractor Supply</v>
      </c>
      <c r="G1360" s="3">
        <v>89.97</v>
      </c>
      <c r="H1360" t="str">
        <f>"Inv#200745021"</f>
        <v>Inv#200745021</v>
      </c>
    </row>
    <row r="1361" spans="1:8" x14ac:dyDescent="0.25">
      <c r="E1361" t="str">
        <f>""</f>
        <v/>
      </c>
      <c r="F1361" t="str">
        <f>""</f>
        <v/>
      </c>
      <c r="G1361" s="3">
        <v>11.98</v>
      </c>
      <c r="H1361" t="str">
        <f>"Inv#100720820"</f>
        <v>Inv#100720820</v>
      </c>
    </row>
    <row r="1362" spans="1:8" x14ac:dyDescent="0.25">
      <c r="E1362" t="str">
        <f>""</f>
        <v/>
      </c>
      <c r="F1362" t="str">
        <f>""</f>
        <v/>
      </c>
      <c r="G1362" s="3">
        <v>175.94</v>
      </c>
      <c r="H1362" t="str">
        <f>"Inv#100545998"</f>
        <v>Inv#100545998</v>
      </c>
    </row>
    <row r="1363" spans="1:8" x14ac:dyDescent="0.25">
      <c r="E1363" t="str">
        <f>""</f>
        <v/>
      </c>
      <c r="F1363" t="str">
        <f>""</f>
        <v/>
      </c>
      <c r="G1363" s="3">
        <v>267.70999999999998</v>
      </c>
      <c r="H1363" t="str">
        <f>"Inv#100633230"</f>
        <v>Inv#100633230</v>
      </c>
    </row>
    <row r="1364" spans="1:8" x14ac:dyDescent="0.25">
      <c r="A1364" t="s">
        <v>352</v>
      </c>
      <c r="B1364">
        <v>137170</v>
      </c>
      <c r="C1364" s="3">
        <v>56.76</v>
      </c>
      <c r="D1364" s="4">
        <v>44466</v>
      </c>
      <c r="E1364" t="str">
        <f>"10763053"</f>
        <v>10763053</v>
      </c>
      <c r="F1364" t="str">
        <f>"CUST#79910/GENERAL SVCS"</f>
        <v>CUST#79910/GENERAL SVCS</v>
      </c>
      <c r="G1364" s="3">
        <v>56.76</v>
      </c>
      <c r="H1364" t="str">
        <f>"CUST#79910/GENERAL SVCS"</f>
        <v>CUST#79910/GENERAL SVCS</v>
      </c>
    </row>
    <row r="1365" spans="1:8" x14ac:dyDescent="0.25">
      <c r="A1365" t="s">
        <v>353</v>
      </c>
      <c r="B1365">
        <v>136988</v>
      </c>
      <c r="C1365" s="3">
        <v>220</v>
      </c>
      <c r="D1365" s="4">
        <v>44452</v>
      </c>
      <c r="E1365" t="str">
        <f>"11328 8/12/21"</f>
        <v>11328 8/12/21</v>
      </c>
      <c r="F1365" t="str">
        <f>"SERVICE"</f>
        <v>SERVICE</v>
      </c>
      <c r="G1365" s="3">
        <v>60</v>
      </c>
      <c r="H1365" t="str">
        <f>"SERVICE"</f>
        <v>SERVICE</v>
      </c>
    </row>
    <row r="1366" spans="1:8" x14ac:dyDescent="0.25">
      <c r="E1366" t="str">
        <f>"13754"</f>
        <v>13754</v>
      </c>
      <c r="F1366" t="str">
        <f>"SERVICE"</f>
        <v>SERVICE</v>
      </c>
      <c r="G1366" s="3">
        <v>160</v>
      </c>
      <c r="H1366" t="str">
        <f>"SERVICE"</f>
        <v>SERVICE</v>
      </c>
    </row>
    <row r="1367" spans="1:8" x14ac:dyDescent="0.25">
      <c r="A1367" t="s">
        <v>354</v>
      </c>
      <c r="B1367">
        <v>137171</v>
      </c>
      <c r="C1367" s="3">
        <v>10005</v>
      </c>
      <c r="D1367" s="4">
        <v>44466</v>
      </c>
      <c r="E1367" t="str">
        <f>"3300004997"</f>
        <v>3300004997</v>
      </c>
      <c r="F1367" t="str">
        <f>"AUTOPSY/PCT#3"</f>
        <v>AUTOPSY/PCT#3</v>
      </c>
      <c r="G1367" s="3">
        <v>3335</v>
      </c>
      <c r="H1367" t="str">
        <f>"AUTOPSY/PCT#3"</f>
        <v>AUTOPSY/PCT#3</v>
      </c>
    </row>
    <row r="1368" spans="1:8" x14ac:dyDescent="0.25">
      <c r="E1368" t="str">
        <f>"3300005038"</f>
        <v>3300005038</v>
      </c>
      <c r="F1368" t="str">
        <f>"CUST#100733"</f>
        <v>CUST#100733</v>
      </c>
      <c r="G1368" s="3">
        <v>6670</v>
      </c>
      <c r="H1368" t="str">
        <f>"CUST#100733"</f>
        <v>CUST#100733</v>
      </c>
    </row>
    <row r="1369" spans="1:8" x14ac:dyDescent="0.25">
      <c r="A1369" t="s">
        <v>355</v>
      </c>
      <c r="B1369">
        <v>136989</v>
      </c>
      <c r="C1369" s="3">
        <v>100</v>
      </c>
      <c r="D1369" s="4">
        <v>44452</v>
      </c>
      <c r="E1369" t="str">
        <f>"202109105649"</f>
        <v>202109105649</v>
      </c>
      <c r="F1369" t="str">
        <f>"PETTY CASH FOR TRANSFER STATIO"</f>
        <v>PETTY CASH FOR TRANSFER STATIO</v>
      </c>
      <c r="G1369" s="3">
        <v>100</v>
      </c>
      <c r="H1369" t="str">
        <f>"PETTY CASH FOR TRANSFER STATIO"</f>
        <v>PETTY CASH FOR TRANSFER STATIO</v>
      </c>
    </row>
    <row r="1370" spans="1:8" x14ac:dyDescent="0.25">
      <c r="A1370" t="s">
        <v>356</v>
      </c>
      <c r="B1370">
        <v>5075</v>
      </c>
      <c r="C1370" s="3">
        <v>2225</v>
      </c>
      <c r="D1370" s="4">
        <v>44453</v>
      </c>
      <c r="E1370" t="str">
        <f>"202108265336"</f>
        <v>202108265336</v>
      </c>
      <c r="F1370" t="str">
        <f>"309122019A"</f>
        <v>309122019A</v>
      </c>
      <c r="G1370" s="3">
        <v>400</v>
      </c>
      <c r="H1370" t="str">
        <f>"309122019A"</f>
        <v>309122019A</v>
      </c>
    </row>
    <row r="1371" spans="1:8" x14ac:dyDescent="0.25">
      <c r="E1371" t="str">
        <f>"202108265337"</f>
        <v>202108265337</v>
      </c>
      <c r="F1371" t="str">
        <f>"403282020"</f>
        <v>403282020</v>
      </c>
      <c r="G1371" s="3">
        <v>400</v>
      </c>
      <c r="H1371" t="str">
        <f>"403282020"</f>
        <v>403282020</v>
      </c>
    </row>
    <row r="1372" spans="1:8" x14ac:dyDescent="0.25">
      <c r="E1372" t="str">
        <f>"202108265338"</f>
        <v>202108265338</v>
      </c>
      <c r="F1372" t="str">
        <f>"JP110152020"</f>
        <v>JP110152020</v>
      </c>
      <c r="G1372" s="3">
        <v>400</v>
      </c>
      <c r="H1372" t="str">
        <f>"JP110152020"</f>
        <v>JP110152020</v>
      </c>
    </row>
    <row r="1373" spans="1:8" x14ac:dyDescent="0.25">
      <c r="E1373" t="str">
        <f>"202108265360"</f>
        <v>202108265360</v>
      </c>
      <c r="F1373" t="str">
        <f>"17353"</f>
        <v>17353</v>
      </c>
      <c r="G1373" s="3">
        <v>400</v>
      </c>
      <c r="H1373" t="str">
        <f>"17353"</f>
        <v>17353</v>
      </c>
    </row>
    <row r="1374" spans="1:8" x14ac:dyDescent="0.25">
      <c r="E1374" t="str">
        <f>"202108265361"</f>
        <v>202108265361</v>
      </c>
      <c r="F1374" t="str">
        <f>"4051221-9"</f>
        <v>4051221-9</v>
      </c>
      <c r="G1374" s="3">
        <v>125</v>
      </c>
      <c r="H1374" t="str">
        <f>"4051221-9"</f>
        <v>4051221-9</v>
      </c>
    </row>
    <row r="1375" spans="1:8" x14ac:dyDescent="0.25">
      <c r="E1375" t="str">
        <f>"202108265362"</f>
        <v>202108265362</v>
      </c>
      <c r="F1375" t="str">
        <f>"1872-335"</f>
        <v>1872-335</v>
      </c>
      <c r="G1375" s="3">
        <v>250</v>
      </c>
      <c r="H1375" t="str">
        <f>"1872-335"</f>
        <v>1872-335</v>
      </c>
    </row>
    <row r="1376" spans="1:8" x14ac:dyDescent="0.25">
      <c r="E1376" t="str">
        <f>"202108315406"</f>
        <v>202108315406</v>
      </c>
      <c r="F1376" t="str">
        <f>"1884-21  423-8050"</f>
        <v>1884-21  423-8050</v>
      </c>
      <c r="G1376" s="3">
        <v>250</v>
      </c>
      <c r="H1376" t="str">
        <f>"1884-21  423-8050"</f>
        <v>1884-21  423-8050</v>
      </c>
    </row>
    <row r="1377" spans="1:8" x14ac:dyDescent="0.25">
      <c r="A1377" t="s">
        <v>356</v>
      </c>
      <c r="B1377">
        <v>5165</v>
      </c>
      <c r="C1377" s="3">
        <v>1500</v>
      </c>
      <c r="D1377" s="4">
        <v>44467</v>
      </c>
      <c r="E1377" t="str">
        <f>"202109155694"</f>
        <v>202109155694</v>
      </c>
      <c r="F1377" t="str">
        <f>"17-370"</f>
        <v>17-370</v>
      </c>
      <c r="G1377" s="3">
        <v>400</v>
      </c>
      <c r="H1377" t="str">
        <f>"17-370"</f>
        <v>17-370</v>
      </c>
    </row>
    <row r="1378" spans="1:8" x14ac:dyDescent="0.25">
      <c r="E1378" t="str">
        <f>"202109155708"</f>
        <v>202109155708</v>
      </c>
      <c r="F1378" t="str">
        <f>"57-416"</f>
        <v>57-416</v>
      </c>
      <c r="G1378" s="3">
        <v>250</v>
      </c>
      <c r="H1378" t="str">
        <f>"57-416"</f>
        <v>57-416</v>
      </c>
    </row>
    <row r="1379" spans="1:8" x14ac:dyDescent="0.25">
      <c r="E1379" t="str">
        <f>"202109155709"</f>
        <v>202109155709</v>
      </c>
      <c r="F1379" t="str">
        <f>"57-721"</f>
        <v>57-721</v>
      </c>
      <c r="G1379" s="3">
        <v>250</v>
      </c>
      <c r="H1379" t="str">
        <f>"57-721"</f>
        <v>57-721</v>
      </c>
    </row>
    <row r="1380" spans="1:8" x14ac:dyDescent="0.25">
      <c r="E1380" t="str">
        <f>"202109155710"</f>
        <v>202109155710</v>
      </c>
      <c r="F1380" t="str">
        <f>"57-750"</f>
        <v>57-750</v>
      </c>
      <c r="G1380" s="3">
        <v>250</v>
      </c>
      <c r="H1380" t="str">
        <f>"57-750"</f>
        <v>57-750</v>
      </c>
    </row>
    <row r="1381" spans="1:8" x14ac:dyDescent="0.25">
      <c r="E1381" t="str">
        <f>"202109155711"</f>
        <v>202109155711</v>
      </c>
      <c r="F1381" t="str">
        <f>"57-031"</f>
        <v>57-031</v>
      </c>
      <c r="G1381" s="3">
        <v>250</v>
      </c>
      <c r="H1381" t="str">
        <f>"57-031"</f>
        <v>57-031</v>
      </c>
    </row>
    <row r="1382" spans="1:8" x14ac:dyDescent="0.25">
      <c r="E1382" t="str">
        <f>"202109215885"</f>
        <v>202109215885</v>
      </c>
      <c r="F1382" t="str">
        <f>"JP44041721-12  JP44041721-13"</f>
        <v>JP44041721-12  JP44041721-13</v>
      </c>
      <c r="G1382" s="3">
        <v>100</v>
      </c>
      <c r="H1382" t="str">
        <f>"JP44041721-12  JP44041721-13"</f>
        <v>JP44041721-12  JP44041721-13</v>
      </c>
    </row>
    <row r="1383" spans="1:8" x14ac:dyDescent="0.25">
      <c r="A1383" t="s">
        <v>357</v>
      </c>
      <c r="B1383">
        <v>5008</v>
      </c>
      <c r="C1383" s="3">
        <v>201</v>
      </c>
      <c r="D1383" s="4">
        <v>44453</v>
      </c>
      <c r="E1383" t="str">
        <f>"202109085630"</f>
        <v>202109085630</v>
      </c>
      <c r="F1383" t="str">
        <f>"ACCT#33036/ANIMAL SHELTER"</f>
        <v>ACCT#33036/ANIMAL SHELTER</v>
      </c>
      <c r="G1383" s="3">
        <v>127</v>
      </c>
      <c r="H1383" t="str">
        <f>"ACCT#33036/ANIMAL SHELTER"</f>
        <v>ACCT#33036/ANIMAL SHELTER</v>
      </c>
    </row>
    <row r="1384" spans="1:8" x14ac:dyDescent="0.25">
      <c r="E1384" t="str">
        <f>"202109085631"</f>
        <v>202109085631</v>
      </c>
      <c r="F1384" t="str">
        <f>"ACCT#33036/ANIMAL SHELTER"</f>
        <v>ACCT#33036/ANIMAL SHELTER</v>
      </c>
      <c r="G1384" s="3">
        <v>37</v>
      </c>
      <c r="H1384" t="str">
        <f>"ACCT#33036/ANIMAL SHELTER"</f>
        <v>ACCT#33036/ANIMAL SHELTER</v>
      </c>
    </row>
    <row r="1385" spans="1:8" x14ac:dyDescent="0.25">
      <c r="E1385" t="str">
        <f>"202109085632"</f>
        <v>202109085632</v>
      </c>
      <c r="F1385" t="str">
        <f>"ACCT#33036/ANIMAL SHELTER"</f>
        <v>ACCT#33036/ANIMAL SHELTER</v>
      </c>
      <c r="G1385" s="3">
        <v>37</v>
      </c>
      <c r="H1385" t="str">
        <f>"ACCT#33036/ANIMAL SHELTER"</f>
        <v>ACCT#33036/ANIMAL SHELTER</v>
      </c>
    </row>
    <row r="1386" spans="1:8" x14ac:dyDescent="0.25">
      <c r="A1386" t="s">
        <v>357</v>
      </c>
      <c r="B1386">
        <v>5103</v>
      </c>
      <c r="C1386" s="3">
        <v>67</v>
      </c>
      <c r="D1386" s="4">
        <v>44467</v>
      </c>
      <c r="E1386" t="str">
        <f>"21256-0302"</f>
        <v>21256-0302</v>
      </c>
      <c r="F1386" t="str">
        <f>"ACCT#33036/ANIMAL SHELTER"</f>
        <v>ACCT#33036/ANIMAL SHELTER</v>
      </c>
      <c r="G1386" s="3">
        <v>67</v>
      </c>
      <c r="H1386" t="str">
        <f>"ACCT#33036/ANIMAL SHELTER"</f>
        <v>ACCT#33036/ANIMAL SHELTER</v>
      </c>
    </row>
    <row r="1387" spans="1:8" x14ac:dyDescent="0.25">
      <c r="A1387" t="s">
        <v>358</v>
      </c>
      <c r="B1387">
        <v>136990</v>
      </c>
      <c r="C1387" s="3">
        <v>119496.65</v>
      </c>
      <c r="D1387" s="4">
        <v>44452</v>
      </c>
      <c r="E1387" t="str">
        <f>"020-130574"</f>
        <v>020-130574</v>
      </c>
      <c r="F1387" t="str">
        <f>"ORDER#101860"</f>
        <v>ORDER#101860</v>
      </c>
      <c r="G1387" s="3">
        <v>37002.080000000002</v>
      </c>
      <c r="H1387" t="str">
        <f>"ORDER#101860"</f>
        <v>ORDER#101860</v>
      </c>
    </row>
    <row r="1388" spans="1:8" x14ac:dyDescent="0.25">
      <c r="E1388" t="str">
        <f>"020-130684"</f>
        <v>020-130684</v>
      </c>
      <c r="F1388" t="str">
        <f>"ORDER#101256"</f>
        <v>ORDER#101256</v>
      </c>
      <c r="G1388" s="3">
        <v>175</v>
      </c>
      <c r="H1388" t="str">
        <f>"ORDER#101256"</f>
        <v>ORDER#101256</v>
      </c>
    </row>
    <row r="1389" spans="1:8" x14ac:dyDescent="0.25">
      <c r="E1389" t="str">
        <f>"025-345552"</f>
        <v>025-345552</v>
      </c>
      <c r="F1389" t="str">
        <f>"CUST#42161/OCT 21- SEPT 22"</f>
        <v>CUST#42161/OCT 21- SEPT 22</v>
      </c>
      <c r="G1389" s="3">
        <v>56223.199999999997</v>
      </c>
      <c r="H1389" t="str">
        <f>"CUST#42161/OCT 21- SEPT 22"</f>
        <v>CUST#42161/OCT 21- SEPT 22</v>
      </c>
    </row>
    <row r="1390" spans="1:8" x14ac:dyDescent="0.25">
      <c r="E1390" t="str">
        <f>"130-122746"</f>
        <v>130-122746</v>
      </c>
      <c r="F1390" t="str">
        <f>"CUST#42161-11814/ORD#16085"</f>
        <v>CUST#42161-11814/ORD#16085</v>
      </c>
      <c r="G1390" s="3">
        <v>26096.37</v>
      </c>
      <c r="H1390" t="str">
        <f>"CUST#42161-11814/ORD#16085"</f>
        <v>CUST#42161-11814/ORD#16085</v>
      </c>
    </row>
    <row r="1391" spans="1:8" x14ac:dyDescent="0.25">
      <c r="A1391" t="s">
        <v>359</v>
      </c>
      <c r="B1391">
        <v>5068</v>
      </c>
      <c r="C1391" s="3">
        <v>2101.27</v>
      </c>
      <c r="D1391" s="4">
        <v>44453</v>
      </c>
      <c r="E1391" t="str">
        <f>"80618537"</f>
        <v>80618537</v>
      </c>
      <c r="F1391" t="str">
        <f>"INV 80618537-00"</f>
        <v>INV 80618537-00</v>
      </c>
      <c r="G1391" s="3">
        <v>2101.27</v>
      </c>
      <c r="H1391" t="str">
        <f>"INV 80618537-00"</f>
        <v>INV 80618537-00</v>
      </c>
    </row>
    <row r="1392" spans="1:8" x14ac:dyDescent="0.25">
      <c r="A1392" t="s">
        <v>360</v>
      </c>
      <c r="B1392">
        <v>136991</v>
      </c>
      <c r="C1392" s="3">
        <v>40131.81</v>
      </c>
      <c r="D1392" s="4">
        <v>44452</v>
      </c>
      <c r="E1392" t="str">
        <f>"202109085615"</f>
        <v>202109085615</v>
      </c>
      <c r="F1392" t="str">
        <f>"JAIL MEDICAL"</f>
        <v>JAIL MEDICAL</v>
      </c>
      <c r="G1392" s="3">
        <v>40131.81</v>
      </c>
      <c r="H1392" t="str">
        <f>"JAIL MEDICAL"</f>
        <v>JAIL MEDICAL</v>
      </c>
    </row>
    <row r="1393" spans="1:8" x14ac:dyDescent="0.25">
      <c r="A1393" t="s">
        <v>361</v>
      </c>
      <c r="B1393">
        <v>136992</v>
      </c>
      <c r="C1393" s="3">
        <v>575</v>
      </c>
      <c r="D1393" s="4">
        <v>44452</v>
      </c>
      <c r="E1393" t="str">
        <f>"202109065532"</f>
        <v>202109065532</v>
      </c>
      <c r="F1393" t="str">
        <f>"Class"</f>
        <v>Class</v>
      </c>
      <c r="G1393" s="3">
        <v>575</v>
      </c>
      <c r="H1393" t="str">
        <f>"Day 1-3"</f>
        <v>Day 1-3</v>
      </c>
    </row>
    <row r="1394" spans="1:8" x14ac:dyDescent="0.25">
      <c r="A1394" t="s">
        <v>362</v>
      </c>
      <c r="B1394">
        <v>136993</v>
      </c>
      <c r="C1394" s="3">
        <v>628.75</v>
      </c>
      <c r="D1394" s="4">
        <v>44452</v>
      </c>
      <c r="E1394" t="str">
        <f>"202109065531"</f>
        <v>202109065531</v>
      </c>
      <c r="F1394" t="str">
        <f>"VeriTrace"</f>
        <v>VeriTrace</v>
      </c>
      <c r="G1394" s="3">
        <v>430</v>
      </c>
      <c r="H1394" t="str">
        <f>"B6 Certificate Paper"</f>
        <v>B6 Certificate Paper</v>
      </c>
    </row>
    <row r="1395" spans="1:8" x14ac:dyDescent="0.25">
      <c r="E1395" t="str">
        <f>""</f>
        <v/>
      </c>
      <c r="F1395" t="str">
        <f>""</f>
        <v/>
      </c>
      <c r="G1395" s="3">
        <v>198.75</v>
      </c>
      <c r="H1395" t="str">
        <f>"Set-Up fee"</f>
        <v>Set-Up fee</v>
      </c>
    </row>
    <row r="1396" spans="1:8" x14ac:dyDescent="0.25">
      <c r="A1396" t="s">
        <v>363</v>
      </c>
      <c r="B1396">
        <v>136994</v>
      </c>
      <c r="C1396" s="3">
        <v>283</v>
      </c>
      <c r="D1396" s="4">
        <v>44452</v>
      </c>
      <c r="E1396" t="str">
        <f>"0212430-IN"</f>
        <v>0212430-IN</v>
      </c>
      <c r="F1396" t="str">
        <f>"ORD#0189944/ANIMAL SHELTER"</f>
        <v>ORD#0189944/ANIMAL SHELTER</v>
      </c>
      <c r="G1396" s="3">
        <v>283</v>
      </c>
      <c r="H1396" t="str">
        <f>"ORD#0189944/ANIMAL SHELTER"</f>
        <v>ORD#0189944/ANIMAL SHELTER</v>
      </c>
    </row>
    <row r="1397" spans="1:8" x14ac:dyDescent="0.25">
      <c r="A1397" t="s">
        <v>364</v>
      </c>
      <c r="B1397">
        <v>137172</v>
      </c>
      <c r="C1397" s="3">
        <v>1625.04</v>
      </c>
      <c r="D1397" s="4">
        <v>44466</v>
      </c>
      <c r="E1397" t="str">
        <f>"49154"</f>
        <v>49154</v>
      </c>
      <c r="F1397" t="str">
        <f>"INV 49154  49304  49265"</f>
        <v>INV 49154  49304  49265</v>
      </c>
      <c r="G1397" s="3">
        <v>1257.8399999999999</v>
      </c>
      <c r="H1397" t="str">
        <f>"INV 49154"</f>
        <v>INV 49154</v>
      </c>
    </row>
    <row r="1398" spans="1:8" x14ac:dyDescent="0.25">
      <c r="E1398" t="str">
        <f>""</f>
        <v/>
      </c>
      <c r="F1398" t="str">
        <f>""</f>
        <v/>
      </c>
      <c r="G1398" s="3">
        <v>152.4</v>
      </c>
      <c r="H1398" t="str">
        <f>"INV 49304"</f>
        <v>INV 49304</v>
      </c>
    </row>
    <row r="1399" spans="1:8" x14ac:dyDescent="0.25">
      <c r="E1399" t="str">
        <f>""</f>
        <v/>
      </c>
      <c r="F1399" t="str">
        <f>""</f>
        <v/>
      </c>
      <c r="G1399" s="3">
        <v>214.8</v>
      </c>
      <c r="H1399" t="str">
        <f>"INV 49265"</f>
        <v>INV 49265</v>
      </c>
    </row>
    <row r="1400" spans="1:8" x14ac:dyDescent="0.25">
      <c r="A1400" t="s">
        <v>365</v>
      </c>
      <c r="B1400">
        <v>137173</v>
      </c>
      <c r="C1400" s="3">
        <v>400.77</v>
      </c>
      <c r="D1400" s="4">
        <v>44466</v>
      </c>
      <c r="E1400" t="str">
        <f>"2014278"</f>
        <v>2014278</v>
      </c>
      <c r="F1400" t="str">
        <f>"ACCT#17460002268-003/REMOTE AC"</f>
        <v>ACCT#17460002268-003/REMOTE AC</v>
      </c>
      <c r="G1400" s="3">
        <v>400.77</v>
      </c>
      <c r="H1400" t="str">
        <f>"ACCT#17460002268-003/REMOTE AC"</f>
        <v>ACCT#17460002268-003/REMOTE AC</v>
      </c>
    </row>
    <row r="1401" spans="1:8" x14ac:dyDescent="0.25">
      <c r="A1401" t="s">
        <v>366</v>
      </c>
      <c r="B1401">
        <v>137174</v>
      </c>
      <c r="C1401" s="3">
        <v>39872.239999999998</v>
      </c>
      <c r="D1401" s="4">
        <v>44466</v>
      </c>
      <c r="E1401" t="str">
        <f>"13574"</f>
        <v>13574</v>
      </c>
      <c r="F1401" t="str">
        <f>"VOTESAFE SUPPORT/10/01-09/30"</f>
        <v>VOTESAFE SUPPORT/10/01-09/30</v>
      </c>
      <c r="G1401" s="3">
        <v>7920</v>
      </c>
      <c r="H1401" t="str">
        <f>"VOTESAFE SUPPORT/10/01-09/30"</f>
        <v>VOTESAFE SUPPORT/10/01-09/30</v>
      </c>
    </row>
    <row r="1402" spans="1:8" x14ac:dyDescent="0.25">
      <c r="E1402" t="str">
        <f>"13575"</f>
        <v>13575</v>
      </c>
      <c r="F1402" t="str">
        <f>"MBAP/ELECTIONS"</f>
        <v>MBAP/ELECTIONS</v>
      </c>
      <c r="G1402" s="3">
        <v>1000</v>
      </c>
      <c r="H1402" t="str">
        <f>"MBAP/ELECTIONS"</f>
        <v>MBAP/ELECTIONS</v>
      </c>
    </row>
    <row r="1403" spans="1:8" x14ac:dyDescent="0.25">
      <c r="E1403" t="str">
        <f>"13576"</f>
        <v>13576</v>
      </c>
      <c r="F1403" t="str">
        <f>"VEMACS SUPPORT/ELECTIONS"</f>
        <v>VEMACS SUPPORT/ELECTIONS</v>
      </c>
      <c r="G1403" s="3">
        <v>30952.240000000002</v>
      </c>
      <c r="H1403" t="str">
        <f>"VEMACS SUPPORT/ELECTIONS"</f>
        <v>VEMACS SUPPORT/ELECTIONS</v>
      </c>
    </row>
    <row r="1404" spans="1:8" x14ac:dyDescent="0.25">
      <c r="A1404" t="s">
        <v>367</v>
      </c>
      <c r="B1404">
        <v>5036</v>
      </c>
      <c r="C1404" s="3">
        <v>56557.38</v>
      </c>
      <c r="D1404" s="4">
        <v>44453</v>
      </c>
      <c r="E1404" t="str">
        <f>"202109075584"</f>
        <v>202109075584</v>
      </c>
      <c r="F1404" t="str">
        <f>"Statement"</f>
        <v>Statement</v>
      </c>
      <c r="G1404" s="3">
        <v>42.89</v>
      </c>
      <c r="H1404" t="str">
        <f>"fuel"</f>
        <v>fuel</v>
      </c>
    </row>
    <row r="1405" spans="1:8" x14ac:dyDescent="0.25">
      <c r="E1405" t="str">
        <f>""</f>
        <v/>
      </c>
      <c r="F1405" t="str">
        <f>""</f>
        <v/>
      </c>
      <c r="G1405" s="3">
        <v>-2.97</v>
      </c>
      <c r="H1405" t="str">
        <f>"tax"</f>
        <v>tax</v>
      </c>
    </row>
    <row r="1406" spans="1:8" x14ac:dyDescent="0.25">
      <c r="E1406" t="str">
        <f>""</f>
        <v/>
      </c>
      <c r="F1406" t="str">
        <f>""</f>
        <v/>
      </c>
      <c r="G1406" s="3">
        <v>59.65</v>
      </c>
      <c r="H1406" t="str">
        <f>"fuel"</f>
        <v>fuel</v>
      </c>
    </row>
    <row r="1407" spans="1:8" x14ac:dyDescent="0.25">
      <c r="E1407" t="str">
        <f>""</f>
        <v/>
      </c>
      <c r="F1407" t="str">
        <f>""</f>
        <v/>
      </c>
      <c r="G1407" s="3">
        <v>-4.09</v>
      </c>
      <c r="H1407" t="str">
        <f>"tax"</f>
        <v>tax</v>
      </c>
    </row>
    <row r="1408" spans="1:8" x14ac:dyDescent="0.25">
      <c r="E1408" t="str">
        <f>""</f>
        <v/>
      </c>
      <c r="F1408" t="str">
        <f>""</f>
        <v/>
      </c>
      <c r="G1408" s="3">
        <v>2474.59</v>
      </c>
      <c r="H1408" t="str">
        <f>"fuel"</f>
        <v>fuel</v>
      </c>
    </row>
    <row r="1409" spans="5:8" x14ac:dyDescent="0.25">
      <c r="E1409" t="str">
        <f>""</f>
        <v/>
      </c>
      <c r="F1409" t="str">
        <f>""</f>
        <v/>
      </c>
      <c r="G1409" s="3">
        <v>-171.05</v>
      </c>
      <c r="H1409" t="str">
        <f>"tax"</f>
        <v>tax</v>
      </c>
    </row>
    <row r="1410" spans="5:8" x14ac:dyDescent="0.25">
      <c r="E1410" t="str">
        <f>""</f>
        <v/>
      </c>
      <c r="F1410" t="str">
        <f>""</f>
        <v/>
      </c>
      <c r="G1410" s="3">
        <v>29</v>
      </c>
      <c r="H1410" t="str">
        <f>"mainteanace"</f>
        <v>mainteanace</v>
      </c>
    </row>
    <row r="1411" spans="5:8" x14ac:dyDescent="0.25">
      <c r="E1411" t="str">
        <f>""</f>
        <v/>
      </c>
      <c r="F1411" t="str">
        <f>""</f>
        <v/>
      </c>
      <c r="G1411" s="3">
        <v>2660.7</v>
      </c>
      <c r="H1411" t="str">
        <f>"fuel"</f>
        <v>fuel</v>
      </c>
    </row>
    <row r="1412" spans="5:8" x14ac:dyDescent="0.25">
      <c r="E1412" t="str">
        <f>""</f>
        <v/>
      </c>
      <c r="F1412" t="str">
        <f>""</f>
        <v/>
      </c>
      <c r="G1412" s="3">
        <v>-174.58</v>
      </c>
      <c r="H1412" t="str">
        <f>"tax"</f>
        <v>tax</v>
      </c>
    </row>
    <row r="1413" spans="5:8" x14ac:dyDescent="0.25">
      <c r="E1413" t="str">
        <f>""</f>
        <v/>
      </c>
      <c r="F1413" t="str">
        <f>""</f>
        <v/>
      </c>
      <c r="G1413" s="3">
        <v>280.82</v>
      </c>
      <c r="H1413" t="str">
        <f>"maintenance"</f>
        <v>maintenance</v>
      </c>
    </row>
    <row r="1414" spans="5:8" x14ac:dyDescent="0.25">
      <c r="E1414" t="str">
        <f>""</f>
        <v/>
      </c>
      <c r="F1414" t="str">
        <f>""</f>
        <v/>
      </c>
      <c r="G1414" s="3">
        <v>34664.79</v>
      </c>
      <c r="H1414" t="str">
        <f>"fuel"</f>
        <v>fuel</v>
      </c>
    </row>
    <row r="1415" spans="5:8" x14ac:dyDescent="0.25">
      <c r="E1415" t="str">
        <f>""</f>
        <v/>
      </c>
      <c r="F1415" t="str">
        <f>""</f>
        <v/>
      </c>
      <c r="G1415" s="3">
        <v>-2414.0100000000002</v>
      </c>
      <c r="H1415" t="str">
        <f>"tax"</f>
        <v>tax</v>
      </c>
    </row>
    <row r="1416" spans="5:8" x14ac:dyDescent="0.25">
      <c r="E1416" t="str">
        <f>""</f>
        <v/>
      </c>
      <c r="F1416" t="str">
        <f>""</f>
        <v/>
      </c>
      <c r="G1416" s="3">
        <v>11454.73</v>
      </c>
      <c r="H1416" t="str">
        <f>"maintenance"</f>
        <v>maintenance</v>
      </c>
    </row>
    <row r="1417" spans="5:8" x14ac:dyDescent="0.25">
      <c r="E1417" t="str">
        <f>""</f>
        <v/>
      </c>
      <c r="F1417" t="str">
        <f>""</f>
        <v/>
      </c>
      <c r="G1417" s="3">
        <v>1589.1</v>
      </c>
      <c r="H1417" t="str">
        <f>"fuel"</f>
        <v>fuel</v>
      </c>
    </row>
    <row r="1418" spans="5:8" x14ac:dyDescent="0.25">
      <c r="E1418" t="str">
        <f>""</f>
        <v/>
      </c>
      <c r="F1418" t="str">
        <f>""</f>
        <v/>
      </c>
      <c r="G1418" s="3">
        <v>142</v>
      </c>
      <c r="H1418" t="str">
        <f>"maintenance"</f>
        <v>maintenance</v>
      </c>
    </row>
    <row r="1419" spans="5:8" x14ac:dyDescent="0.25">
      <c r="E1419" t="str">
        <f>""</f>
        <v/>
      </c>
      <c r="F1419" t="str">
        <f>""</f>
        <v/>
      </c>
      <c r="G1419" s="3">
        <v>1375.96</v>
      </c>
      <c r="H1419" t="str">
        <f>"fuel"</f>
        <v>fuel</v>
      </c>
    </row>
    <row r="1420" spans="5:8" x14ac:dyDescent="0.25">
      <c r="E1420" t="str">
        <f>""</f>
        <v/>
      </c>
      <c r="F1420" t="str">
        <f>""</f>
        <v/>
      </c>
      <c r="G1420" s="3">
        <v>-91.08</v>
      </c>
      <c r="H1420" t="str">
        <f>"tax"</f>
        <v>tax</v>
      </c>
    </row>
    <row r="1421" spans="5:8" x14ac:dyDescent="0.25">
      <c r="E1421" t="str">
        <f>""</f>
        <v/>
      </c>
      <c r="F1421" t="str">
        <f>""</f>
        <v/>
      </c>
      <c r="G1421" s="3">
        <v>802.36</v>
      </c>
      <c r="H1421" t="str">
        <f>"maintenance"</f>
        <v>maintenance</v>
      </c>
    </row>
    <row r="1422" spans="5:8" x14ac:dyDescent="0.25">
      <c r="E1422" t="str">
        <f>""</f>
        <v/>
      </c>
      <c r="F1422" t="str">
        <f>""</f>
        <v/>
      </c>
      <c r="G1422" s="3">
        <v>2237.11</v>
      </c>
      <c r="H1422" t="str">
        <f>"fuel"</f>
        <v>fuel</v>
      </c>
    </row>
    <row r="1423" spans="5:8" x14ac:dyDescent="0.25">
      <c r="E1423" t="str">
        <f>""</f>
        <v/>
      </c>
      <c r="F1423" t="str">
        <f>""</f>
        <v/>
      </c>
      <c r="G1423" s="3">
        <v>-178.49</v>
      </c>
      <c r="H1423" t="str">
        <f>"tax"</f>
        <v>tax</v>
      </c>
    </row>
    <row r="1424" spans="5:8" x14ac:dyDescent="0.25">
      <c r="E1424" t="str">
        <f>""</f>
        <v/>
      </c>
      <c r="F1424" t="str">
        <f>""</f>
        <v/>
      </c>
      <c r="G1424" s="3">
        <v>130</v>
      </c>
      <c r="H1424" t="str">
        <f>"maintenance"</f>
        <v>maintenance</v>
      </c>
    </row>
    <row r="1425" spans="1:8" x14ac:dyDescent="0.25">
      <c r="E1425" t="str">
        <f>""</f>
        <v/>
      </c>
      <c r="F1425" t="str">
        <f>""</f>
        <v/>
      </c>
      <c r="G1425" s="3">
        <v>56.64</v>
      </c>
      <c r="H1425" t="str">
        <f>"fuel"</f>
        <v>fuel</v>
      </c>
    </row>
    <row r="1426" spans="1:8" x14ac:dyDescent="0.25">
      <c r="E1426" t="str">
        <f>""</f>
        <v/>
      </c>
      <c r="F1426" t="str">
        <f>""</f>
        <v/>
      </c>
      <c r="G1426" s="3">
        <v>-3.77</v>
      </c>
      <c r="H1426" t="str">
        <f>"tax"</f>
        <v>tax</v>
      </c>
    </row>
    <row r="1427" spans="1:8" x14ac:dyDescent="0.25">
      <c r="E1427" t="str">
        <f>""</f>
        <v/>
      </c>
      <c r="F1427" t="str">
        <f>""</f>
        <v/>
      </c>
      <c r="G1427" s="3">
        <v>145</v>
      </c>
      <c r="H1427" t="str">
        <f>"maintenance"</f>
        <v>maintenance</v>
      </c>
    </row>
    <row r="1428" spans="1:8" x14ac:dyDescent="0.25">
      <c r="E1428" t="str">
        <f>""</f>
        <v/>
      </c>
      <c r="F1428" t="str">
        <f>""</f>
        <v/>
      </c>
      <c r="G1428" s="3">
        <v>176.36</v>
      </c>
      <c r="H1428" t="str">
        <f>"fuel"</f>
        <v>fuel</v>
      </c>
    </row>
    <row r="1429" spans="1:8" x14ac:dyDescent="0.25">
      <c r="E1429" t="str">
        <f>""</f>
        <v/>
      </c>
      <c r="F1429" t="str">
        <f>""</f>
        <v/>
      </c>
      <c r="G1429" s="3">
        <v>-11.76</v>
      </c>
      <c r="H1429" t="str">
        <f>"tax"</f>
        <v>tax</v>
      </c>
    </row>
    <row r="1430" spans="1:8" x14ac:dyDescent="0.25">
      <c r="E1430" t="str">
        <f>""</f>
        <v/>
      </c>
      <c r="F1430" t="str">
        <f>""</f>
        <v/>
      </c>
      <c r="G1430" s="3">
        <v>1280.48</v>
      </c>
      <c r="H1430" t="str">
        <f>"maintenance"</f>
        <v>maintenance</v>
      </c>
    </row>
    <row r="1431" spans="1:8" x14ac:dyDescent="0.25">
      <c r="E1431" t="str">
        <f>""</f>
        <v/>
      </c>
      <c r="F1431" t="str">
        <f>""</f>
        <v/>
      </c>
      <c r="G1431" s="3">
        <v>7</v>
      </c>
      <c r="H1431" t="str">
        <f>"maintenance"</f>
        <v>maintenance</v>
      </c>
    </row>
    <row r="1432" spans="1:8" x14ac:dyDescent="0.25">
      <c r="A1432" t="s">
        <v>368</v>
      </c>
      <c r="B1432">
        <v>136995</v>
      </c>
      <c r="C1432" s="3">
        <v>90</v>
      </c>
      <c r="D1432" s="4">
        <v>44452</v>
      </c>
      <c r="E1432" t="str">
        <f>"10447956"</f>
        <v>10447956</v>
      </c>
      <c r="F1432" t="str">
        <f>"ACCT#00010699-4"</f>
        <v>ACCT#00010699-4</v>
      </c>
      <c r="G1432" s="3">
        <v>90</v>
      </c>
      <c r="H1432" t="str">
        <f>"ACCT#00010699-4"</f>
        <v>ACCT#00010699-4</v>
      </c>
    </row>
    <row r="1433" spans="1:8" x14ac:dyDescent="0.25">
      <c r="A1433" t="s">
        <v>369</v>
      </c>
      <c r="B1433">
        <v>5158</v>
      </c>
      <c r="C1433" s="3">
        <v>126.4</v>
      </c>
      <c r="D1433" s="4">
        <v>44467</v>
      </c>
      <c r="E1433" t="str">
        <f>"SCAUS0068406"</f>
        <v>SCAUS0068406</v>
      </c>
      <c r="F1433" t="str">
        <f>"CUST#BASPR3/PCT#3"</f>
        <v>CUST#BASPR3/PCT#3</v>
      </c>
      <c r="G1433" s="3">
        <v>126.4</v>
      </c>
      <c r="H1433" t="str">
        <f>"CUST#BASPR3/PCT#3"</f>
        <v>CUST#BASPR3/PCT#3</v>
      </c>
    </row>
    <row r="1434" spans="1:8" x14ac:dyDescent="0.25">
      <c r="A1434" t="s">
        <v>370</v>
      </c>
      <c r="B1434">
        <v>136841</v>
      </c>
      <c r="C1434" s="3">
        <v>12918.75</v>
      </c>
      <c r="D1434" s="4">
        <v>44441</v>
      </c>
      <c r="E1434" t="str">
        <f>"11354830"</f>
        <v>11354830</v>
      </c>
      <c r="F1434" t="str">
        <f>"ACCT#5150-005117630/09012021"</f>
        <v>ACCT#5150-005117630/09012021</v>
      </c>
      <c r="G1434" s="3">
        <v>262.81</v>
      </c>
      <c r="H1434" t="str">
        <f>"ACCT#5150-005117630/09012021"</f>
        <v>ACCT#5150-005117630/09012021</v>
      </c>
    </row>
    <row r="1435" spans="1:8" x14ac:dyDescent="0.25">
      <c r="E1435" t="str">
        <f>"11354837"</f>
        <v>11354837</v>
      </c>
      <c r="F1435" t="str">
        <f>"ACCT#5150-005117766/09012021"</f>
        <v>ACCT#5150-005117766/09012021</v>
      </c>
      <c r="G1435" s="3">
        <v>115.36</v>
      </c>
      <c r="H1435" t="str">
        <f t="shared" ref="H1435:H1441" si="20">"WASTE CONNECTIONS LONE STAR. I"</f>
        <v>WASTE CONNECTIONS LONE STAR. I</v>
      </c>
    </row>
    <row r="1436" spans="1:8" x14ac:dyDescent="0.25">
      <c r="E1436" t="str">
        <f>"11354841"</f>
        <v>11354841</v>
      </c>
      <c r="F1436" t="str">
        <f>"ACCT#5150-005117838/09012021"</f>
        <v>ACCT#5150-005117838/09012021</v>
      </c>
      <c r="G1436" s="3">
        <v>106.76</v>
      </c>
      <c r="H1436" t="str">
        <f t="shared" si="20"/>
        <v>WASTE CONNECTIONS LONE STAR. I</v>
      </c>
    </row>
    <row r="1437" spans="1:8" x14ac:dyDescent="0.25">
      <c r="E1437" t="str">
        <f>"11354843"</f>
        <v>11354843</v>
      </c>
      <c r="F1437" t="str">
        <f>"ACCT#5150-005117882/09012021"</f>
        <v>ACCT#5150-005117882/09012021</v>
      </c>
      <c r="G1437" s="3">
        <v>144.19</v>
      </c>
      <c r="H1437" t="str">
        <f t="shared" si="20"/>
        <v>WASTE CONNECTIONS LONE STAR. I</v>
      </c>
    </row>
    <row r="1438" spans="1:8" x14ac:dyDescent="0.25">
      <c r="E1438" t="str">
        <f>"11354851"</f>
        <v>11354851</v>
      </c>
      <c r="F1438" t="str">
        <f>"ACCT#5150-005118183/09012021"</f>
        <v>ACCT#5150-005118183/09012021</v>
      </c>
      <c r="G1438" s="3">
        <v>618.96</v>
      </c>
      <c r="H1438" t="str">
        <f t="shared" si="20"/>
        <v>WASTE CONNECTIONS LONE STAR. I</v>
      </c>
    </row>
    <row r="1439" spans="1:8" x14ac:dyDescent="0.25">
      <c r="E1439" t="str">
        <f>"11354880"</f>
        <v>11354880</v>
      </c>
      <c r="F1439" t="str">
        <f>"ACCT#5150-005129483/09012021"</f>
        <v>ACCT#5150-005129483/09012021</v>
      </c>
      <c r="G1439" s="3">
        <v>11558.3</v>
      </c>
      <c r="H1439" t="str">
        <f t="shared" si="20"/>
        <v>WASTE CONNECTIONS LONE STAR. I</v>
      </c>
    </row>
    <row r="1440" spans="1:8" x14ac:dyDescent="0.25">
      <c r="E1440" t="str">
        <f>"11358914"</f>
        <v>11358914</v>
      </c>
      <c r="F1440" t="str">
        <f>"ACCT#5150-16203415/09012021"</f>
        <v>ACCT#5150-16203415/09012021</v>
      </c>
      <c r="G1440" s="3">
        <v>83.48</v>
      </c>
      <c r="H1440" t="str">
        <f t="shared" si="20"/>
        <v>WASTE CONNECTIONS LONE STAR. I</v>
      </c>
    </row>
    <row r="1441" spans="1:8" x14ac:dyDescent="0.25">
      <c r="E1441" t="str">
        <f>"11358915"</f>
        <v>11358915</v>
      </c>
      <c r="F1441" t="str">
        <f>"ACCT#5150-16203417/09012021"</f>
        <v>ACCT#5150-16203417/09012021</v>
      </c>
      <c r="G1441" s="3">
        <v>28.89</v>
      </c>
      <c r="H1441" t="str">
        <f t="shared" si="20"/>
        <v>WASTE CONNECTIONS LONE STAR. I</v>
      </c>
    </row>
    <row r="1442" spans="1:8" x14ac:dyDescent="0.25">
      <c r="A1442" t="s">
        <v>371</v>
      </c>
      <c r="B1442">
        <v>136996</v>
      </c>
      <c r="C1442" s="3">
        <v>6829.18</v>
      </c>
      <c r="D1442" s="4">
        <v>44452</v>
      </c>
      <c r="E1442" t="str">
        <f>"0033083-2161-5"</f>
        <v>0033083-2161-5</v>
      </c>
      <c r="F1442" t="str">
        <f>"CUST#2-57060-55062/PCT#4"</f>
        <v>CUST#2-57060-55062/PCT#4</v>
      </c>
      <c r="G1442" s="3">
        <v>5271</v>
      </c>
      <c r="H1442" t="str">
        <f>"CUST#2-57060-55062/PCT#4"</f>
        <v>CUST#2-57060-55062/PCT#4</v>
      </c>
    </row>
    <row r="1443" spans="1:8" x14ac:dyDescent="0.25">
      <c r="E1443" t="str">
        <f>"2-56581-95066"</f>
        <v>2-56581-95066</v>
      </c>
      <c r="F1443" t="str">
        <f>"CUST#0126491-2161-8/ANIMAL"</f>
        <v>CUST#0126491-2161-8/ANIMAL</v>
      </c>
      <c r="G1443" s="3">
        <v>535.62</v>
      </c>
      <c r="H1443" t="str">
        <f>"CUST#0126491-2161-8/ANIMAL"</f>
        <v>CUST#0126491-2161-8/ANIMAL</v>
      </c>
    </row>
    <row r="1444" spans="1:8" x14ac:dyDescent="0.25">
      <c r="E1444" t="str">
        <f>"6719102-2161-1"</f>
        <v>6719102-2161-1</v>
      </c>
      <c r="F1444" t="str">
        <f>"CUST#6719102-2161-1/PCT#4"</f>
        <v>CUST#6719102-2161-1/PCT#4</v>
      </c>
      <c r="G1444" s="3">
        <v>1022.56</v>
      </c>
      <c r="H1444" t="str">
        <f>"CUST#6719102-2161-1/PCT#4"</f>
        <v>CUST#6719102-2161-1/PCT#4</v>
      </c>
    </row>
    <row r="1445" spans="1:8" x14ac:dyDescent="0.25">
      <c r="A1445" t="s">
        <v>372</v>
      </c>
      <c r="B1445">
        <v>136997</v>
      </c>
      <c r="C1445" s="3">
        <v>677</v>
      </c>
      <c r="D1445" s="4">
        <v>44452</v>
      </c>
      <c r="E1445" t="str">
        <f>"202109075588"</f>
        <v>202109075588</v>
      </c>
      <c r="F1445" t="str">
        <f>"INV ACCINV0032217"</f>
        <v>INV ACCINV0032217</v>
      </c>
      <c r="G1445" s="3">
        <v>677</v>
      </c>
      <c r="H1445" t="str">
        <f>"INV ACCINV0032217"</f>
        <v>INV ACCINV0032217</v>
      </c>
    </row>
    <row r="1446" spans="1:8" x14ac:dyDescent="0.25">
      <c r="A1446" t="s">
        <v>372</v>
      </c>
      <c r="B1446">
        <v>137175</v>
      </c>
      <c r="C1446" s="3">
        <v>1005</v>
      </c>
      <c r="D1446" s="4">
        <v>44466</v>
      </c>
      <c r="E1446" t="str">
        <f>"21-28092"</f>
        <v>21-28092</v>
      </c>
      <c r="F1446" t="str">
        <f>"Vista HD Camera"</f>
        <v>Vista HD Camera</v>
      </c>
      <c r="G1446" s="3">
        <v>895</v>
      </c>
      <c r="H1446" t="str">
        <f>"BW-VEX-11"</f>
        <v>BW-VEX-11</v>
      </c>
    </row>
    <row r="1447" spans="1:8" x14ac:dyDescent="0.25">
      <c r="E1447" t="str">
        <f>""</f>
        <v/>
      </c>
      <c r="F1447" t="str">
        <f>""</f>
        <v/>
      </c>
      <c r="G1447" s="3">
        <v>95</v>
      </c>
      <c r="H1447" t="str">
        <f>"WGA00537-300-KIT"</f>
        <v>WGA00537-300-KIT</v>
      </c>
    </row>
    <row r="1448" spans="1:8" x14ac:dyDescent="0.25">
      <c r="E1448" t="str">
        <f>""</f>
        <v/>
      </c>
      <c r="F1448" t="str">
        <f>""</f>
        <v/>
      </c>
      <c r="G1448" s="3">
        <v>15</v>
      </c>
      <c r="H1448" t="str">
        <f>"FRT-BWC-01"</f>
        <v>FRT-BWC-01</v>
      </c>
    </row>
    <row r="1449" spans="1:8" x14ac:dyDescent="0.25">
      <c r="A1449" t="s">
        <v>373</v>
      </c>
      <c r="B1449">
        <v>5028</v>
      </c>
      <c r="C1449" s="3">
        <v>109</v>
      </c>
      <c r="D1449" s="4">
        <v>44453</v>
      </c>
      <c r="E1449" t="str">
        <f>"6785"</f>
        <v>6785</v>
      </c>
      <c r="F1449" t="str">
        <f>"UNIFORMS/PCT#1"</f>
        <v>UNIFORMS/PCT#1</v>
      </c>
      <c r="G1449" s="3">
        <v>109</v>
      </c>
      <c r="H1449" t="str">
        <f>"UNIFORMS/PCT#1"</f>
        <v>UNIFORMS/PCT#1</v>
      </c>
    </row>
    <row r="1450" spans="1:8" x14ac:dyDescent="0.25">
      <c r="A1450" t="s">
        <v>373</v>
      </c>
      <c r="B1450">
        <v>5121</v>
      </c>
      <c r="C1450" s="3">
        <v>225</v>
      </c>
      <c r="D1450" s="4">
        <v>44467</v>
      </c>
      <c r="E1450" t="str">
        <f>"6824"</f>
        <v>6824</v>
      </c>
      <c r="F1450" t="str">
        <f>"INV 6824"</f>
        <v>INV 6824</v>
      </c>
      <c r="G1450" s="3">
        <v>225</v>
      </c>
      <c r="H1450" t="str">
        <f>"INV 6824"</f>
        <v>INV 6824</v>
      </c>
    </row>
    <row r="1451" spans="1:8" x14ac:dyDescent="0.25">
      <c r="A1451" t="s">
        <v>374</v>
      </c>
      <c r="B1451">
        <v>136998</v>
      </c>
      <c r="C1451" s="3">
        <v>480.47</v>
      </c>
      <c r="D1451" s="4">
        <v>44452</v>
      </c>
      <c r="E1451" t="str">
        <f>"202108265315"</f>
        <v>202108265315</v>
      </c>
      <c r="F1451" t="str">
        <f>"REIMBURSE/WEI-ANN LIN"</f>
        <v>REIMBURSE/WEI-ANN LIN</v>
      </c>
      <c r="G1451" s="3">
        <v>480.47</v>
      </c>
      <c r="H1451" t="str">
        <f>"REIMBURSE/WEI-ANN LIN"</f>
        <v>REIMBURSE/WEI-ANN LIN</v>
      </c>
    </row>
    <row r="1452" spans="1:8" x14ac:dyDescent="0.25">
      <c r="A1452" t="s">
        <v>375</v>
      </c>
      <c r="B1452">
        <v>137176</v>
      </c>
      <c r="C1452" s="3">
        <v>100</v>
      </c>
      <c r="D1452" s="4">
        <v>44466</v>
      </c>
      <c r="E1452" t="str">
        <f>"202109175743"</f>
        <v>202109175743</v>
      </c>
      <c r="F1452" t="str">
        <f>"RESTITUTION/ROEL FLORES JR"</f>
        <v>RESTITUTION/ROEL FLORES JR</v>
      </c>
      <c r="G1452" s="3">
        <v>100</v>
      </c>
      <c r="H1452" t="str">
        <f>"RESTITUTION/ROEL FLORES JR"</f>
        <v>RESTITUTION/ROEL FLORES JR</v>
      </c>
    </row>
    <row r="1453" spans="1:8" x14ac:dyDescent="0.25">
      <c r="A1453" t="s">
        <v>376</v>
      </c>
      <c r="B1453">
        <v>5114</v>
      </c>
      <c r="C1453" s="3">
        <v>8824.58</v>
      </c>
      <c r="D1453" s="4">
        <v>44467</v>
      </c>
      <c r="E1453" t="str">
        <f>"28797"</f>
        <v>28797</v>
      </c>
      <c r="F1453" t="str">
        <f>"INV 28797"</f>
        <v>INV 28797</v>
      </c>
      <c r="G1453" s="3">
        <v>8824.58</v>
      </c>
      <c r="H1453" t="str">
        <f>"INV 28797"</f>
        <v>INV 28797</v>
      </c>
    </row>
    <row r="1454" spans="1:8" x14ac:dyDescent="0.25">
      <c r="A1454" t="s">
        <v>377</v>
      </c>
      <c r="B1454">
        <v>136999</v>
      </c>
      <c r="C1454" s="3">
        <v>389.42</v>
      </c>
      <c r="D1454" s="4">
        <v>44452</v>
      </c>
      <c r="E1454" t="str">
        <f>"6956446"</f>
        <v>6956446</v>
      </c>
      <c r="F1454" t="str">
        <f>"CUST#339435/PCT#3"</f>
        <v>CUST#339435/PCT#3</v>
      </c>
      <c r="G1454" s="3">
        <v>389.42</v>
      </c>
      <c r="H1454" t="str">
        <f>"CUST#339435/PCT#3"</f>
        <v>CUST#339435/PCT#3</v>
      </c>
    </row>
    <row r="1455" spans="1:8" x14ac:dyDescent="0.25">
      <c r="A1455" t="s">
        <v>378</v>
      </c>
      <c r="B1455">
        <v>137177</v>
      </c>
      <c r="C1455" s="3">
        <v>50</v>
      </c>
      <c r="D1455" s="4">
        <v>44466</v>
      </c>
      <c r="E1455" t="str">
        <f>"202109175741"</f>
        <v>202109175741</v>
      </c>
      <c r="F1455" t="str">
        <f>"RESTITUTION/MARCUS MANZANARES"</f>
        <v>RESTITUTION/MARCUS MANZANARES</v>
      </c>
      <c r="G1455" s="3">
        <v>50</v>
      </c>
      <c r="H1455" t="str">
        <f>"RESTITUTION/MARCUS MANZANARES"</f>
        <v>RESTITUTION/MARCUS MANZANARES</v>
      </c>
    </row>
    <row r="1456" spans="1:8" x14ac:dyDescent="0.25">
      <c r="A1456" t="s">
        <v>379</v>
      </c>
      <c r="B1456">
        <v>137178</v>
      </c>
      <c r="C1456" s="3">
        <v>371.1</v>
      </c>
      <c r="D1456" s="4">
        <v>44466</v>
      </c>
      <c r="E1456" t="str">
        <f>"516834"</f>
        <v>516834</v>
      </c>
      <c r="F1456" t="str">
        <f>"INV 516834"</f>
        <v>INV 516834</v>
      </c>
      <c r="G1456" s="3">
        <v>371.1</v>
      </c>
      <c r="H1456" t="str">
        <f>"INV 516834"</f>
        <v>INV 516834</v>
      </c>
    </row>
    <row r="1457" spans="1:8" x14ac:dyDescent="0.25">
      <c r="A1457" t="s">
        <v>380</v>
      </c>
      <c r="B1457">
        <v>137000</v>
      </c>
      <c r="C1457" s="3">
        <v>2793.4</v>
      </c>
      <c r="D1457" s="4">
        <v>44452</v>
      </c>
      <c r="E1457" t="str">
        <f>"9013848474"</f>
        <v>9013848474</v>
      </c>
      <c r="F1457" t="str">
        <f t="shared" ref="F1457:F1464" si="21">"CUST#1000113183/ANIMAL SHELTER"</f>
        <v>CUST#1000113183/ANIMAL SHELTER</v>
      </c>
      <c r="G1457" s="3">
        <v>60.75</v>
      </c>
      <c r="H1457" t="str">
        <f t="shared" ref="H1457:H1464" si="22">"CUST#1000113183/ANIMAL SHELTER"</f>
        <v>CUST#1000113183/ANIMAL SHELTER</v>
      </c>
    </row>
    <row r="1458" spans="1:8" x14ac:dyDescent="0.25">
      <c r="E1458" t="str">
        <f>"9013927362"</f>
        <v>9013927362</v>
      </c>
      <c r="F1458" t="str">
        <f t="shared" si="21"/>
        <v>CUST#1000113183/ANIMAL SHELTER</v>
      </c>
      <c r="G1458" s="3">
        <v>389</v>
      </c>
      <c r="H1458" t="str">
        <f t="shared" si="22"/>
        <v>CUST#1000113183/ANIMAL SHELTER</v>
      </c>
    </row>
    <row r="1459" spans="1:8" x14ac:dyDescent="0.25">
      <c r="E1459" t="str">
        <f>"9013927413"</f>
        <v>9013927413</v>
      </c>
      <c r="F1459" t="str">
        <f t="shared" si="21"/>
        <v>CUST#1000113183/ANIMAL SHELTER</v>
      </c>
      <c r="G1459" s="3">
        <v>121</v>
      </c>
      <c r="H1459" t="str">
        <f t="shared" si="22"/>
        <v>CUST#1000113183/ANIMAL SHELTER</v>
      </c>
    </row>
    <row r="1460" spans="1:8" x14ac:dyDescent="0.25">
      <c r="E1460" t="str">
        <f>"9013987763"</f>
        <v>9013987763</v>
      </c>
      <c r="F1460" t="str">
        <f t="shared" si="21"/>
        <v>CUST#1000113183/ANIMAL SHELTER</v>
      </c>
      <c r="G1460" s="3">
        <v>1070.4000000000001</v>
      </c>
      <c r="H1460" t="str">
        <f t="shared" si="22"/>
        <v>CUST#1000113183/ANIMAL SHELTER</v>
      </c>
    </row>
    <row r="1461" spans="1:8" x14ac:dyDescent="0.25">
      <c r="E1461" t="str">
        <f>"9014048157"</f>
        <v>9014048157</v>
      </c>
      <c r="F1461" t="str">
        <f t="shared" si="21"/>
        <v>CUST#1000113183/ANIMAL SHELTER</v>
      </c>
      <c r="G1461" s="3">
        <v>881.95</v>
      </c>
      <c r="H1461" t="str">
        <f t="shared" si="22"/>
        <v>CUST#1000113183/ANIMAL SHELTER</v>
      </c>
    </row>
    <row r="1462" spans="1:8" x14ac:dyDescent="0.25">
      <c r="E1462" t="str">
        <f>"9014077946"</f>
        <v>9014077946</v>
      </c>
      <c r="F1462" t="str">
        <f t="shared" si="21"/>
        <v>CUST#1000113183/ANIMAL SHELTER</v>
      </c>
      <c r="G1462" s="3">
        <v>270.3</v>
      </c>
      <c r="H1462" t="str">
        <f t="shared" si="22"/>
        <v>CUST#1000113183/ANIMAL SHELTER</v>
      </c>
    </row>
    <row r="1463" spans="1:8" x14ac:dyDescent="0.25">
      <c r="A1463" t="s">
        <v>380</v>
      </c>
      <c r="B1463">
        <v>137179</v>
      </c>
      <c r="C1463" s="3">
        <v>2327.6</v>
      </c>
      <c r="D1463" s="4">
        <v>44466</v>
      </c>
      <c r="E1463" t="str">
        <f>"9014163836"</f>
        <v>9014163836</v>
      </c>
      <c r="F1463" t="str">
        <f t="shared" si="21"/>
        <v>CUST#1000113183/ANIMAL SHELTER</v>
      </c>
      <c r="G1463" s="3">
        <v>815.6</v>
      </c>
      <c r="H1463" t="str">
        <f t="shared" si="22"/>
        <v>CUST#1000113183/ANIMAL SHELTER</v>
      </c>
    </row>
    <row r="1464" spans="1:8" x14ac:dyDescent="0.25">
      <c r="E1464" t="str">
        <f>"9014197901"</f>
        <v>9014197901</v>
      </c>
      <c r="F1464" t="str">
        <f t="shared" si="21"/>
        <v>CUST#1000113183/ANIMAL SHELTER</v>
      </c>
      <c r="G1464" s="3">
        <v>1512</v>
      </c>
      <c r="H1464" t="str">
        <f t="shared" si="22"/>
        <v>CUST#1000113183/ANIMAL SHELTER</v>
      </c>
    </row>
    <row r="1465" spans="1:8" x14ac:dyDescent="0.25">
      <c r="A1465" t="s">
        <v>381</v>
      </c>
      <c r="B1465">
        <v>137001</v>
      </c>
      <c r="C1465" s="3">
        <v>606.58000000000004</v>
      </c>
      <c r="D1465" s="4">
        <v>44452</v>
      </c>
      <c r="E1465" t="str">
        <f>"25826"</f>
        <v>25826</v>
      </c>
      <c r="F1465" t="str">
        <f>"Zoro Supplies Order"</f>
        <v>Zoro Supplies Order</v>
      </c>
      <c r="G1465" s="3">
        <v>360.3</v>
      </c>
      <c r="H1465" t="str">
        <f>"G2250851-Steel Cart"</f>
        <v>G2250851-Steel Cart</v>
      </c>
    </row>
    <row r="1466" spans="1:8" x14ac:dyDescent="0.25">
      <c r="E1466" t="str">
        <f>""</f>
        <v/>
      </c>
      <c r="F1466" t="str">
        <f>""</f>
        <v/>
      </c>
      <c r="G1466" s="3">
        <v>146.28</v>
      </c>
      <c r="H1466" t="str">
        <f>"G6901432-LatexGloves"</f>
        <v>G6901432-LatexGloves</v>
      </c>
    </row>
    <row r="1467" spans="1:8" x14ac:dyDescent="0.25">
      <c r="E1467" t="str">
        <f>""</f>
        <v/>
      </c>
      <c r="F1467" t="str">
        <f>""</f>
        <v/>
      </c>
      <c r="G1467" s="3">
        <v>100</v>
      </c>
      <c r="H1467" t="str">
        <f>"Delivery Surcharge"</f>
        <v>Delivery Surcharge</v>
      </c>
    </row>
    <row r="1468" spans="1:8" x14ac:dyDescent="0.25">
      <c r="A1468" t="s">
        <v>11</v>
      </c>
      <c r="B1468">
        <v>137002</v>
      </c>
      <c r="C1468" s="3">
        <v>903.09</v>
      </c>
      <c r="D1468" s="4">
        <v>44452</v>
      </c>
      <c r="E1468" t="str">
        <f>"440342-1"</f>
        <v>440342-1</v>
      </c>
      <c r="F1468" t="str">
        <f>"CUST#16500/PCT#4"</f>
        <v>CUST#16500/PCT#4</v>
      </c>
      <c r="G1468" s="3">
        <v>903.09</v>
      </c>
      <c r="H1468" t="str">
        <f>"CUST#16500/PCT#4"</f>
        <v>CUST#16500/PCT#4</v>
      </c>
    </row>
    <row r="1469" spans="1:8" x14ac:dyDescent="0.25">
      <c r="A1469" t="s">
        <v>382</v>
      </c>
      <c r="B1469">
        <v>137003</v>
      </c>
      <c r="C1469" s="3">
        <v>8.99</v>
      </c>
      <c r="D1469" s="4">
        <v>44452</v>
      </c>
      <c r="E1469" t="str">
        <f>"202109065538"</f>
        <v>202109065538</v>
      </c>
      <c r="F1469" t="str">
        <f>"REIMBURSE/ADAM MARSHALL"</f>
        <v>REIMBURSE/ADAM MARSHALL</v>
      </c>
      <c r="G1469" s="3">
        <v>8.99</v>
      </c>
      <c r="H1469" t="str">
        <f>"REIMBURSE/ADAM MARSHALL"</f>
        <v>REIMBURSE/ADAM MARSHALL</v>
      </c>
    </row>
    <row r="1470" spans="1:8" x14ac:dyDescent="0.25">
      <c r="A1470" t="s">
        <v>18</v>
      </c>
      <c r="B1470">
        <v>5170</v>
      </c>
      <c r="C1470" s="3">
        <v>313.52999999999997</v>
      </c>
      <c r="D1470" s="4">
        <v>44467</v>
      </c>
      <c r="E1470" t="str">
        <f>"202109165728"</f>
        <v>202109165728</v>
      </c>
      <c r="F1470" t="str">
        <f>"Amazon Order"</f>
        <v>Amazon Order</v>
      </c>
      <c r="G1470" s="3">
        <v>154.99</v>
      </c>
      <c r="H1470" t="str">
        <f>"iClimb Chairs (2 PK)"</f>
        <v>iClimb Chairs (2 PK)</v>
      </c>
    </row>
    <row r="1471" spans="1:8" x14ac:dyDescent="0.25">
      <c r="E1471" t="str">
        <f>""</f>
        <v/>
      </c>
      <c r="F1471" t="str">
        <f>""</f>
        <v/>
      </c>
      <c r="G1471" s="3">
        <v>54.49</v>
      </c>
      <c r="H1471" t="str">
        <f>"Cosco Folding Table"</f>
        <v>Cosco Folding Table</v>
      </c>
    </row>
    <row r="1472" spans="1:8" x14ac:dyDescent="0.25">
      <c r="E1472" t="str">
        <f>"202109215874"</f>
        <v>202109215874</v>
      </c>
      <c r="F1472" t="str">
        <f>"AMAZON CAPITAL SERVICES INC"</f>
        <v>AMAZON CAPITAL SERVICES INC</v>
      </c>
      <c r="G1472" s="3">
        <v>61</v>
      </c>
      <c r="H1472" t="str">
        <f>"Table"</f>
        <v>Table</v>
      </c>
    </row>
    <row r="1473" spans="1:8" x14ac:dyDescent="0.25">
      <c r="E1473" t="str">
        <f>"202109225902"</f>
        <v>202109225902</v>
      </c>
      <c r="F1473" t="str">
        <f>"Amazon Book Boot Camp"</f>
        <v>Amazon Book Boot Camp</v>
      </c>
      <c r="G1473" s="3">
        <v>43.05</v>
      </c>
      <c r="H1473" t="str">
        <f>"Amazon Book"</f>
        <v>Amazon Book</v>
      </c>
    </row>
    <row r="1474" spans="1:8" x14ac:dyDescent="0.25">
      <c r="A1474" t="s">
        <v>24</v>
      </c>
      <c r="B1474">
        <v>137004</v>
      </c>
      <c r="C1474" s="3">
        <v>97.49</v>
      </c>
      <c r="D1474" s="4">
        <v>44452</v>
      </c>
      <c r="E1474" t="str">
        <f>"202109025439"</f>
        <v>202109025439</v>
      </c>
      <c r="F1474" t="str">
        <f>"ACCT#015397/JUVENILE BOOT CAMP"</f>
        <v>ACCT#015397/JUVENILE BOOT CAMP</v>
      </c>
      <c r="G1474" s="3">
        <v>97.49</v>
      </c>
      <c r="H1474" t="str">
        <f>"ACCT#015397/JUVENILE BOOT CAMP"</f>
        <v>ACCT#015397/JUVENILE BOOT CAMP</v>
      </c>
    </row>
    <row r="1475" spans="1:8" x14ac:dyDescent="0.25">
      <c r="A1475" t="s">
        <v>383</v>
      </c>
      <c r="B1475">
        <v>137005</v>
      </c>
      <c r="C1475" s="3">
        <v>30.81</v>
      </c>
      <c r="D1475" s="4">
        <v>44452</v>
      </c>
      <c r="E1475" t="str">
        <f>"202108305390"</f>
        <v>202108305390</v>
      </c>
      <c r="F1475" t="str">
        <f>"GAS/BPPTCAMP"</f>
        <v>GAS/BPPTCAMP</v>
      </c>
      <c r="G1475" s="3">
        <v>30.81</v>
      </c>
      <c r="H1475" t="str">
        <f>"GAS/BPPTCAMP"</f>
        <v>GAS/BPPTCAMP</v>
      </c>
    </row>
    <row r="1476" spans="1:8" x14ac:dyDescent="0.25">
      <c r="A1476" t="s">
        <v>52</v>
      </c>
      <c r="B1476">
        <v>137006</v>
      </c>
      <c r="C1476" s="3">
        <v>1800</v>
      </c>
      <c r="D1476" s="4">
        <v>44452</v>
      </c>
      <c r="E1476" t="str">
        <f>"S1274948"</f>
        <v>S1274948</v>
      </c>
      <c r="F1476" t="str">
        <f>"CUST ID:C27986/PCT#4"</f>
        <v>CUST ID:C27986/PCT#4</v>
      </c>
      <c r="G1476" s="3">
        <v>1800</v>
      </c>
      <c r="H1476" t="str">
        <f>"CUST ID:C27986/PCT#4"</f>
        <v>CUST ID:C27986/PCT#4</v>
      </c>
    </row>
    <row r="1477" spans="1:8" x14ac:dyDescent="0.25">
      <c r="A1477" t="s">
        <v>59</v>
      </c>
      <c r="B1477">
        <v>136847</v>
      </c>
      <c r="C1477" s="3">
        <v>348.61</v>
      </c>
      <c r="D1477" s="4">
        <v>44448</v>
      </c>
      <c r="E1477" t="str">
        <f>"202109095639"</f>
        <v>202109095639</v>
      </c>
      <c r="F1477" t="str">
        <f>"ACCT#5000057374 / 09012021"</f>
        <v>ACCT#5000057374 / 09012021</v>
      </c>
      <c r="G1477" s="3">
        <v>348.61</v>
      </c>
      <c r="H1477" t="str">
        <f>"ACCT#5000057374 / 09012021"</f>
        <v>ACCT#5000057374 / 09012021</v>
      </c>
    </row>
    <row r="1478" spans="1:8" x14ac:dyDescent="0.25">
      <c r="A1478" t="s">
        <v>65</v>
      </c>
      <c r="B1478">
        <v>137007</v>
      </c>
      <c r="C1478" s="3">
        <v>62784.6</v>
      </c>
      <c r="D1478" s="4">
        <v>44452</v>
      </c>
      <c r="E1478" t="str">
        <f>"125587"</f>
        <v>125587</v>
      </c>
      <c r="F1478" t="str">
        <f t="shared" ref="F1478:F1483" si="23">"ACCT#1268/PCT#3"</f>
        <v>ACCT#1268/PCT#3</v>
      </c>
      <c r="G1478" s="3">
        <v>1379.4</v>
      </c>
      <c r="H1478" t="str">
        <f t="shared" ref="H1478:H1483" si="24">"ACCT#1268/PCT#3"</f>
        <v>ACCT#1268/PCT#3</v>
      </c>
    </row>
    <row r="1479" spans="1:8" x14ac:dyDescent="0.25">
      <c r="E1479" t="str">
        <f>"126669"</f>
        <v>126669</v>
      </c>
      <c r="F1479" t="str">
        <f t="shared" si="23"/>
        <v>ACCT#1268/PCT#3</v>
      </c>
      <c r="G1479" s="3">
        <v>2890.2</v>
      </c>
      <c r="H1479" t="str">
        <f t="shared" si="24"/>
        <v>ACCT#1268/PCT#3</v>
      </c>
    </row>
    <row r="1480" spans="1:8" x14ac:dyDescent="0.25">
      <c r="E1480" t="str">
        <f>"126670"</f>
        <v>126670</v>
      </c>
      <c r="F1480" t="str">
        <f t="shared" si="23"/>
        <v>ACCT#1268/PCT#3</v>
      </c>
      <c r="G1480" s="3">
        <v>32036.400000000001</v>
      </c>
      <c r="H1480" t="str">
        <f t="shared" si="24"/>
        <v>ACCT#1268/PCT#3</v>
      </c>
    </row>
    <row r="1481" spans="1:8" x14ac:dyDescent="0.25">
      <c r="E1481" t="str">
        <f>"126844"</f>
        <v>126844</v>
      </c>
      <c r="F1481" t="str">
        <f t="shared" si="23"/>
        <v>ACCT#1268/PCT#3</v>
      </c>
      <c r="G1481" s="3">
        <v>13969.2</v>
      </c>
      <c r="H1481" t="str">
        <f t="shared" si="24"/>
        <v>ACCT#1268/PCT#3</v>
      </c>
    </row>
    <row r="1482" spans="1:8" x14ac:dyDescent="0.25">
      <c r="E1482" t="str">
        <f>"126943"</f>
        <v>126943</v>
      </c>
      <c r="F1482" t="str">
        <f t="shared" si="23"/>
        <v>ACCT#1268/PCT#3</v>
      </c>
      <c r="G1482" s="3">
        <v>12509.4</v>
      </c>
      <c r="H1482" t="str">
        <f t="shared" si="24"/>
        <v>ACCT#1268/PCT#3</v>
      </c>
    </row>
    <row r="1483" spans="1:8" x14ac:dyDescent="0.25">
      <c r="A1483" t="s">
        <v>65</v>
      </c>
      <c r="B1483">
        <v>137180</v>
      </c>
      <c r="C1483" s="3">
        <v>37559.4</v>
      </c>
      <c r="D1483" s="4">
        <v>44466</v>
      </c>
      <c r="E1483" t="str">
        <f>"127097"</f>
        <v>127097</v>
      </c>
      <c r="F1483" t="str">
        <f t="shared" si="23"/>
        <v>ACCT#1268/PCT#3</v>
      </c>
      <c r="G1483" s="3">
        <v>37559.4</v>
      </c>
      <c r="H1483" t="str">
        <f t="shared" si="24"/>
        <v>ACCT#1268/PCT#3</v>
      </c>
    </row>
    <row r="1484" spans="1:8" x14ac:dyDescent="0.25">
      <c r="A1484" t="s">
        <v>72</v>
      </c>
      <c r="B1484">
        <v>1288</v>
      </c>
      <c r="C1484" s="3">
        <v>313.49</v>
      </c>
      <c r="D1484" s="4">
        <v>44452</v>
      </c>
      <c r="E1484" t="str">
        <f>"202109085637"</f>
        <v>202109085637</v>
      </c>
      <c r="F1484" t="str">
        <f>"Statement"</f>
        <v>Statement</v>
      </c>
      <c r="G1484" s="3">
        <v>104.75</v>
      </c>
      <c r="H1484" t="str">
        <f>"walmart"</f>
        <v>walmart</v>
      </c>
    </row>
    <row r="1485" spans="1:8" x14ac:dyDescent="0.25">
      <c r="E1485" t="str">
        <f>""</f>
        <v/>
      </c>
      <c r="F1485" t="str">
        <f>""</f>
        <v/>
      </c>
      <c r="G1485" s="3">
        <v>208.74</v>
      </c>
      <c r="H1485" t="str">
        <f>"walmart"</f>
        <v>walmart</v>
      </c>
    </row>
    <row r="1486" spans="1:8" x14ac:dyDescent="0.25">
      <c r="A1486" t="s">
        <v>82</v>
      </c>
      <c r="B1486">
        <v>137181</v>
      </c>
      <c r="C1486" s="3">
        <v>1404.68</v>
      </c>
      <c r="D1486" s="4">
        <v>44466</v>
      </c>
      <c r="E1486" t="str">
        <f>"202109165730"</f>
        <v>202109165730</v>
      </c>
      <c r="F1486" t="str">
        <f>"PAYER#14108430/PCT#4"</f>
        <v>PAYER#14108430/PCT#4</v>
      </c>
      <c r="G1486" s="3">
        <v>1404.68</v>
      </c>
      <c r="H1486" t="str">
        <f>"PAYER#14108430/PCT#4"</f>
        <v>PAYER#14108430/PCT#4</v>
      </c>
    </row>
    <row r="1487" spans="1:8" x14ac:dyDescent="0.25">
      <c r="A1487" t="s">
        <v>83</v>
      </c>
      <c r="B1487">
        <v>1324</v>
      </c>
      <c r="C1487" s="3">
        <v>53.72</v>
      </c>
      <c r="D1487" s="4">
        <v>44453</v>
      </c>
      <c r="E1487" t="str">
        <f>"202109145690"</f>
        <v>202109145690</v>
      </c>
      <c r="F1487" t="str">
        <f>"ACCT#72-5613 / 09032021"</f>
        <v>ACCT#72-5613 / 09032021</v>
      </c>
      <c r="G1487" s="3">
        <v>53.72</v>
      </c>
      <c r="H1487" t="str">
        <f>"ACCT#72-5613 / 09032021"</f>
        <v>ACCT#72-5613 / 09032021</v>
      </c>
    </row>
    <row r="1488" spans="1:8" x14ac:dyDescent="0.25">
      <c r="A1488" t="s">
        <v>384</v>
      </c>
      <c r="B1488">
        <v>137008</v>
      </c>
      <c r="C1488" s="3">
        <v>2191.86</v>
      </c>
      <c r="D1488" s="4">
        <v>44452</v>
      </c>
      <c r="E1488" t="str">
        <f>"23467376"</f>
        <v>23467376</v>
      </c>
      <c r="F1488" t="str">
        <f>"ACCT#434304/PCT#4"</f>
        <v>ACCT#434304/PCT#4</v>
      </c>
      <c r="G1488" s="3">
        <v>2191.86</v>
      </c>
      <c r="H1488" t="str">
        <f>"ACCT#434304/PCT#4"</f>
        <v>ACCT#434304/PCT#4</v>
      </c>
    </row>
    <row r="1489" spans="1:8" x14ac:dyDescent="0.25">
      <c r="A1489" t="s">
        <v>384</v>
      </c>
      <c r="B1489">
        <v>137182</v>
      </c>
      <c r="C1489" s="3">
        <v>6994.48</v>
      </c>
      <c r="D1489" s="4">
        <v>44466</v>
      </c>
      <c r="E1489" t="str">
        <f>"23533662"</f>
        <v>23533662</v>
      </c>
      <c r="F1489" t="str">
        <f>"ACCT#434304/PCT#4"</f>
        <v>ACCT#434304/PCT#4</v>
      </c>
      <c r="G1489" s="3">
        <v>6994.48</v>
      </c>
      <c r="H1489" t="str">
        <f>"ACCT#434304/PCT#4"</f>
        <v>ACCT#434304/PCT#4</v>
      </c>
    </row>
    <row r="1490" spans="1:8" x14ac:dyDescent="0.25">
      <c r="A1490" t="s">
        <v>385</v>
      </c>
      <c r="B1490">
        <v>137009</v>
      </c>
      <c r="C1490" s="3">
        <v>79.42</v>
      </c>
      <c r="D1490" s="4">
        <v>44452</v>
      </c>
      <c r="E1490" t="str">
        <f>"87099"</f>
        <v>87099</v>
      </c>
      <c r="F1490" t="str">
        <f>"SUPPLIES/GLOVES BOOTCAMP"</f>
        <v>SUPPLIES/GLOVES BOOTCAMP</v>
      </c>
      <c r="G1490" s="3">
        <v>79.42</v>
      </c>
      <c r="H1490" t="str">
        <f>"SUPPLIES/GLOVES BOOTCAMP"</f>
        <v>SUPPLIES/GLOVES BOOTCAMP</v>
      </c>
    </row>
    <row r="1491" spans="1:8" x14ac:dyDescent="0.25">
      <c r="A1491" t="s">
        <v>130</v>
      </c>
      <c r="B1491">
        <v>137010</v>
      </c>
      <c r="C1491" s="3">
        <v>152157.21</v>
      </c>
      <c r="D1491" s="4">
        <v>44452</v>
      </c>
      <c r="E1491" t="str">
        <f>"9402537195"</f>
        <v>9402537195</v>
      </c>
      <c r="F1491" t="str">
        <f>"ACCT#912897/PCT#3"</f>
        <v>ACCT#912897/PCT#3</v>
      </c>
      <c r="G1491" s="3">
        <v>14883.96</v>
      </c>
      <c r="H1491" t="str">
        <f>"ACCT#912897/PCT#3"</f>
        <v>ACCT#912897/PCT#3</v>
      </c>
    </row>
    <row r="1492" spans="1:8" x14ac:dyDescent="0.25">
      <c r="E1492" t="str">
        <f>"9402537658"</f>
        <v>9402537658</v>
      </c>
      <c r="F1492" t="str">
        <f>"ACCT#912897/PCT#3"</f>
        <v>ACCT#912897/PCT#3</v>
      </c>
      <c r="G1492" s="3">
        <v>15559.95</v>
      </c>
      <c r="H1492" t="str">
        <f>"ACCT#912897/PCT#3"</f>
        <v>ACCT#912897/PCT#3</v>
      </c>
    </row>
    <row r="1493" spans="1:8" x14ac:dyDescent="0.25">
      <c r="E1493" t="str">
        <f>"9402537659"</f>
        <v>9402537659</v>
      </c>
      <c r="F1493" t="str">
        <f>"ACCT#912897/PCT#3"</f>
        <v>ACCT#912897/PCT#3</v>
      </c>
      <c r="G1493" s="3">
        <v>15054.48</v>
      </c>
      <c r="H1493" t="str">
        <f>"ACCT#912897/PCT#3"</f>
        <v>ACCT#912897/PCT#3</v>
      </c>
    </row>
    <row r="1494" spans="1:8" x14ac:dyDescent="0.25">
      <c r="E1494" t="str">
        <f>"9402537660"</f>
        <v>9402537660</v>
      </c>
      <c r="F1494" t="str">
        <f>"ACCT#912897/PCT#3"</f>
        <v>ACCT#912897/PCT#3</v>
      </c>
      <c r="G1494" s="3">
        <v>15785.28</v>
      </c>
      <c r="H1494" t="str">
        <f>"ACCT#912897/PCT#3"</f>
        <v>ACCT#912897/PCT#3</v>
      </c>
    </row>
    <row r="1495" spans="1:8" x14ac:dyDescent="0.25">
      <c r="E1495" t="str">
        <f>"9402540017"</f>
        <v>9402540017</v>
      </c>
      <c r="F1495" t="str">
        <f>"ACCT#912922/PCT#1"</f>
        <v>ACCT#912922/PCT#1</v>
      </c>
      <c r="G1495" s="3">
        <v>13584.96</v>
      </c>
      <c r="H1495" t="str">
        <f>"ACCT#912922/PCT#1"</f>
        <v>ACCT#912922/PCT#1</v>
      </c>
    </row>
    <row r="1496" spans="1:8" x14ac:dyDescent="0.25">
      <c r="E1496" t="str">
        <f>"9402541408"</f>
        <v>9402541408</v>
      </c>
      <c r="F1496" t="str">
        <f>"ACCT#912897/PCT#3"</f>
        <v>ACCT#912897/PCT#3</v>
      </c>
      <c r="G1496" s="3">
        <v>15365.07</v>
      </c>
      <c r="H1496" t="str">
        <f>"ACCT#912897/PCT#3"</f>
        <v>ACCT#912897/PCT#3</v>
      </c>
    </row>
    <row r="1497" spans="1:8" x14ac:dyDescent="0.25">
      <c r="E1497" t="str">
        <f>"9402542803"</f>
        <v>9402542803</v>
      </c>
      <c r="F1497" t="str">
        <f>"ACCT#912897/PCT#3"</f>
        <v>ACCT#912897/PCT#3</v>
      </c>
      <c r="G1497" s="3">
        <v>16034.97</v>
      </c>
      <c r="H1497" t="str">
        <f>"ACCT#912897/PCT#3"</f>
        <v>ACCT#912897/PCT#3</v>
      </c>
    </row>
    <row r="1498" spans="1:8" x14ac:dyDescent="0.25">
      <c r="E1498" t="str">
        <f>"9402546128"</f>
        <v>9402546128</v>
      </c>
      <c r="F1498" t="str">
        <f>"ACCT#912922/PCT#1"</f>
        <v>ACCT#912922/PCT#1</v>
      </c>
      <c r="G1498" s="3">
        <v>13937.4</v>
      </c>
      <c r="H1498" t="str">
        <f>"ACCT#912922/PCT#1"</f>
        <v>ACCT#912922/PCT#1</v>
      </c>
    </row>
    <row r="1499" spans="1:8" x14ac:dyDescent="0.25">
      <c r="E1499" t="str">
        <f>"9402546967"</f>
        <v>9402546967</v>
      </c>
      <c r="F1499" t="str">
        <f>"ACCT#912922/PCT#1"</f>
        <v>ACCT#912922/PCT#1</v>
      </c>
      <c r="G1499" s="3">
        <v>12661.14</v>
      </c>
      <c r="H1499" t="str">
        <f>"ACCT#912922/PCT#1"</f>
        <v>ACCT#912922/PCT#1</v>
      </c>
    </row>
    <row r="1500" spans="1:8" x14ac:dyDescent="0.25">
      <c r="E1500" t="str">
        <f>"9402546968"</f>
        <v>9402546968</v>
      </c>
      <c r="F1500" t="str">
        <f>"ACCT#912922/PCT#1"</f>
        <v>ACCT#912922/PCT#1</v>
      </c>
      <c r="G1500" s="3">
        <v>3805</v>
      </c>
      <c r="H1500" t="str">
        <f>"ACCT#912922/PCT#1"</f>
        <v>ACCT#912922/PCT#1</v>
      </c>
    </row>
    <row r="1501" spans="1:8" x14ac:dyDescent="0.25">
      <c r="E1501" t="str">
        <f>"9402546969"</f>
        <v>9402546969</v>
      </c>
      <c r="F1501" t="str">
        <f>"ACCT#912923/BOL#29448/PCT#4"</f>
        <v>ACCT#912923/BOL#29448/PCT#4</v>
      </c>
      <c r="G1501" s="3">
        <v>3910</v>
      </c>
      <c r="H1501" t="str">
        <f>"ACCT#912923/BOL#29448/PCT#4"</f>
        <v>ACCT#912923/BOL#29448/PCT#4</v>
      </c>
    </row>
    <row r="1502" spans="1:8" x14ac:dyDescent="0.25">
      <c r="E1502" t="str">
        <f>"9402546970"</f>
        <v>9402546970</v>
      </c>
      <c r="F1502" t="str">
        <f>"ACCT#912923/BOL#29453/PCT#4"</f>
        <v>ACCT#912923/BOL#29453/PCT#4</v>
      </c>
      <c r="G1502" s="3">
        <v>3690</v>
      </c>
      <c r="H1502" t="str">
        <f>"ACCT#912923/BOL#29453/PCT#4"</f>
        <v>ACCT#912923/BOL#29453/PCT#4</v>
      </c>
    </row>
    <row r="1503" spans="1:8" x14ac:dyDescent="0.25">
      <c r="E1503" t="str">
        <f>"9402548267"</f>
        <v>9402548267</v>
      </c>
      <c r="F1503" t="str">
        <f>"ACCT#912923/BOL#29465/PCT#4"</f>
        <v>ACCT#912923/BOL#29465/PCT#4</v>
      </c>
      <c r="G1503" s="3">
        <v>4070</v>
      </c>
      <c r="H1503" t="str">
        <f>"ACCT#912923/BOL#29465/PCT#4"</f>
        <v>ACCT#912923/BOL#29465/PCT#4</v>
      </c>
    </row>
    <row r="1504" spans="1:8" x14ac:dyDescent="0.25">
      <c r="E1504" t="str">
        <f>"9402549349"</f>
        <v>9402549349</v>
      </c>
      <c r="F1504" t="str">
        <f>"ACCT#912923/PCT#4"</f>
        <v>ACCT#912923/PCT#4</v>
      </c>
      <c r="G1504" s="3">
        <v>3815</v>
      </c>
      <c r="H1504" t="str">
        <f>"ACCT#912923/PCT#4"</f>
        <v>ACCT#912923/PCT#4</v>
      </c>
    </row>
    <row r="1505" spans="1:8" x14ac:dyDescent="0.25">
      <c r="A1505" t="s">
        <v>130</v>
      </c>
      <c r="B1505">
        <v>137183</v>
      </c>
      <c r="C1505" s="3">
        <v>103003.94</v>
      </c>
      <c r="D1505" s="4">
        <v>44466</v>
      </c>
      <c r="E1505" t="str">
        <f>"9402550761"</f>
        <v>9402550761</v>
      </c>
      <c r="F1505" t="str">
        <f>"ACCT#912922/PCT#1"</f>
        <v>ACCT#912922/PCT#1</v>
      </c>
      <c r="G1505" s="3">
        <v>225</v>
      </c>
      <c r="H1505" t="str">
        <f>"ACCT#912922/PCT#1"</f>
        <v>ACCT#912922/PCT#1</v>
      </c>
    </row>
    <row r="1506" spans="1:8" x14ac:dyDescent="0.25">
      <c r="E1506" t="str">
        <f>"9402556659"</f>
        <v>9402556659</v>
      </c>
      <c r="F1506" t="str">
        <f>"ACCT#912923/PCT#4"</f>
        <v>ACCT#912923/PCT#4</v>
      </c>
      <c r="G1506" s="3">
        <v>5945.92</v>
      </c>
      <c r="H1506" t="str">
        <f>"ACCT#912923/PCT#4"</f>
        <v>ACCT#912923/PCT#4</v>
      </c>
    </row>
    <row r="1507" spans="1:8" x14ac:dyDescent="0.25">
      <c r="E1507" t="str">
        <f>"9402557904"</f>
        <v>9402557904</v>
      </c>
      <c r="F1507" t="str">
        <f>"ACCT#912922/PCT#1"</f>
        <v>ACCT#912922/PCT#1</v>
      </c>
      <c r="G1507" s="3">
        <v>13734.48</v>
      </c>
      <c r="H1507" t="str">
        <f>"ACCT#912922/PCT#1"</f>
        <v>ACCT#912922/PCT#1</v>
      </c>
    </row>
    <row r="1508" spans="1:8" x14ac:dyDescent="0.25">
      <c r="E1508" t="str">
        <f>"9402558485"</f>
        <v>9402558485</v>
      </c>
      <c r="F1508" t="str">
        <f>"ACCT#912923/PCT#4"</f>
        <v>ACCT#912923/PCT#4</v>
      </c>
      <c r="G1508" s="3">
        <v>4090</v>
      </c>
      <c r="H1508" t="str">
        <f>"ACCT#912923/PCT#4"</f>
        <v>ACCT#912923/PCT#4</v>
      </c>
    </row>
    <row r="1509" spans="1:8" x14ac:dyDescent="0.25">
      <c r="E1509" t="str">
        <f>"9402558486"</f>
        <v>9402558486</v>
      </c>
      <c r="F1509" t="str">
        <f>"ACCT#912923/PCT#4"</f>
        <v>ACCT#912923/PCT#4</v>
      </c>
      <c r="G1509" s="3">
        <v>3845</v>
      </c>
      <c r="H1509" t="str">
        <f>"ACCT#912923/PCT#4"</f>
        <v>ACCT#912923/PCT#4</v>
      </c>
    </row>
    <row r="1510" spans="1:8" x14ac:dyDescent="0.25">
      <c r="E1510" t="str">
        <f>"9402558743"</f>
        <v>9402558743</v>
      </c>
      <c r="F1510" t="str">
        <f>"ACCT#912897/PCT#3"</f>
        <v>ACCT#912897/PCT#3</v>
      </c>
      <c r="G1510" s="3">
        <v>15730.47</v>
      </c>
      <c r="H1510" t="str">
        <f>"ACCT#912897/PCT#3"</f>
        <v>ACCT#912897/PCT#3</v>
      </c>
    </row>
    <row r="1511" spans="1:8" x14ac:dyDescent="0.25">
      <c r="E1511" t="str">
        <f>"9402558746"</f>
        <v>9402558746</v>
      </c>
      <c r="F1511" t="str">
        <f>"ACCT#912922/PCT#1"</f>
        <v>ACCT#912922/PCT#1</v>
      </c>
      <c r="G1511" s="3">
        <v>13099.02</v>
      </c>
      <c r="H1511" t="str">
        <f>"ACCT#912922/PCT#1"</f>
        <v>ACCT#912922/PCT#1</v>
      </c>
    </row>
    <row r="1512" spans="1:8" x14ac:dyDescent="0.25">
      <c r="E1512" t="str">
        <f>"9402559635"</f>
        <v>9402559635</v>
      </c>
      <c r="F1512" t="str">
        <f>"ACCT#912897/PCT#3"</f>
        <v>ACCT#912897/PCT#3</v>
      </c>
      <c r="G1512" s="3">
        <v>13590.3</v>
      </c>
      <c r="H1512" t="str">
        <f>"ACCT#912897/PCT#3"</f>
        <v>ACCT#912897/PCT#3</v>
      </c>
    </row>
    <row r="1513" spans="1:8" x14ac:dyDescent="0.25">
      <c r="E1513" t="str">
        <f>"9402559636"</f>
        <v>9402559636</v>
      </c>
      <c r="F1513" t="str">
        <f>"ACCT#912897/PCT#3"</f>
        <v>ACCT#912897/PCT#3</v>
      </c>
      <c r="G1513" s="3">
        <v>15767.01</v>
      </c>
      <c r="H1513" t="str">
        <f>"ACCT#912897/PCT#3"</f>
        <v>ACCT#912897/PCT#3</v>
      </c>
    </row>
    <row r="1514" spans="1:8" x14ac:dyDescent="0.25">
      <c r="E1514" t="str">
        <f>"9402559925"</f>
        <v>9402559925</v>
      </c>
      <c r="F1514" t="str">
        <f>"ACCT#912923/PCT#4"</f>
        <v>ACCT#912923/PCT#4</v>
      </c>
      <c r="G1514" s="3">
        <v>3835</v>
      </c>
      <c r="H1514" t="str">
        <f>"ACCT#912923/PCT#4"</f>
        <v>ACCT#912923/PCT#4</v>
      </c>
    </row>
    <row r="1515" spans="1:8" x14ac:dyDescent="0.25">
      <c r="E1515" t="str">
        <f>"9402560924"</f>
        <v>9402560924</v>
      </c>
      <c r="F1515" t="str">
        <f>"ACCT#912922/PCT#1"</f>
        <v>ACCT#912922/PCT#1</v>
      </c>
      <c r="G1515" s="3">
        <v>13141.74</v>
      </c>
      <c r="H1515" t="str">
        <f>"ACCT#912922/PCT#1"</f>
        <v>ACCT#912922/PCT#1</v>
      </c>
    </row>
    <row r="1516" spans="1:8" x14ac:dyDescent="0.25">
      <c r="A1516" t="s">
        <v>386</v>
      </c>
      <c r="B1516">
        <v>1289</v>
      </c>
      <c r="C1516" s="3">
        <v>750</v>
      </c>
      <c r="D1516" s="4">
        <v>44452</v>
      </c>
      <c r="E1516" t="str">
        <f>"252-2409145"</f>
        <v>252-2409145</v>
      </c>
      <c r="F1516" t="str">
        <f>"SERIES 2015-PAYING AGENT FEE"</f>
        <v>SERIES 2015-PAYING AGENT FEE</v>
      </c>
      <c r="G1516" s="3">
        <v>750</v>
      </c>
      <c r="H1516" t="str">
        <f>"SERIES 2015-PAYING AGENT FEE"</f>
        <v>SERIES 2015-PAYING AGENT FEE</v>
      </c>
    </row>
    <row r="1517" spans="1:8" x14ac:dyDescent="0.25">
      <c r="A1517" t="s">
        <v>142</v>
      </c>
      <c r="B1517">
        <v>5172</v>
      </c>
      <c r="C1517" s="3">
        <v>160.44</v>
      </c>
      <c r="D1517" s="4">
        <v>44467</v>
      </c>
      <c r="E1517" t="str">
        <f>"76075AP"</f>
        <v>76075AP</v>
      </c>
      <c r="F1517" t="str">
        <f>"ACCT#3326/PCT#4"</f>
        <v>ACCT#3326/PCT#4</v>
      </c>
      <c r="G1517" s="3">
        <v>95.47</v>
      </c>
      <c r="H1517" t="str">
        <f>"ACCT#3326/PCT#4"</f>
        <v>ACCT#3326/PCT#4</v>
      </c>
    </row>
    <row r="1518" spans="1:8" x14ac:dyDescent="0.25">
      <c r="E1518" t="str">
        <f>"76272AP"</f>
        <v>76272AP</v>
      </c>
      <c r="F1518" t="str">
        <f>"ACCT#3326/PCT#4"</f>
        <v>ACCT#3326/PCT#4</v>
      </c>
      <c r="G1518" s="3">
        <v>64.97</v>
      </c>
      <c r="H1518" t="str">
        <f>"AUSTIN TRUCK AND EQUIPMENT  LT"</f>
        <v>AUSTIN TRUCK AND EQUIPMENT  LT</v>
      </c>
    </row>
    <row r="1519" spans="1:8" x14ac:dyDescent="0.25">
      <c r="A1519" t="s">
        <v>146</v>
      </c>
      <c r="B1519">
        <v>5091</v>
      </c>
      <c r="C1519" s="3">
        <v>156975.39000000001</v>
      </c>
      <c r="D1519" s="4">
        <v>44453</v>
      </c>
      <c r="E1519" t="str">
        <f>"202109085602"</f>
        <v>202109085602</v>
      </c>
      <c r="F1519" t="str">
        <f>"Updates"</f>
        <v>Updates</v>
      </c>
      <c r="G1519" s="3">
        <v>156975.39000000001</v>
      </c>
      <c r="H1519" t="str">
        <f>"Final Price"</f>
        <v>Final Price</v>
      </c>
    </row>
    <row r="1520" spans="1:8" x14ac:dyDescent="0.25">
      <c r="A1520" t="s">
        <v>146</v>
      </c>
      <c r="B1520">
        <v>5169</v>
      </c>
      <c r="C1520" s="3">
        <v>44727.839999999997</v>
      </c>
      <c r="D1520" s="4">
        <v>44467</v>
      </c>
      <c r="E1520" t="str">
        <f>"202109215875"</f>
        <v>202109215875</v>
      </c>
      <c r="F1520" t="str">
        <f>"Updates"</f>
        <v>Updates</v>
      </c>
      <c r="G1520" s="3">
        <v>24600</v>
      </c>
      <c r="H1520" t="str">
        <f>"Labor"</f>
        <v>Labor</v>
      </c>
    </row>
    <row r="1521" spans="1:8" x14ac:dyDescent="0.25">
      <c r="E1521" t="str">
        <f>""</f>
        <v/>
      </c>
      <c r="F1521" t="str">
        <f>""</f>
        <v/>
      </c>
      <c r="G1521" s="3">
        <v>3444</v>
      </c>
      <c r="H1521" t="str">
        <f>"Additional Repair"</f>
        <v>Additional Repair</v>
      </c>
    </row>
    <row r="1522" spans="1:8" x14ac:dyDescent="0.25">
      <c r="E1522" t="str">
        <f>""</f>
        <v/>
      </c>
      <c r="F1522" t="str">
        <f>""</f>
        <v/>
      </c>
      <c r="G1522" s="3">
        <v>15459.95</v>
      </c>
      <c r="H1522" t="str">
        <f>"Material/Freight"</f>
        <v>Material/Freight</v>
      </c>
    </row>
    <row r="1523" spans="1:8" x14ac:dyDescent="0.25">
      <c r="E1523" t="str">
        <f>""</f>
        <v/>
      </c>
      <c r="F1523" t="str">
        <f>""</f>
        <v/>
      </c>
      <c r="G1523" s="3">
        <v>1223.8900000000001</v>
      </c>
      <c r="H1523" t="str">
        <f>"General Conditions"</f>
        <v>General Conditions</v>
      </c>
    </row>
    <row r="1524" spans="1:8" x14ac:dyDescent="0.25">
      <c r="A1524" t="s">
        <v>153</v>
      </c>
      <c r="B1524">
        <v>137011</v>
      </c>
      <c r="C1524" s="3">
        <v>60</v>
      </c>
      <c r="D1524" s="4">
        <v>44452</v>
      </c>
      <c r="E1524" t="str">
        <f>"1149696"</f>
        <v>1149696</v>
      </c>
      <c r="F1524" t="str">
        <f>"ACCT#55026/ORD#1041972/P4"</f>
        <v>ACCT#55026/ORD#1041972/P4</v>
      </c>
      <c r="G1524" s="3">
        <v>60</v>
      </c>
      <c r="H1524" t="str">
        <f>"ACCT#55026/ORD#1041972/P4"</f>
        <v>ACCT#55026/ORD#1041972/P4</v>
      </c>
    </row>
    <row r="1525" spans="1:8" x14ac:dyDescent="0.25">
      <c r="A1525" t="s">
        <v>153</v>
      </c>
      <c r="B1525">
        <v>137184</v>
      </c>
      <c r="C1525" s="3">
        <v>477.5</v>
      </c>
      <c r="D1525" s="4">
        <v>44466</v>
      </c>
      <c r="E1525" t="str">
        <f>"1126511"</f>
        <v>1126511</v>
      </c>
      <c r="F1525" t="str">
        <f>"ACCT#60128/PCT#4"</f>
        <v>ACCT#60128/PCT#4</v>
      </c>
      <c r="G1525" s="3">
        <v>197.5</v>
      </c>
      <c r="H1525" t="str">
        <f>"ACCT#60128/PCT#4"</f>
        <v>ACCT#60128/PCT#4</v>
      </c>
    </row>
    <row r="1526" spans="1:8" x14ac:dyDescent="0.25">
      <c r="E1526" t="str">
        <f>"1154100"</f>
        <v>1154100</v>
      </c>
      <c r="F1526" t="str">
        <f>"ACCT#60128/PCT#4"</f>
        <v>ACCT#60128/PCT#4</v>
      </c>
      <c r="G1526" s="3">
        <v>150</v>
      </c>
      <c r="H1526" t="str">
        <f>"ACCT#60128/PCT#4"</f>
        <v>ACCT#60128/PCT#4</v>
      </c>
    </row>
    <row r="1527" spans="1:8" x14ac:dyDescent="0.25">
      <c r="E1527" t="str">
        <f>"1158334"</f>
        <v>1158334</v>
      </c>
      <c r="F1527" t="str">
        <f>"ACCT#60128/PCT#4"</f>
        <v>ACCT#60128/PCT#4</v>
      </c>
      <c r="G1527" s="3">
        <v>130</v>
      </c>
      <c r="H1527" t="str">
        <f>"ACCT#60128/PCT#4"</f>
        <v>ACCT#60128/PCT#4</v>
      </c>
    </row>
    <row r="1528" spans="1:8" x14ac:dyDescent="0.25">
      <c r="A1528" t="s">
        <v>387</v>
      </c>
      <c r="B1528">
        <v>137012</v>
      </c>
      <c r="C1528" s="3">
        <v>97.2</v>
      </c>
      <c r="D1528" s="4">
        <v>44452</v>
      </c>
      <c r="E1528" t="str">
        <f>"10886225"</f>
        <v>10886225</v>
      </c>
      <c r="F1528" t="str">
        <f>"CUST#3224/PCT#4"</f>
        <v>CUST#3224/PCT#4</v>
      </c>
      <c r="G1528" s="3">
        <v>97.2</v>
      </c>
      <c r="H1528" t="str">
        <f>"CUST#3224/PCT#4"</f>
        <v>CUST#3224/PCT#4</v>
      </c>
    </row>
    <row r="1529" spans="1:8" x14ac:dyDescent="0.25">
      <c r="A1529" t="s">
        <v>163</v>
      </c>
      <c r="B1529">
        <v>137013</v>
      </c>
      <c r="C1529" s="3">
        <v>608.80999999999995</v>
      </c>
      <c r="D1529" s="4">
        <v>44452</v>
      </c>
      <c r="E1529" t="str">
        <f>"0130"</f>
        <v>0130</v>
      </c>
      <c r="F1529" t="str">
        <f>"Statement"</f>
        <v>Statement</v>
      </c>
      <c r="G1529" s="3">
        <v>64.650000000000006</v>
      </c>
      <c r="H1529" t="str">
        <f>"521786"</f>
        <v>521786</v>
      </c>
    </row>
    <row r="1530" spans="1:8" x14ac:dyDescent="0.25">
      <c r="E1530" t="str">
        <f>""</f>
        <v/>
      </c>
      <c r="F1530" t="str">
        <f>""</f>
        <v/>
      </c>
      <c r="G1530" s="3">
        <v>317.58999999999997</v>
      </c>
      <c r="H1530" t="str">
        <f>"4544763"</f>
        <v>4544763</v>
      </c>
    </row>
    <row r="1531" spans="1:8" x14ac:dyDescent="0.25">
      <c r="E1531" t="str">
        <f>""</f>
        <v/>
      </c>
      <c r="F1531" t="str">
        <f>""</f>
        <v/>
      </c>
      <c r="G1531" s="3">
        <v>121.96</v>
      </c>
      <c r="H1531" t="str">
        <f>"7532290"</f>
        <v>7532290</v>
      </c>
    </row>
    <row r="1532" spans="1:8" x14ac:dyDescent="0.25">
      <c r="E1532" t="str">
        <f>""</f>
        <v/>
      </c>
      <c r="F1532" t="str">
        <f>""</f>
        <v/>
      </c>
      <c r="G1532" s="3">
        <v>11.89</v>
      </c>
      <c r="H1532" t="str">
        <f>"6522177"</f>
        <v>6522177</v>
      </c>
    </row>
    <row r="1533" spans="1:8" x14ac:dyDescent="0.25">
      <c r="E1533" t="str">
        <f>""</f>
        <v/>
      </c>
      <c r="F1533" t="str">
        <f>""</f>
        <v/>
      </c>
      <c r="G1533" s="3">
        <v>-64.97</v>
      </c>
      <c r="H1533" t="str">
        <f>"7092944"</f>
        <v>7092944</v>
      </c>
    </row>
    <row r="1534" spans="1:8" x14ac:dyDescent="0.25">
      <c r="E1534" t="str">
        <f>""</f>
        <v/>
      </c>
      <c r="F1534" t="str">
        <f>""</f>
        <v/>
      </c>
      <c r="G1534" s="3">
        <v>157.69</v>
      </c>
      <c r="H1534" t="str">
        <f>"530120"</f>
        <v>530120</v>
      </c>
    </row>
    <row r="1535" spans="1:8" x14ac:dyDescent="0.25">
      <c r="A1535" t="s">
        <v>388</v>
      </c>
      <c r="B1535">
        <v>137185</v>
      </c>
      <c r="C1535" s="3">
        <v>49.75</v>
      </c>
      <c r="D1535" s="4">
        <v>44466</v>
      </c>
      <c r="E1535" t="str">
        <f>"202109165729"</f>
        <v>202109165729</v>
      </c>
      <c r="F1535" t="str">
        <f>"REIMBURSE/JAMES K ALTGELT"</f>
        <v>REIMBURSE/JAMES K ALTGELT</v>
      </c>
      <c r="G1535" s="3">
        <v>49.75</v>
      </c>
      <c r="H1535" t="str">
        <f>"REIMBURSE/JAMES K ALTGELT"</f>
        <v>REIMBURSE/JAMES K ALTGELT</v>
      </c>
    </row>
    <row r="1536" spans="1:8" x14ac:dyDescent="0.25">
      <c r="A1536" t="s">
        <v>389</v>
      </c>
      <c r="B1536">
        <v>5088</v>
      </c>
      <c r="C1536" s="3">
        <v>3266.19</v>
      </c>
      <c r="D1536" s="4">
        <v>44453</v>
      </c>
      <c r="E1536" t="str">
        <f>"827627"</f>
        <v>827627</v>
      </c>
      <c r="F1536" t="str">
        <f>"Card Readers"</f>
        <v>Card Readers</v>
      </c>
      <c r="G1536" s="3">
        <v>3266.19</v>
      </c>
      <c r="H1536" t="str">
        <f>"Card Readers MFB"</f>
        <v>Card Readers MFB</v>
      </c>
    </row>
    <row r="1537" spans="1:8" x14ac:dyDescent="0.25">
      <c r="A1537" t="s">
        <v>188</v>
      </c>
      <c r="B1537">
        <v>137014</v>
      </c>
      <c r="C1537" s="3">
        <v>56.56</v>
      </c>
      <c r="D1537" s="4">
        <v>44452</v>
      </c>
      <c r="E1537" t="str">
        <f>"213588659"</f>
        <v>213588659</v>
      </c>
      <c r="F1537" t="str">
        <f>"ACCT#1595/BOOT CAMP"</f>
        <v>ACCT#1595/BOOT CAMP</v>
      </c>
      <c r="G1537" s="3">
        <v>21.18</v>
      </c>
      <c r="H1537" t="str">
        <f>"ACCT#1595/BOOT CAMP"</f>
        <v>ACCT#1595/BOOT CAMP</v>
      </c>
    </row>
    <row r="1538" spans="1:8" x14ac:dyDescent="0.25">
      <c r="E1538" t="str">
        <f>"213588682"</f>
        <v>213588682</v>
      </c>
      <c r="F1538" t="str">
        <f>"ACCT#1800/PCT#4"</f>
        <v>ACCT#1800/PCT#4</v>
      </c>
      <c r="G1538" s="3">
        <v>35.380000000000003</v>
      </c>
      <c r="H1538" t="str">
        <f>"ACCT#1800/PCT#4"</f>
        <v>ACCT#1800/PCT#4</v>
      </c>
    </row>
    <row r="1539" spans="1:8" x14ac:dyDescent="0.25">
      <c r="A1539" t="s">
        <v>390</v>
      </c>
      <c r="B1539">
        <v>5093</v>
      </c>
      <c r="C1539" s="3">
        <v>1248</v>
      </c>
      <c r="D1539" s="4">
        <v>44453</v>
      </c>
      <c r="E1539" t="str">
        <f>"202109075547"</f>
        <v>202109075547</v>
      </c>
      <c r="F1539" t="str">
        <f>"TRASH REMOVAL/LONNIE DAVIS"</f>
        <v>TRASH REMOVAL/LONNIE DAVIS</v>
      </c>
      <c r="G1539" s="3">
        <v>728</v>
      </c>
      <c r="H1539" t="str">
        <f>"TRASH REMOVAL/LONNIE DAVIS"</f>
        <v>TRASH REMOVAL/LONNIE DAVIS</v>
      </c>
    </row>
    <row r="1540" spans="1:8" x14ac:dyDescent="0.25">
      <c r="E1540" t="str">
        <f>"202109075548"</f>
        <v>202109075548</v>
      </c>
      <c r="F1540" t="str">
        <f>"TRASH REMOVAL/LONNIE DAVIS"</f>
        <v>TRASH REMOVAL/LONNIE DAVIS</v>
      </c>
      <c r="G1540" s="3">
        <v>520</v>
      </c>
      <c r="H1540" t="str">
        <f>"TRASH REMOVAL/LONNIE DAVIS"</f>
        <v>TRASH REMOVAL/LONNIE DAVIS</v>
      </c>
    </row>
    <row r="1541" spans="1:8" x14ac:dyDescent="0.25">
      <c r="A1541" t="s">
        <v>390</v>
      </c>
      <c r="B1541">
        <v>5171</v>
      </c>
      <c r="C1541" s="3">
        <v>884</v>
      </c>
      <c r="D1541" s="4">
        <v>44467</v>
      </c>
      <c r="E1541" t="str">
        <f>"202109205827"</f>
        <v>202109205827</v>
      </c>
      <c r="F1541" t="str">
        <f>"TRASH REMOVAL/LONNIE DAVIS JR"</f>
        <v>TRASH REMOVAL/LONNIE DAVIS JR</v>
      </c>
      <c r="G1541" s="3">
        <v>884</v>
      </c>
      <c r="H1541" t="str">
        <f>"TRASH REMOVAL/LONNIE DAVIS JR"</f>
        <v>TRASH REMOVAL/LONNIE DAVIS JR</v>
      </c>
    </row>
    <row r="1542" spans="1:8" x14ac:dyDescent="0.25">
      <c r="A1542" t="s">
        <v>216</v>
      </c>
      <c r="B1542">
        <v>5094</v>
      </c>
      <c r="C1542" s="3">
        <v>50.27</v>
      </c>
      <c r="D1542" s="4">
        <v>44453</v>
      </c>
      <c r="E1542" t="str">
        <f>"611966"</f>
        <v>611966</v>
      </c>
      <c r="F1542" t="str">
        <f>"ACCT#0900-9811130-001/PCT#4"</f>
        <v>ACCT#0900-9811130-001/PCT#4</v>
      </c>
      <c r="G1542" s="3">
        <v>50.27</v>
      </c>
      <c r="H1542" t="str">
        <f>"ACCT#0900-9811130-001/PCT#4"</f>
        <v>ACCT#0900-9811130-001/PCT#4</v>
      </c>
    </row>
    <row r="1543" spans="1:8" x14ac:dyDescent="0.25">
      <c r="A1543" t="s">
        <v>249</v>
      </c>
      <c r="B1543">
        <v>5086</v>
      </c>
      <c r="C1543" s="3">
        <v>98768.97</v>
      </c>
      <c r="D1543" s="4">
        <v>44453</v>
      </c>
      <c r="E1543" t="str">
        <f>"21399"</f>
        <v>21399</v>
      </c>
      <c r="F1543" t="str">
        <f>"CHIP SEAL ASPHALT/PCT#1"</f>
        <v>CHIP SEAL ASPHALT/PCT#1</v>
      </c>
      <c r="G1543" s="3">
        <v>52193.14</v>
      </c>
      <c r="H1543" t="str">
        <f>"CHIP SEAL ASPHALT/PCT#1"</f>
        <v>CHIP SEAL ASPHALT/PCT#1</v>
      </c>
    </row>
    <row r="1544" spans="1:8" x14ac:dyDescent="0.25">
      <c r="E1544" t="str">
        <f>"21419"</f>
        <v>21419</v>
      </c>
      <c r="F1544" t="str">
        <f>"ASPHALT EMULSION/PCT#1"</f>
        <v>ASPHALT EMULSION/PCT#1</v>
      </c>
      <c r="G1544" s="3">
        <v>30698.45</v>
      </c>
      <c r="H1544" t="str">
        <f>"ASPHALT EMULSION/PCT#1"</f>
        <v>ASPHALT EMULSION/PCT#1</v>
      </c>
    </row>
    <row r="1545" spans="1:8" x14ac:dyDescent="0.25">
      <c r="E1545" t="str">
        <f>"21439"</f>
        <v>21439</v>
      </c>
      <c r="F1545" t="str">
        <f>"ASPHALT EMULSION/PCT#1"</f>
        <v>ASPHALT EMULSION/PCT#1</v>
      </c>
      <c r="G1545" s="3">
        <v>15877.38</v>
      </c>
      <c r="H1545" t="str">
        <f>"ASPHALT EMULSION/PCT#1"</f>
        <v>ASPHALT EMULSION/PCT#1</v>
      </c>
    </row>
    <row r="1546" spans="1:8" x14ac:dyDescent="0.25">
      <c r="A1546" t="s">
        <v>249</v>
      </c>
      <c r="B1546">
        <v>5166</v>
      </c>
      <c r="C1546" s="3">
        <v>65845.19</v>
      </c>
      <c r="D1546" s="4">
        <v>44467</v>
      </c>
      <c r="E1546" t="str">
        <f>"21447"</f>
        <v>21447</v>
      </c>
      <c r="F1546" t="str">
        <f>"ASPHALT EMULSION/PCT#1"</f>
        <v>ASPHALT EMULSION/PCT#1</v>
      </c>
      <c r="G1546" s="3">
        <v>45296.45</v>
      </c>
      <c r="H1546" t="str">
        <f>"ASPHALT EMULSION/PCT#1"</f>
        <v>ASPHALT EMULSION/PCT#1</v>
      </c>
    </row>
    <row r="1547" spans="1:8" x14ac:dyDescent="0.25">
      <c r="E1547" t="str">
        <f>"21463"</f>
        <v>21463</v>
      </c>
      <c r="F1547" t="str">
        <f>"ASPHALT EMULISION/PCT#1"</f>
        <v>ASPHALT EMULISION/PCT#1</v>
      </c>
      <c r="G1547" s="3">
        <v>20548.740000000002</v>
      </c>
      <c r="H1547" t="str">
        <f>"ASPHALT EMULISION/PCT#1"</f>
        <v>ASPHALT EMULISION/PCT#1</v>
      </c>
    </row>
    <row r="1548" spans="1:8" x14ac:dyDescent="0.25">
      <c r="A1548" t="s">
        <v>253</v>
      </c>
      <c r="B1548">
        <v>137015</v>
      </c>
      <c r="C1548" s="3">
        <v>37.76</v>
      </c>
      <c r="D1548" s="4">
        <v>44452</v>
      </c>
      <c r="E1548" t="str">
        <f>"202109075553"</f>
        <v>202109075553</v>
      </c>
      <c r="F1548" t="str">
        <f>"CUST#PK001137/PCT#4"</f>
        <v>CUST#PK001137/PCT#4</v>
      </c>
      <c r="G1548" s="3">
        <v>37.76</v>
      </c>
      <c r="H1548" t="str">
        <f>"CUST#PK001137/PCT#4"</f>
        <v>CUST#PK001137/PCT#4</v>
      </c>
    </row>
    <row r="1549" spans="1:8" x14ac:dyDescent="0.25">
      <c r="A1549" t="s">
        <v>391</v>
      </c>
      <c r="B1549">
        <v>5087</v>
      </c>
      <c r="C1549" s="3">
        <v>1001</v>
      </c>
      <c r="D1549" s="4">
        <v>44453</v>
      </c>
      <c r="E1549" t="str">
        <f>"202109075551"</f>
        <v>202109075551</v>
      </c>
      <c r="F1549" t="str">
        <f>"TRAHS REMOVAL/PAUL GRANADO"</f>
        <v>TRAHS REMOVAL/PAUL GRANADO</v>
      </c>
      <c r="G1549" s="3">
        <v>552.5</v>
      </c>
      <c r="H1549" t="str">
        <f>"TRAHS REMOVAL/PAUL GRANADO"</f>
        <v>TRAHS REMOVAL/PAUL GRANADO</v>
      </c>
    </row>
    <row r="1550" spans="1:8" x14ac:dyDescent="0.25">
      <c r="E1550" t="str">
        <f>"202109075552"</f>
        <v>202109075552</v>
      </c>
      <c r="F1550" t="str">
        <f>"TRASH REMOVAL/PAUL GRANADO"</f>
        <v>TRASH REMOVAL/PAUL GRANADO</v>
      </c>
      <c r="G1550" s="3">
        <v>448.5</v>
      </c>
      <c r="H1550" t="str">
        <f>"TRASH REMOVAL/PAUL GRANADO"</f>
        <v>TRASH REMOVAL/PAUL GRANADO</v>
      </c>
    </row>
    <row r="1551" spans="1:8" x14ac:dyDescent="0.25">
      <c r="A1551" t="s">
        <v>391</v>
      </c>
      <c r="B1551">
        <v>5167</v>
      </c>
      <c r="C1551" s="3">
        <v>695.5</v>
      </c>
      <c r="D1551" s="4">
        <v>44467</v>
      </c>
      <c r="E1551" t="str">
        <f>"202109205824"</f>
        <v>202109205824</v>
      </c>
      <c r="F1551" t="str">
        <f>"TRASH REMOVAL/PAUL GRANADO"</f>
        <v>TRASH REMOVAL/PAUL GRANADO</v>
      </c>
      <c r="G1551" s="3">
        <v>695.5</v>
      </c>
      <c r="H1551" t="str">
        <f>"TRASH REMOVAL/PAUL GRANADO"</f>
        <v>TRASH REMOVAL/PAUL GRANADO</v>
      </c>
    </row>
    <row r="1552" spans="1:8" x14ac:dyDescent="0.25">
      <c r="A1552" t="s">
        <v>260</v>
      </c>
      <c r="B1552">
        <v>5092</v>
      </c>
      <c r="C1552" s="3">
        <v>439.1</v>
      </c>
      <c r="D1552" s="4">
        <v>44453</v>
      </c>
      <c r="E1552" t="str">
        <f>"202109075546"</f>
        <v>202109075546</v>
      </c>
      <c r="F1552" t="str">
        <f>"ACCT#5/PCT#4"</f>
        <v>ACCT#5/PCT#4</v>
      </c>
      <c r="G1552" s="3">
        <v>439.1</v>
      </c>
      <c r="H1552" t="str">
        <f>"ACCT#5/PCT#4"</f>
        <v>ACCT#5/PCT#4</v>
      </c>
    </row>
    <row r="1553" spans="1:8" x14ac:dyDescent="0.25">
      <c r="A1553" t="s">
        <v>392</v>
      </c>
      <c r="B1553">
        <v>137186</v>
      </c>
      <c r="C1553" s="3">
        <v>5466.38</v>
      </c>
      <c r="D1553" s="4">
        <v>44466</v>
      </c>
      <c r="E1553" t="str">
        <f>"202109215873"</f>
        <v>202109215873</v>
      </c>
      <c r="F1553" t="str">
        <f>"PREFERRED TECHNOLOGIES  LLC"</f>
        <v>PREFERRED TECHNOLOGIES  LLC</v>
      </c>
      <c r="G1553" s="3">
        <v>5466.38</v>
      </c>
      <c r="H1553" t="str">
        <f>"Camera Mounts"</f>
        <v>Camera Mounts</v>
      </c>
    </row>
    <row r="1554" spans="1:8" x14ac:dyDescent="0.25">
      <c r="A1554" t="s">
        <v>393</v>
      </c>
      <c r="B1554">
        <v>137016</v>
      </c>
      <c r="C1554" s="3">
        <v>47465.66</v>
      </c>
      <c r="D1554" s="4">
        <v>44452</v>
      </c>
      <c r="E1554" t="str">
        <f>"374716"</f>
        <v>374716</v>
      </c>
      <c r="F1554" t="str">
        <f>"PRO PAC"</f>
        <v>PRO PAC</v>
      </c>
      <c r="G1554" s="3">
        <v>47265.66</v>
      </c>
      <c r="H1554" t="str">
        <f>"Disaster Trailer"</f>
        <v>Disaster Trailer</v>
      </c>
    </row>
    <row r="1555" spans="1:8" x14ac:dyDescent="0.25">
      <c r="E1555" t="str">
        <f>"374802"</f>
        <v>374802</v>
      </c>
      <c r="F1555" t="str">
        <f>"ACCT#BAS000003/OEM"</f>
        <v>ACCT#BAS000003/OEM</v>
      </c>
      <c r="G1555" s="3">
        <v>200</v>
      </c>
      <c r="H1555" t="str">
        <f>"ACCT#BAS000003/OEM"</f>
        <v>ACCT#BAS000003/OEM</v>
      </c>
    </row>
    <row r="1556" spans="1:8" x14ac:dyDescent="0.25">
      <c r="A1556" t="s">
        <v>266</v>
      </c>
      <c r="B1556">
        <v>137017</v>
      </c>
      <c r="C1556" s="3">
        <v>80</v>
      </c>
      <c r="D1556" s="4">
        <v>44452</v>
      </c>
      <c r="E1556" t="str">
        <f>"134195"</f>
        <v>134195</v>
      </c>
      <c r="F1556" t="str">
        <f>"REPAIR TAILGATE/PCT#4"</f>
        <v>REPAIR TAILGATE/PCT#4</v>
      </c>
      <c r="G1556" s="3">
        <v>80</v>
      </c>
      <c r="H1556" t="str">
        <f>"REPAIR TAILGATE/PCT#4"</f>
        <v>REPAIR TAILGATE/PCT#4</v>
      </c>
    </row>
    <row r="1557" spans="1:8" x14ac:dyDescent="0.25">
      <c r="A1557" t="s">
        <v>394</v>
      </c>
      <c r="B1557">
        <v>137189</v>
      </c>
      <c r="C1557" s="3">
        <v>90576.02</v>
      </c>
      <c r="D1557" s="4">
        <v>44468</v>
      </c>
      <c r="E1557" t="str">
        <f>"14738"</f>
        <v>14738</v>
      </c>
      <c r="F1557" t="str">
        <f>"COVI-19 Rapid Test Kits"</f>
        <v>COVI-19 Rapid Test Kits</v>
      </c>
      <c r="G1557" s="3">
        <v>89600</v>
      </c>
      <c r="H1557" t="str">
        <f>"COVI-19 Rapid Test Kits"</f>
        <v>COVI-19 Rapid Test Kits</v>
      </c>
    </row>
    <row r="1558" spans="1:8" x14ac:dyDescent="0.25">
      <c r="E1558" t="str">
        <f>""</f>
        <v/>
      </c>
      <c r="F1558" t="str">
        <f>""</f>
        <v/>
      </c>
      <c r="G1558" s="3">
        <v>976.02</v>
      </c>
      <c r="H1558" t="str">
        <f>"Shipping"</f>
        <v>Shipping</v>
      </c>
    </row>
    <row r="1559" spans="1:8" x14ac:dyDescent="0.25">
      <c r="A1559" t="s">
        <v>395</v>
      </c>
      <c r="B1559">
        <v>137018</v>
      </c>
      <c r="C1559" s="3">
        <v>6.5</v>
      </c>
      <c r="D1559" s="4">
        <v>44452</v>
      </c>
      <c r="E1559" t="str">
        <f>"202109065539"</f>
        <v>202109065539</v>
      </c>
      <c r="F1559" t="str">
        <f>"REIMBURSE/SARAH D. JACKSON"</f>
        <v>REIMBURSE/SARAH D. JACKSON</v>
      </c>
      <c r="G1559" s="3">
        <v>6.5</v>
      </c>
      <c r="H1559" t="str">
        <f>"REIMBURSE/SARAH D. JACKSON"</f>
        <v>REIMBURSE/SARAH D. JACKSON</v>
      </c>
    </row>
    <row r="1560" spans="1:8" x14ac:dyDescent="0.25">
      <c r="A1560" t="s">
        <v>295</v>
      </c>
      <c r="B1560">
        <v>137019</v>
      </c>
      <c r="C1560" s="3">
        <v>537.9</v>
      </c>
      <c r="D1560" s="4">
        <v>44452</v>
      </c>
      <c r="E1560" t="str">
        <f>"37546"</f>
        <v>37546</v>
      </c>
      <c r="F1560" t="str">
        <f>"CULVERT/PCT#4"</f>
        <v>CULVERT/PCT#4</v>
      </c>
      <c r="G1560" s="3">
        <v>537.9</v>
      </c>
      <c r="H1560" t="str">
        <f>"CULVERT/PCT#4"</f>
        <v>CULVERT/PCT#4</v>
      </c>
    </row>
    <row r="1561" spans="1:8" x14ac:dyDescent="0.25">
      <c r="A1561" t="s">
        <v>396</v>
      </c>
      <c r="B1561">
        <v>5089</v>
      </c>
      <c r="C1561" s="3">
        <v>552.5</v>
      </c>
      <c r="D1561" s="4">
        <v>44453</v>
      </c>
      <c r="E1561" t="str">
        <f>"202109075549"</f>
        <v>202109075549</v>
      </c>
      <c r="F1561" t="str">
        <f>"TRASH REMOVAL/STEVE GRANADO"</f>
        <v>TRASH REMOVAL/STEVE GRANADO</v>
      </c>
      <c r="G1561" s="3">
        <v>240.5</v>
      </c>
      <c r="H1561" t="str">
        <f>"TRASH REMOVAL/STEVE GRANADO"</f>
        <v>TRASH REMOVAL/STEVE GRANADO</v>
      </c>
    </row>
    <row r="1562" spans="1:8" x14ac:dyDescent="0.25">
      <c r="E1562" t="str">
        <f>"202109075550"</f>
        <v>202109075550</v>
      </c>
      <c r="F1562" t="str">
        <f>"TRASH REMOVAL/STEVE GRANADO"</f>
        <v>TRASH REMOVAL/STEVE GRANADO</v>
      </c>
      <c r="G1562" s="3">
        <v>312</v>
      </c>
      <c r="H1562" t="str">
        <f>"TRASH REMOVAL/STEVE GRANADO"</f>
        <v>TRASH REMOVAL/STEVE GRANADO</v>
      </c>
    </row>
    <row r="1563" spans="1:8" x14ac:dyDescent="0.25">
      <c r="A1563" t="s">
        <v>396</v>
      </c>
      <c r="B1563">
        <v>5168</v>
      </c>
      <c r="C1563" s="3">
        <v>396.5</v>
      </c>
      <c r="D1563" s="4">
        <v>44467</v>
      </c>
      <c r="E1563" t="str">
        <f>"202109205825"</f>
        <v>202109205825</v>
      </c>
      <c r="F1563" t="str">
        <f>"TRASH REMOVAL/STEVE GRANADO"</f>
        <v>TRASH REMOVAL/STEVE GRANADO</v>
      </c>
      <c r="G1563" s="3">
        <v>396.5</v>
      </c>
      <c r="H1563" t="str">
        <f>"TRASH REMOVAL/STEVE GRANADO"</f>
        <v>TRASH REMOVAL/STEVE GRANADO</v>
      </c>
    </row>
    <row r="1564" spans="1:8" x14ac:dyDescent="0.25">
      <c r="A1564" t="s">
        <v>397</v>
      </c>
      <c r="B1564">
        <v>137020</v>
      </c>
      <c r="C1564" s="3">
        <v>188.66</v>
      </c>
      <c r="D1564" s="4">
        <v>44452</v>
      </c>
      <c r="E1564" t="str">
        <f>"SD005122771"</f>
        <v>SD005122771</v>
      </c>
      <c r="F1564" t="str">
        <f>"ACCT#100238491/BOOTCAMP"</f>
        <v>ACCT#100238491/BOOTCAMP</v>
      </c>
      <c r="G1564" s="3">
        <v>188.66</v>
      </c>
      <c r="H1564" t="str">
        <f>"ACCT#100238491/BOOTCAMP"</f>
        <v>ACCT#100238491/BOOTCAMP</v>
      </c>
    </row>
    <row r="1565" spans="1:8" x14ac:dyDescent="0.25">
      <c r="A1565" t="s">
        <v>322</v>
      </c>
      <c r="B1565">
        <v>137021</v>
      </c>
      <c r="C1565" s="3">
        <v>5598.49</v>
      </c>
      <c r="D1565" s="4">
        <v>44452</v>
      </c>
      <c r="E1565" t="str">
        <f>"1125181-IN"</f>
        <v>1125181-IN</v>
      </c>
      <c r="F1565" t="str">
        <f>"ACCT#01-0112917/PCT#4"</f>
        <v>ACCT#01-0112917/PCT#4</v>
      </c>
      <c r="G1565" s="3">
        <v>5598.49</v>
      </c>
      <c r="H1565" t="str">
        <f>"ACCT#01-0112917/PCT#4"</f>
        <v>ACCT#01-0112917/PCT#4</v>
      </c>
    </row>
    <row r="1566" spans="1:8" x14ac:dyDescent="0.25">
      <c r="A1566" t="s">
        <v>322</v>
      </c>
      <c r="B1566">
        <v>137187</v>
      </c>
      <c r="C1566" s="3">
        <v>5323.25</v>
      </c>
      <c r="D1566" s="4">
        <v>44466</v>
      </c>
      <c r="E1566" t="str">
        <f>"1129474"</f>
        <v>1129474</v>
      </c>
      <c r="F1566" t="str">
        <f>"ACCT#01--0112917/PCT#4"</f>
        <v>ACCT#01--0112917/PCT#4</v>
      </c>
      <c r="G1566" s="3">
        <v>5323.25</v>
      </c>
      <c r="H1566" t="str">
        <f>"ACCT#01--0112917/PCT#4"</f>
        <v>ACCT#01--0112917/PCT#4</v>
      </c>
    </row>
    <row r="1567" spans="1:8" x14ac:dyDescent="0.25">
      <c r="A1567" t="s">
        <v>398</v>
      </c>
      <c r="B1567">
        <v>5095</v>
      </c>
      <c r="C1567" s="3">
        <v>6491.85</v>
      </c>
      <c r="D1567" s="4">
        <v>44453</v>
      </c>
      <c r="E1567" t="str">
        <f>"12394"</f>
        <v>12394</v>
      </c>
      <c r="F1567" t="str">
        <f t="shared" ref="F1567:F1572" si="25">"GRAVEL/PCT#4"</f>
        <v>GRAVEL/PCT#4</v>
      </c>
      <c r="G1567" s="3">
        <v>3223.65</v>
      </c>
      <c r="H1567" t="str">
        <f t="shared" ref="H1567:H1572" si="26">"GRAVEL/PCT#4"</f>
        <v>GRAVEL/PCT#4</v>
      </c>
    </row>
    <row r="1568" spans="1:8" x14ac:dyDescent="0.25">
      <c r="E1568" t="str">
        <f>"12416"</f>
        <v>12416</v>
      </c>
      <c r="F1568" t="str">
        <f t="shared" si="25"/>
        <v>GRAVEL/PCT#4</v>
      </c>
      <c r="G1568" s="3">
        <v>3268.2</v>
      </c>
      <c r="H1568" t="str">
        <f t="shared" si="26"/>
        <v>GRAVEL/PCT#4</v>
      </c>
    </row>
    <row r="1569" spans="1:8" x14ac:dyDescent="0.25">
      <c r="A1569" t="s">
        <v>398</v>
      </c>
      <c r="B1569">
        <v>5173</v>
      </c>
      <c r="C1569" s="3">
        <v>11151.6</v>
      </c>
      <c r="D1569" s="4">
        <v>44467</v>
      </c>
      <c r="E1569" t="str">
        <f>"12575"</f>
        <v>12575</v>
      </c>
      <c r="F1569" t="str">
        <f t="shared" si="25"/>
        <v>GRAVEL/PCT#4</v>
      </c>
      <c r="G1569" s="3">
        <v>4258.05</v>
      </c>
      <c r="H1569" t="str">
        <f t="shared" si="26"/>
        <v>GRAVEL/PCT#4</v>
      </c>
    </row>
    <row r="1570" spans="1:8" x14ac:dyDescent="0.25">
      <c r="E1570" t="str">
        <f>"12600"</f>
        <v>12600</v>
      </c>
      <c r="F1570" t="str">
        <f t="shared" si="25"/>
        <v>GRAVEL/PCT#4</v>
      </c>
      <c r="G1570" s="3">
        <v>3552.9</v>
      </c>
      <c r="H1570" t="str">
        <f t="shared" si="26"/>
        <v>GRAVEL/PCT#4</v>
      </c>
    </row>
    <row r="1571" spans="1:8" x14ac:dyDescent="0.25">
      <c r="E1571" t="str">
        <f>"12629"</f>
        <v>12629</v>
      </c>
      <c r="F1571" t="str">
        <f t="shared" si="25"/>
        <v>GRAVEL/PCT#4</v>
      </c>
      <c r="G1571" s="3">
        <v>290.39999999999998</v>
      </c>
      <c r="H1571" t="str">
        <f t="shared" si="26"/>
        <v>GRAVEL/PCT#4</v>
      </c>
    </row>
    <row r="1572" spans="1:8" x14ac:dyDescent="0.25">
      <c r="E1572" t="str">
        <f>"12649"</f>
        <v>12649</v>
      </c>
      <c r="F1572" t="str">
        <f t="shared" si="25"/>
        <v>GRAVEL/PCT#4</v>
      </c>
      <c r="G1572" s="3">
        <v>3050.25</v>
      </c>
      <c r="H1572" t="str">
        <f t="shared" si="26"/>
        <v>GRAVEL/PCT#4</v>
      </c>
    </row>
    <row r="1573" spans="1:8" x14ac:dyDescent="0.25">
      <c r="A1573" t="s">
        <v>326</v>
      </c>
      <c r="B1573">
        <v>137188</v>
      </c>
      <c r="C1573" s="3">
        <v>1297.3900000000001</v>
      </c>
      <c r="D1573" s="4">
        <v>44466</v>
      </c>
      <c r="E1573" t="str">
        <f>"202109215840"</f>
        <v>202109215840</v>
      </c>
      <c r="F1573" t="str">
        <f>"WORKERS COMP 4TH QTR 2021"</f>
        <v>WORKERS COMP 4TH QTR 2021</v>
      </c>
      <c r="G1573" s="3">
        <v>1297.3900000000001</v>
      </c>
      <c r="H1573" t="str">
        <f>"WORKERS COMP 4TH QTR 2021"</f>
        <v>WORKERS COMP 4TH QTR 2021</v>
      </c>
    </row>
    <row r="1574" spans="1:8" x14ac:dyDescent="0.25">
      <c r="A1574" t="s">
        <v>326</v>
      </c>
      <c r="B1574">
        <v>137195</v>
      </c>
      <c r="C1574" s="3">
        <v>29.18</v>
      </c>
      <c r="D1574" s="4">
        <v>44469</v>
      </c>
      <c r="E1574" t="str">
        <f>"D-2021-4-0110 APTF"</f>
        <v>D-2021-4-0110 APTF</v>
      </c>
      <c r="F1574" t="str">
        <f>"UNEMPLOYMENT QTR END 9/30/21"</f>
        <v>UNEMPLOYMENT QTR END 9/30/21</v>
      </c>
      <c r="G1574" s="3">
        <v>29.18</v>
      </c>
      <c r="H1574" t="str">
        <f>"UNEMPLOYMENT QTR END 9/30/21"</f>
        <v>UNEMPLOYMENT QTR END 9/30/21</v>
      </c>
    </row>
    <row r="1575" spans="1:8" x14ac:dyDescent="0.25">
      <c r="A1575" t="s">
        <v>399</v>
      </c>
      <c r="B1575">
        <v>137022</v>
      </c>
      <c r="C1575" s="3">
        <v>75</v>
      </c>
      <c r="D1575" s="4">
        <v>44452</v>
      </c>
      <c r="E1575" t="str">
        <f>"202109085605"</f>
        <v>202109085605</v>
      </c>
      <c r="F1575" t="str">
        <f>"CPR/AED TRAINING"</f>
        <v>CPR/AED TRAINING</v>
      </c>
      <c r="G1575" s="3">
        <v>75</v>
      </c>
      <c r="H1575" t="str">
        <f>"CPR/AED TRAINING"</f>
        <v>CPR/AED TRAINING</v>
      </c>
    </row>
    <row r="1576" spans="1:8" x14ac:dyDescent="0.25">
      <c r="A1576" t="s">
        <v>400</v>
      </c>
      <c r="B1576">
        <v>5090</v>
      </c>
      <c r="C1576" s="3">
        <v>2732.72</v>
      </c>
      <c r="D1576" s="4">
        <v>44453</v>
      </c>
      <c r="E1576" t="str">
        <f>"21650"</f>
        <v>21650</v>
      </c>
      <c r="F1576" t="str">
        <f>"COLD MIX/FREIGHT/PCT#4"</f>
        <v>COLD MIX/FREIGHT/PCT#4</v>
      </c>
      <c r="G1576" s="3">
        <v>2732.72</v>
      </c>
      <c r="H1576" t="str">
        <f>"COLD MIX/FREIGHT/PCT#4"</f>
        <v>COLD MIX/FREIGHT/PCT#4</v>
      </c>
    </row>
    <row r="1577" spans="1:8" x14ac:dyDescent="0.25">
      <c r="A1577" t="s">
        <v>401</v>
      </c>
      <c r="B1577">
        <v>1342</v>
      </c>
      <c r="C1577" s="3">
        <v>4396.93</v>
      </c>
      <c r="D1577" s="4">
        <v>44466</v>
      </c>
      <c r="E1577" t="str">
        <f>"202109275905"</f>
        <v>202109275905</v>
      </c>
      <c r="F1577" t="str">
        <f>"ROUNDING - SEPTEMBER 2021"</f>
        <v>ROUNDING - SEPTEMBER 2021</v>
      </c>
      <c r="G1577" s="3">
        <v>0.03</v>
      </c>
      <c r="H1577" t="str">
        <f>"ROUNDING - SEPTEMBER 2021"</f>
        <v>ROUNDING - SEPTEMBER 2021</v>
      </c>
    </row>
    <row r="1578" spans="1:8" x14ac:dyDescent="0.25">
      <c r="E1578" t="str">
        <f>"AS 202109015416"</f>
        <v>AS 202109015416</v>
      </c>
      <c r="F1578" t="str">
        <f t="shared" ref="F1578:F1591" si="27">"ALLSTATE"</f>
        <v>ALLSTATE</v>
      </c>
      <c r="G1578" s="3">
        <v>388.52</v>
      </c>
      <c r="H1578" t="str">
        <f t="shared" ref="H1578:H1591" si="28">"ALLSTATE"</f>
        <v>ALLSTATE</v>
      </c>
    </row>
    <row r="1579" spans="1:8" x14ac:dyDescent="0.25">
      <c r="E1579" t="str">
        <f>"AS 202109015417"</f>
        <v>AS 202109015417</v>
      </c>
      <c r="F1579" t="str">
        <f t="shared" si="27"/>
        <v>ALLSTATE</v>
      </c>
      <c r="G1579" s="3">
        <v>27.14</v>
      </c>
      <c r="H1579" t="str">
        <f t="shared" si="28"/>
        <v>ALLSTATE</v>
      </c>
    </row>
    <row r="1580" spans="1:8" x14ac:dyDescent="0.25">
      <c r="E1580" t="str">
        <f>"AS 202109155691"</f>
        <v>AS 202109155691</v>
      </c>
      <c r="F1580" t="str">
        <f t="shared" si="27"/>
        <v>ALLSTATE</v>
      </c>
      <c r="G1580" s="3">
        <v>388.52</v>
      </c>
      <c r="H1580" t="str">
        <f t="shared" si="28"/>
        <v>ALLSTATE</v>
      </c>
    </row>
    <row r="1581" spans="1:8" x14ac:dyDescent="0.25">
      <c r="E1581" t="str">
        <f>"AS 202109155692"</f>
        <v>AS 202109155692</v>
      </c>
      <c r="F1581" t="str">
        <f t="shared" si="27"/>
        <v>ALLSTATE</v>
      </c>
      <c r="G1581" s="3">
        <v>27.14</v>
      </c>
      <c r="H1581" t="str">
        <f t="shared" si="28"/>
        <v>ALLSTATE</v>
      </c>
    </row>
    <row r="1582" spans="1:8" x14ac:dyDescent="0.25">
      <c r="E1582" t="str">
        <f>"ASD202109015416"</f>
        <v>ASD202109015416</v>
      </c>
      <c r="F1582" t="str">
        <f t="shared" si="27"/>
        <v>ALLSTATE</v>
      </c>
      <c r="G1582" s="3">
        <v>170.21</v>
      </c>
      <c r="H1582" t="str">
        <f t="shared" si="28"/>
        <v>ALLSTATE</v>
      </c>
    </row>
    <row r="1583" spans="1:8" x14ac:dyDescent="0.25">
      <c r="E1583" t="str">
        <f>"ASD202109155691"</f>
        <v>ASD202109155691</v>
      </c>
      <c r="F1583" t="str">
        <f t="shared" si="27"/>
        <v>ALLSTATE</v>
      </c>
      <c r="G1583" s="3">
        <v>170.21</v>
      </c>
      <c r="H1583" t="str">
        <f t="shared" si="28"/>
        <v>ALLSTATE</v>
      </c>
    </row>
    <row r="1584" spans="1:8" x14ac:dyDescent="0.25">
      <c r="E1584" t="str">
        <f>"ASI202109015416"</f>
        <v>ASI202109015416</v>
      </c>
      <c r="F1584" t="str">
        <f t="shared" si="27"/>
        <v>ALLSTATE</v>
      </c>
      <c r="G1584" s="3">
        <v>532.82000000000005</v>
      </c>
      <c r="H1584" t="str">
        <f t="shared" si="28"/>
        <v>ALLSTATE</v>
      </c>
    </row>
    <row r="1585" spans="1:8" x14ac:dyDescent="0.25">
      <c r="E1585" t="str">
        <f>"ASI202109015417"</f>
        <v>ASI202109015417</v>
      </c>
      <c r="F1585" t="str">
        <f t="shared" si="27"/>
        <v>ALLSTATE</v>
      </c>
      <c r="G1585" s="3">
        <v>67.150000000000006</v>
      </c>
      <c r="H1585" t="str">
        <f t="shared" si="28"/>
        <v>ALLSTATE</v>
      </c>
    </row>
    <row r="1586" spans="1:8" x14ac:dyDescent="0.25">
      <c r="E1586" t="str">
        <f>"ASI202109155691"</f>
        <v>ASI202109155691</v>
      </c>
      <c r="F1586" t="str">
        <f t="shared" si="27"/>
        <v>ALLSTATE</v>
      </c>
      <c r="G1586" s="3">
        <v>532.82000000000005</v>
      </c>
      <c r="H1586" t="str">
        <f t="shared" si="28"/>
        <v>ALLSTATE</v>
      </c>
    </row>
    <row r="1587" spans="1:8" x14ac:dyDescent="0.25">
      <c r="E1587" t="str">
        <f>"ASI202109155692"</f>
        <v>ASI202109155692</v>
      </c>
      <c r="F1587" t="str">
        <f t="shared" si="27"/>
        <v>ALLSTATE</v>
      </c>
      <c r="G1587" s="3">
        <v>67.150000000000006</v>
      </c>
      <c r="H1587" t="str">
        <f t="shared" si="28"/>
        <v>ALLSTATE</v>
      </c>
    </row>
    <row r="1588" spans="1:8" x14ac:dyDescent="0.25">
      <c r="E1588" t="str">
        <f>"AST202109015416"</f>
        <v>AST202109015416</v>
      </c>
      <c r="F1588" t="str">
        <f t="shared" si="27"/>
        <v>ALLSTATE</v>
      </c>
      <c r="G1588" s="3">
        <v>981.2</v>
      </c>
      <c r="H1588" t="str">
        <f t="shared" si="28"/>
        <v>ALLSTATE</v>
      </c>
    </row>
    <row r="1589" spans="1:8" x14ac:dyDescent="0.25">
      <c r="E1589" t="str">
        <f>"AST202109015417"</f>
        <v>AST202109015417</v>
      </c>
      <c r="F1589" t="str">
        <f t="shared" si="27"/>
        <v>ALLSTATE</v>
      </c>
      <c r="G1589" s="3">
        <v>31.41</v>
      </c>
      <c r="H1589" t="str">
        <f t="shared" si="28"/>
        <v>ALLSTATE</v>
      </c>
    </row>
    <row r="1590" spans="1:8" x14ac:dyDescent="0.25">
      <c r="E1590" t="str">
        <f>"AST202109155691"</f>
        <v>AST202109155691</v>
      </c>
      <c r="F1590" t="str">
        <f t="shared" si="27"/>
        <v>ALLSTATE</v>
      </c>
      <c r="G1590" s="3">
        <v>981.2</v>
      </c>
      <c r="H1590" t="str">
        <f t="shared" si="28"/>
        <v>ALLSTATE</v>
      </c>
    </row>
    <row r="1591" spans="1:8" x14ac:dyDescent="0.25">
      <c r="E1591" t="str">
        <f>"AST202109155692"</f>
        <v>AST202109155692</v>
      </c>
      <c r="F1591" t="str">
        <f t="shared" si="27"/>
        <v>ALLSTATE</v>
      </c>
      <c r="G1591" s="3">
        <v>31.41</v>
      </c>
      <c r="H1591" t="str">
        <f t="shared" si="28"/>
        <v>ALLSTATE</v>
      </c>
    </row>
    <row r="1592" spans="1:8" x14ac:dyDescent="0.25">
      <c r="A1592" t="s">
        <v>402</v>
      </c>
      <c r="B1592">
        <v>1338</v>
      </c>
      <c r="C1592" s="3">
        <v>26574.93</v>
      </c>
      <c r="D1592" s="4">
        <v>44466</v>
      </c>
      <c r="E1592" t="str">
        <f>"202109275908"</f>
        <v>202109275908</v>
      </c>
      <c r="F1592" t="str">
        <f>"RETIREE INS - SEPTEMBER 2021"</f>
        <v>RETIREE INS - SEPTEMBER 2021</v>
      </c>
      <c r="G1592" s="3">
        <v>26574.93</v>
      </c>
      <c r="H1592" t="str">
        <f>"RETIREE INS - SEPTEMBER 2021"</f>
        <v>RETIREE INS - SEPTEMBER 2021</v>
      </c>
    </row>
    <row r="1593" spans="1:8" x14ac:dyDescent="0.25">
      <c r="A1593" t="s">
        <v>403</v>
      </c>
      <c r="B1593">
        <v>48467</v>
      </c>
      <c r="C1593" s="3">
        <v>32.25</v>
      </c>
      <c r="D1593" s="4">
        <v>44468</v>
      </c>
      <c r="E1593" t="str">
        <f>"202109295917"</f>
        <v>202109295917</v>
      </c>
      <c r="F1593" t="str">
        <f>"RETIREE INS REFUND EOY 2021"</f>
        <v>RETIREE INS REFUND EOY 2021</v>
      </c>
      <c r="G1593" s="3">
        <v>32.25</v>
      </c>
      <c r="H1593" t="str">
        <f>"RETIREE INS REFUND EOY 2021"</f>
        <v>RETIREE INS REFUND EOY 2021</v>
      </c>
    </row>
    <row r="1594" spans="1:8" x14ac:dyDescent="0.25">
      <c r="A1594" t="s">
        <v>45</v>
      </c>
      <c r="B1594">
        <v>1282</v>
      </c>
      <c r="C1594" s="3">
        <v>1625.19</v>
      </c>
      <c r="D1594" s="4">
        <v>44442</v>
      </c>
      <c r="E1594" t="str">
        <f>"DHM202109015418"</f>
        <v>DHM202109015418</v>
      </c>
      <c r="F1594" t="str">
        <f>"AP - DENTAL HMO"</f>
        <v>AP - DENTAL HMO</v>
      </c>
      <c r="G1594" s="3">
        <v>28.79</v>
      </c>
      <c r="H1594" t="str">
        <f>"AP - DENTAL HMO"</f>
        <v>AP - DENTAL HMO</v>
      </c>
    </row>
    <row r="1595" spans="1:8" x14ac:dyDescent="0.25">
      <c r="E1595" t="str">
        <f>"DTX202109015418"</f>
        <v>DTX202109015418</v>
      </c>
      <c r="F1595" t="str">
        <f>"AP - TEXAS DENTAL"</f>
        <v>AP - TEXAS DENTAL</v>
      </c>
      <c r="G1595" s="3">
        <v>326.47000000000003</v>
      </c>
      <c r="H1595" t="str">
        <f>"AP - TEXAS DENTAL"</f>
        <v>AP - TEXAS DENTAL</v>
      </c>
    </row>
    <row r="1596" spans="1:8" x14ac:dyDescent="0.25">
      <c r="E1596" t="str">
        <f>"FD 202109015418"</f>
        <v>FD 202109015418</v>
      </c>
      <c r="F1596" t="str">
        <f>"AP - FT DEARBORN PRE-TAX"</f>
        <v>AP - FT DEARBORN PRE-TAX</v>
      </c>
      <c r="G1596" s="3">
        <v>64.33</v>
      </c>
      <c r="H1596" t="str">
        <f>"AP - FT DEARBORN PRE-TAX"</f>
        <v>AP - FT DEARBORN PRE-TAX</v>
      </c>
    </row>
    <row r="1597" spans="1:8" x14ac:dyDescent="0.25">
      <c r="E1597" t="str">
        <f>"FDT202109015418"</f>
        <v>FDT202109015418</v>
      </c>
      <c r="F1597" t="str">
        <f>"AP - FT DEARBORN AFTER TAX"</f>
        <v>AP - FT DEARBORN AFTER TAX</v>
      </c>
      <c r="G1597" s="3">
        <v>64.52</v>
      </c>
      <c r="H1597" t="str">
        <f>"AP - FT DEARBORN AFTER TAX"</f>
        <v>AP - FT DEARBORN AFTER TAX</v>
      </c>
    </row>
    <row r="1598" spans="1:8" x14ac:dyDescent="0.25">
      <c r="E1598" t="str">
        <f>"FLX202109015418"</f>
        <v>FLX202109015418</v>
      </c>
      <c r="F1598" t="str">
        <f>"AP - TEX FLEX"</f>
        <v>AP - TEX FLEX</v>
      </c>
      <c r="G1598" s="3">
        <v>94.5</v>
      </c>
      <c r="H1598" t="str">
        <f>"AP - TEX FLEX"</f>
        <v>AP - TEX FLEX</v>
      </c>
    </row>
    <row r="1599" spans="1:8" x14ac:dyDescent="0.25">
      <c r="E1599" t="str">
        <f>"HSA202109015418"</f>
        <v>HSA202109015418</v>
      </c>
      <c r="F1599" t="str">
        <f>"AP- HSA"</f>
        <v>AP- HSA</v>
      </c>
      <c r="G1599" s="3">
        <v>20</v>
      </c>
      <c r="H1599" t="str">
        <f>"AP- HSA"</f>
        <v>AP- HSA</v>
      </c>
    </row>
    <row r="1600" spans="1:8" x14ac:dyDescent="0.25">
      <c r="E1600" t="str">
        <f>"MHS202109015418"</f>
        <v>MHS202109015418</v>
      </c>
      <c r="F1600" t="str">
        <f>"AP - HEALTH SELECT MEDICAL"</f>
        <v>AP - HEALTH SELECT MEDICAL</v>
      </c>
      <c r="G1600" s="3">
        <v>598.45000000000005</v>
      </c>
      <c r="H1600" t="str">
        <f>"AP - HEALTH SELECT MEDICAL"</f>
        <v>AP - HEALTH SELECT MEDICAL</v>
      </c>
    </row>
    <row r="1601" spans="1:8" x14ac:dyDescent="0.25">
      <c r="E1601" t="str">
        <f>"MSW202109015418"</f>
        <v>MSW202109015418</v>
      </c>
      <c r="F1601" t="str">
        <f>"AP - SCOTT &amp; WHITE MEDICAL"</f>
        <v>AP - SCOTT &amp; WHITE MEDICAL</v>
      </c>
      <c r="G1601" s="3">
        <v>372.42</v>
      </c>
      <c r="H1601" t="str">
        <f>"AP - SCOTT &amp; WHITE MEDICAL"</f>
        <v>AP - SCOTT &amp; WHITE MEDICAL</v>
      </c>
    </row>
    <row r="1602" spans="1:8" x14ac:dyDescent="0.25">
      <c r="E1602" t="str">
        <f>"SPE202109015418"</f>
        <v>SPE202109015418</v>
      </c>
      <c r="F1602" t="str">
        <f>"AP - STATE VISION"</f>
        <v>AP - STATE VISION</v>
      </c>
      <c r="G1602" s="3">
        <v>55.71</v>
      </c>
      <c r="H1602" t="str">
        <f>"AP - STATE VISION"</f>
        <v>AP - STATE VISION</v>
      </c>
    </row>
    <row r="1603" spans="1:8" x14ac:dyDescent="0.25">
      <c r="A1603" t="s">
        <v>45</v>
      </c>
      <c r="B1603">
        <v>1327</v>
      </c>
      <c r="C1603" s="3">
        <v>2312.34</v>
      </c>
      <c r="D1603" s="4">
        <v>44456</v>
      </c>
      <c r="E1603" t="str">
        <f>"DHM202109155693"</f>
        <v>DHM202109155693</v>
      </c>
      <c r="F1603" t="str">
        <f>"AP - DENTAL HMO"</f>
        <v>AP - DENTAL HMO</v>
      </c>
      <c r="G1603" s="3">
        <v>151.38</v>
      </c>
      <c r="H1603" t="str">
        <f>"AP - DENTAL HMO"</f>
        <v>AP - DENTAL HMO</v>
      </c>
    </row>
    <row r="1604" spans="1:8" x14ac:dyDescent="0.25">
      <c r="E1604" t="str">
        <f>"DTX202109155693"</f>
        <v>DTX202109155693</v>
      </c>
      <c r="F1604" t="str">
        <f>"AP - TEXAS DENTAL"</f>
        <v>AP - TEXAS DENTAL</v>
      </c>
      <c r="G1604" s="3">
        <v>415.17</v>
      </c>
      <c r="H1604" t="str">
        <f>"AP - TEXAS DENTAL"</f>
        <v>AP - TEXAS DENTAL</v>
      </c>
    </row>
    <row r="1605" spans="1:8" x14ac:dyDescent="0.25">
      <c r="E1605" t="str">
        <f>"FD 202109155693"</f>
        <v>FD 202109155693</v>
      </c>
      <c r="F1605" t="str">
        <f>"AP - FT DEARBORN PRE-TAX"</f>
        <v>AP - FT DEARBORN PRE-TAX</v>
      </c>
      <c r="G1605" s="3">
        <v>74.38</v>
      </c>
      <c r="H1605" t="str">
        <f>"AP - FT DEARBORN PRE-TAX"</f>
        <v>AP - FT DEARBORN PRE-TAX</v>
      </c>
    </row>
    <row r="1606" spans="1:8" x14ac:dyDescent="0.25">
      <c r="E1606" t="str">
        <f>"FDT202109155693"</f>
        <v>FDT202109155693</v>
      </c>
      <c r="F1606" t="str">
        <f>"AP - FT DEARBORN AFTER TAX"</f>
        <v>AP - FT DEARBORN AFTER TAX</v>
      </c>
      <c r="G1606" s="3">
        <v>72.569999999999993</v>
      </c>
      <c r="H1606" t="str">
        <f>"AP - FT DEARBORN AFTER TAX"</f>
        <v>AP - FT DEARBORN AFTER TAX</v>
      </c>
    </row>
    <row r="1607" spans="1:8" x14ac:dyDescent="0.25">
      <c r="E1607" t="str">
        <f>"FLX202109155693"</f>
        <v>FLX202109155693</v>
      </c>
      <c r="F1607" t="str">
        <f>"AP - TEX FLEX"</f>
        <v>AP - TEX FLEX</v>
      </c>
      <c r="G1607" s="3">
        <v>74.5</v>
      </c>
      <c r="H1607" t="str">
        <f>"AP - TEX FLEX"</f>
        <v>AP - TEX FLEX</v>
      </c>
    </row>
    <row r="1608" spans="1:8" x14ac:dyDescent="0.25">
      <c r="E1608" t="str">
        <f>"HSA202109155693"</f>
        <v>HSA202109155693</v>
      </c>
      <c r="F1608" t="str">
        <f>"AP- HSA"</f>
        <v>AP- HSA</v>
      </c>
      <c r="G1608" s="3">
        <v>20</v>
      </c>
      <c r="H1608" t="str">
        <f>"AP- HSA"</f>
        <v>AP- HSA</v>
      </c>
    </row>
    <row r="1609" spans="1:8" x14ac:dyDescent="0.25">
      <c r="E1609" t="str">
        <f>"MHS202109155693"</f>
        <v>MHS202109155693</v>
      </c>
      <c r="F1609" t="str">
        <f>"AP - HEALTH SELECT MEDICAL"</f>
        <v>AP - HEALTH SELECT MEDICAL</v>
      </c>
      <c r="G1609" s="3">
        <v>1074.1500000000001</v>
      </c>
      <c r="H1609" t="str">
        <f>"AP - HEALTH SELECT MEDICAL"</f>
        <v>AP - HEALTH SELECT MEDICAL</v>
      </c>
    </row>
    <row r="1610" spans="1:8" x14ac:dyDescent="0.25">
      <c r="E1610" t="str">
        <f>"MSW202109155693"</f>
        <v>MSW202109155693</v>
      </c>
      <c r="F1610" t="str">
        <f>"AP - SCOTT &amp; WHITE MEDICAL"</f>
        <v>AP - SCOTT &amp; WHITE MEDICAL</v>
      </c>
      <c r="G1610" s="3">
        <v>375.73</v>
      </c>
      <c r="H1610" t="str">
        <f>"AP - SCOTT &amp; WHITE MEDICAL"</f>
        <v>AP - SCOTT &amp; WHITE MEDICAL</v>
      </c>
    </row>
    <row r="1611" spans="1:8" x14ac:dyDescent="0.25">
      <c r="E1611" t="str">
        <f>"SPE202109155693"</f>
        <v>SPE202109155693</v>
      </c>
      <c r="F1611" t="str">
        <f>"AP - STATE VISION"</f>
        <v>AP - STATE VISION</v>
      </c>
      <c r="G1611" s="3">
        <v>54.46</v>
      </c>
      <c r="H1611" t="str">
        <f>"AP - STATE VISION"</f>
        <v>AP - STATE VISION</v>
      </c>
    </row>
    <row r="1612" spans="1:8" x14ac:dyDescent="0.25">
      <c r="A1612" t="s">
        <v>404</v>
      </c>
      <c r="B1612">
        <v>1343</v>
      </c>
      <c r="C1612" s="3">
        <v>3984.1</v>
      </c>
      <c r="D1612" s="4">
        <v>44466</v>
      </c>
      <c r="E1612" t="str">
        <f>"202109275906"</f>
        <v>202109275906</v>
      </c>
      <c r="F1612" t="str">
        <f>"ROUNDING - SEPTEMBER 2021"</f>
        <v>ROUNDING - SEPTEMBER 2021</v>
      </c>
      <c r="G1612" s="3">
        <v>0.38</v>
      </c>
      <c r="H1612" t="str">
        <f>"ROUNDING - SEPTEMBER 2021"</f>
        <v>ROUNDING - SEPTEMBER 2021</v>
      </c>
    </row>
    <row r="1613" spans="1:8" x14ac:dyDescent="0.25">
      <c r="E1613" t="str">
        <f>"CL 202109015416"</f>
        <v>CL 202109015416</v>
      </c>
      <c r="F1613" t="str">
        <f t="shared" ref="F1613:F1630" si="29">"COLONIAL"</f>
        <v>COLONIAL</v>
      </c>
      <c r="G1613" s="3">
        <v>509.74</v>
      </c>
      <c r="H1613" t="str">
        <f t="shared" ref="H1613:H1630" si="30">"COLONIAL"</f>
        <v>COLONIAL</v>
      </c>
    </row>
    <row r="1614" spans="1:8" x14ac:dyDescent="0.25">
      <c r="E1614" t="str">
        <f>"CL 202109015417"</f>
        <v>CL 202109015417</v>
      </c>
      <c r="F1614" t="str">
        <f t="shared" si="29"/>
        <v>COLONIAL</v>
      </c>
      <c r="G1614" s="3">
        <v>14.49</v>
      </c>
      <c r="H1614" t="str">
        <f t="shared" si="30"/>
        <v>COLONIAL</v>
      </c>
    </row>
    <row r="1615" spans="1:8" x14ac:dyDescent="0.25">
      <c r="E1615" t="str">
        <f>"CL 202109155691"</f>
        <v>CL 202109155691</v>
      </c>
      <c r="F1615" t="str">
        <f t="shared" si="29"/>
        <v>COLONIAL</v>
      </c>
      <c r="G1615" s="3">
        <v>509.74</v>
      </c>
      <c r="H1615" t="str">
        <f t="shared" si="30"/>
        <v>COLONIAL</v>
      </c>
    </row>
    <row r="1616" spans="1:8" x14ac:dyDescent="0.25">
      <c r="E1616" t="str">
        <f>"CL 202109155692"</f>
        <v>CL 202109155692</v>
      </c>
      <c r="F1616" t="str">
        <f t="shared" si="29"/>
        <v>COLONIAL</v>
      </c>
      <c r="G1616" s="3">
        <v>14.49</v>
      </c>
      <c r="H1616" t="str">
        <f t="shared" si="30"/>
        <v>COLONIAL</v>
      </c>
    </row>
    <row r="1617" spans="1:8" x14ac:dyDescent="0.25">
      <c r="E1617" t="str">
        <f>"CLC202109015416"</f>
        <v>CLC202109015416</v>
      </c>
      <c r="F1617" t="str">
        <f t="shared" si="29"/>
        <v>COLONIAL</v>
      </c>
      <c r="G1617" s="3">
        <v>33.99</v>
      </c>
      <c r="H1617" t="str">
        <f t="shared" si="30"/>
        <v>COLONIAL</v>
      </c>
    </row>
    <row r="1618" spans="1:8" x14ac:dyDescent="0.25">
      <c r="E1618" t="str">
        <f>"CLC202109155691"</f>
        <v>CLC202109155691</v>
      </c>
      <c r="F1618" t="str">
        <f t="shared" si="29"/>
        <v>COLONIAL</v>
      </c>
      <c r="G1618" s="3">
        <v>33.99</v>
      </c>
      <c r="H1618" t="str">
        <f t="shared" si="30"/>
        <v>COLONIAL</v>
      </c>
    </row>
    <row r="1619" spans="1:8" x14ac:dyDescent="0.25">
      <c r="E1619" t="str">
        <f>"CLI202109015416"</f>
        <v>CLI202109015416</v>
      </c>
      <c r="F1619" t="str">
        <f t="shared" si="29"/>
        <v>COLONIAL</v>
      </c>
      <c r="G1619" s="3">
        <v>510.74</v>
      </c>
      <c r="H1619" t="str">
        <f t="shared" si="30"/>
        <v>COLONIAL</v>
      </c>
    </row>
    <row r="1620" spans="1:8" x14ac:dyDescent="0.25">
      <c r="E1620" t="str">
        <f>"CLI202109155691"</f>
        <v>CLI202109155691</v>
      </c>
      <c r="F1620" t="str">
        <f t="shared" si="29"/>
        <v>COLONIAL</v>
      </c>
      <c r="G1620" s="3">
        <v>510.74</v>
      </c>
      <c r="H1620" t="str">
        <f t="shared" si="30"/>
        <v>COLONIAL</v>
      </c>
    </row>
    <row r="1621" spans="1:8" x14ac:dyDescent="0.25">
      <c r="E1621" t="str">
        <f>"CLK202109015416"</f>
        <v>CLK202109015416</v>
      </c>
      <c r="F1621" t="str">
        <f t="shared" si="29"/>
        <v>COLONIAL</v>
      </c>
      <c r="G1621" s="3">
        <v>6.2</v>
      </c>
      <c r="H1621" t="str">
        <f t="shared" si="30"/>
        <v>COLONIAL</v>
      </c>
    </row>
    <row r="1622" spans="1:8" x14ac:dyDescent="0.25">
      <c r="E1622" t="str">
        <f>"CLK202109155691"</f>
        <v>CLK202109155691</v>
      </c>
      <c r="F1622" t="str">
        <f t="shared" si="29"/>
        <v>COLONIAL</v>
      </c>
      <c r="G1622" s="3">
        <v>6.2</v>
      </c>
      <c r="H1622" t="str">
        <f t="shared" si="30"/>
        <v>COLONIAL</v>
      </c>
    </row>
    <row r="1623" spans="1:8" x14ac:dyDescent="0.25">
      <c r="E1623" t="str">
        <f>"CLS202109015416"</f>
        <v>CLS202109015416</v>
      </c>
      <c r="F1623" t="str">
        <f t="shared" si="29"/>
        <v>COLONIAL</v>
      </c>
      <c r="G1623" s="3">
        <v>354.01</v>
      </c>
      <c r="H1623" t="str">
        <f t="shared" si="30"/>
        <v>COLONIAL</v>
      </c>
    </row>
    <row r="1624" spans="1:8" x14ac:dyDescent="0.25">
      <c r="E1624" t="str">
        <f>"CLS202109155691"</f>
        <v>CLS202109155691</v>
      </c>
      <c r="F1624" t="str">
        <f t="shared" si="29"/>
        <v>COLONIAL</v>
      </c>
      <c r="G1624" s="3">
        <v>354.01</v>
      </c>
      <c r="H1624" t="str">
        <f t="shared" si="30"/>
        <v>COLONIAL</v>
      </c>
    </row>
    <row r="1625" spans="1:8" x14ac:dyDescent="0.25">
      <c r="E1625" t="str">
        <f>"CLT202109015416"</f>
        <v>CLT202109015416</v>
      </c>
      <c r="F1625" t="str">
        <f t="shared" si="29"/>
        <v>COLONIAL</v>
      </c>
      <c r="G1625" s="3">
        <v>234.78</v>
      </c>
      <c r="H1625" t="str">
        <f t="shared" si="30"/>
        <v>COLONIAL</v>
      </c>
    </row>
    <row r="1626" spans="1:8" x14ac:dyDescent="0.25">
      <c r="E1626" t="str">
        <f>"CLT202109155691"</f>
        <v>CLT202109155691</v>
      </c>
      <c r="F1626" t="str">
        <f t="shared" si="29"/>
        <v>COLONIAL</v>
      </c>
      <c r="G1626" s="3">
        <v>234.78</v>
      </c>
      <c r="H1626" t="str">
        <f t="shared" si="30"/>
        <v>COLONIAL</v>
      </c>
    </row>
    <row r="1627" spans="1:8" x14ac:dyDescent="0.25">
      <c r="E1627" t="str">
        <f>"CLU202109015416"</f>
        <v>CLU202109015416</v>
      </c>
      <c r="F1627" t="str">
        <f t="shared" si="29"/>
        <v>COLONIAL</v>
      </c>
      <c r="G1627" s="3">
        <v>61.22</v>
      </c>
      <c r="H1627" t="str">
        <f t="shared" si="30"/>
        <v>COLONIAL</v>
      </c>
    </row>
    <row r="1628" spans="1:8" x14ac:dyDescent="0.25">
      <c r="E1628" t="str">
        <f>"CLU202109155691"</f>
        <v>CLU202109155691</v>
      </c>
      <c r="F1628" t="str">
        <f t="shared" si="29"/>
        <v>COLONIAL</v>
      </c>
      <c r="G1628" s="3">
        <v>61.22</v>
      </c>
      <c r="H1628" t="str">
        <f t="shared" si="30"/>
        <v>COLONIAL</v>
      </c>
    </row>
    <row r="1629" spans="1:8" x14ac:dyDescent="0.25">
      <c r="E1629" t="str">
        <f>"CLW202109015416"</f>
        <v>CLW202109015416</v>
      </c>
      <c r="F1629" t="str">
        <f t="shared" si="29"/>
        <v>COLONIAL</v>
      </c>
      <c r="G1629" s="3">
        <v>266.69</v>
      </c>
      <c r="H1629" t="str">
        <f t="shared" si="30"/>
        <v>COLONIAL</v>
      </c>
    </row>
    <row r="1630" spans="1:8" x14ac:dyDescent="0.25">
      <c r="E1630" t="str">
        <f>"CLW202109155691"</f>
        <v>CLW202109155691</v>
      </c>
      <c r="F1630" t="str">
        <f t="shared" si="29"/>
        <v>COLONIAL</v>
      </c>
      <c r="G1630" s="3">
        <v>266.69</v>
      </c>
      <c r="H1630" t="str">
        <f t="shared" si="30"/>
        <v>COLONIAL</v>
      </c>
    </row>
    <row r="1631" spans="1:8" x14ac:dyDescent="0.25">
      <c r="A1631" t="s">
        <v>405</v>
      </c>
      <c r="B1631">
        <v>1283</v>
      </c>
      <c r="C1631" s="3">
        <v>7100.55</v>
      </c>
      <c r="D1631" s="4">
        <v>44442</v>
      </c>
      <c r="E1631" t="str">
        <f>"CPI202109015416"</f>
        <v>CPI202109015416</v>
      </c>
      <c r="F1631" t="str">
        <f>"DEFERRED COMP 457B PAYABLE"</f>
        <v>DEFERRED COMP 457B PAYABLE</v>
      </c>
      <c r="G1631" s="3">
        <v>7005.55</v>
      </c>
      <c r="H1631" t="str">
        <f>"DEFERRED COMP 457B PAYABLE"</f>
        <v>DEFERRED COMP 457B PAYABLE</v>
      </c>
    </row>
    <row r="1632" spans="1:8" x14ac:dyDescent="0.25">
      <c r="E1632" t="str">
        <f>"CPI202109015417"</f>
        <v>CPI202109015417</v>
      </c>
      <c r="F1632" t="str">
        <f>"DEFERRED COMP 457B PAYABLE"</f>
        <v>DEFERRED COMP 457B PAYABLE</v>
      </c>
      <c r="G1632" s="3">
        <v>95</v>
      </c>
      <c r="H1632" t="str">
        <f>"DEFERRED COMP 457B PAYABLE"</f>
        <v>DEFERRED COMP 457B PAYABLE</v>
      </c>
    </row>
    <row r="1633" spans="1:8" x14ac:dyDescent="0.25">
      <c r="A1633" t="s">
        <v>405</v>
      </c>
      <c r="B1633">
        <v>1328</v>
      </c>
      <c r="C1633" s="3">
        <v>7100.55</v>
      </c>
      <c r="D1633" s="4">
        <v>44456</v>
      </c>
      <c r="E1633" t="str">
        <f>"CPI202109155691"</f>
        <v>CPI202109155691</v>
      </c>
      <c r="F1633" t="str">
        <f>"DEFERRED COMP 457B PAYABLE"</f>
        <v>DEFERRED COMP 457B PAYABLE</v>
      </c>
      <c r="G1633" s="3">
        <v>7005.55</v>
      </c>
      <c r="H1633" t="str">
        <f>"DEFERRED COMP 457B PAYABLE"</f>
        <v>DEFERRED COMP 457B PAYABLE</v>
      </c>
    </row>
    <row r="1634" spans="1:8" x14ac:dyDescent="0.25">
      <c r="E1634" t="str">
        <f>"CPI202109155692"</f>
        <v>CPI202109155692</v>
      </c>
      <c r="F1634" t="str">
        <f>"DEFERRED COMP 457B PAYABLE"</f>
        <v>DEFERRED COMP 457B PAYABLE</v>
      </c>
      <c r="G1634" s="3">
        <v>95</v>
      </c>
      <c r="H1634" t="str">
        <f>"DEFERRED COMP 457B PAYABLE"</f>
        <v>DEFERRED COMP 457B PAYABLE</v>
      </c>
    </row>
    <row r="1635" spans="1:8" x14ac:dyDescent="0.25">
      <c r="A1635" t="s">
        <v>406</v>
      </c>
      <c r="B1635">
        <v>48471</v>
      </c>
      <c r="C1635" s="3">
        <v>6.16</v>
      </c>
      <c r="D1635" s="4">
        <v>44468</v>
      </c>
      <c r="E1635" t="str">
        <f>"202109295913"</f>
        <v>202109295913</v>
      </c>
      <c r="F1635" t="str">
        <f>"RETIREE INS REFUND EOY 2021"</f>
        <v>RETIREE INS REFUND EOY 2021</v>
      </c>
      <c r="G1635" s="3">
        <v>6.16</v>
      </c>
      <c r="H1635" t="str">
        <f>"RETIREE INS REFUND EOY 2021"</f>
        <v>RETIREE INS REFUND EOY 2021</v>
      </c>
    </row>
    <row r="1636" spans="1:8" x14ac:dyDescent="0.25">
      <c r="A1636" t="s">
        <v>407</v>
      </c>
      <c r="B1636">
        <v>48472</v>
      </c>
      <c r="C1636" s="3">
        <v>15.29</v>
      </c>
      <c r="D1636" s="4">
        <v>44468</v>
      </c>
      <c r="E1636" t="str">
        <f>"202109295912"</f>
        <v>202109295912</v>
      </c>
      <c r="F1636" t="str">
        <f>"RETIREE INS REFUND EOY 2021"</f>
        <v>RETIREE INS REFUND EOY 2021</v>
      </c>
      <c r="G1636" s="3">
        <v>15.29</v>
      </c>
      <c r="H1636" t="str">
        <f>"RETIREE INS REFUND EOY 2021"</f>
        <v>RETIREE INS REFUND EOY 2021</v>
      </c>
    </row>
    <row r="1637" spans="1:8" x14ac:dyDescent="0.25">
      <c r="A1637" t="s">
        <v>408</v>
      </c>
      <c r="B1637">
        <v>1339</v>
      </c>
      <c r="C1637" s="3">
        <v>41740.050000000003</v>
      </c>
      <c r="D1637" s="4">
        <v>44466</v>
      </c>
      <c r="E1637" t="str">
        <f>"202109275909"</f>
        <v>202109275909</v>
      </c>
      <c r="F1637" t="str">
        <f>"RETIREE INS - SEPTEMBER 2021"</f>
        <v>RETIREE INS - SEPTEMBER 2021</v>
      </c>
      <c r="G1637" s="3">
        <v>3427.79</v>
      </c>
      <c r="H1637" t="str">
        <f>"RETIREE INS - SEPTEMBER 2021"</f>
        <v>RETIREE INS - SEPTEMBER 2021</v>
      </c>
    </row>
    <row r="1638" spans="1:8" x14ac:dyDescent="0.25">
      <c r="E1638" t="str">
        <f>"202109275910"</f>
        <v>202109275910</v>
      </c>
      <c r="F1638" t="str">
        <f>"COBRA - SEPTEMBER 2021"</f>
        <v>COBRA - SEPTEMBER 2021</v>
      </c>
      <c r="G1638" s="3">
        <v>207.7</v>
      </c>
      <c r="H1638" t="str">
        <f>"COBRA - SEPTEMBER 2021"</f>
        <v>COBRA - SEPTEMBER 2021</v>
      </c>
    </row>
    <row r="1639" spans="1:8" x14ac:dyDescent="0.25">
      <c r="E1639" t="str">
        <f>"ADC202109015416"</f>
        <v>ADC202109015416</v>
      </c>
      <c r="F1639" t="str">
        <f t="shared" ref="F1639:F1651" si="31">"GUARDIAN"</f>
        <v>GUARDIAN</v>
      </c>
      <c r="G1639" s="3">
        <v>4.6900000000000004</v>
      </c>
      <c r="H1639" t="str">
        <f t="shared" ref="H1639:H1702" si="32">"GUARDIAN"</f>
        <v>GUARDIAN</v>
      </c>
    </row>
    <row r="1640" spans="1:8" x14ac:dyDescent="0.25">
      <c r="E1640" t="str">
        <f>"ADC202109015417"</f>
        <v>ADC202109015417</v>
      </c>
      <c r="F1640" t="str">
        <f t="shared" si="31"/>
        <v>GUARDIAN</v>
      </c>
      <c r="G1640" s="3">
        <v>0.16</v>
      </c>
      <c r="H1640" t="str">
        <f t="shared" si="32"/>
        <v>GUARDIAN</v>
      </c>
    </row>
    <row r="1641" spans="1:8" x14ac:dyDescent="0.25">
      <c r="E1641" t="str">
        <f>"ADC202109155691"</f>
        <v>ADC202109155691</v>
      </c>
      <c r="F1641" t="str">
        <f t="shared" si="31"/>
        <v>GUARDIAN</v>
      </c>
      <c r="G1641" s="3">
        <v>4.6900000000000004</v>
      </c>
      <c r="H1641" t="str">
        <f t="shared" si="32"/>
        <v>GUARDIAN</v>
      </c>
    </row>
    <row r="1642" spans="1:8" x14ac:dyDescent="0.25">
      <c r="E1642" t="str">
        <f>"ADC202109155692"</f>
        <v>ADC202109155692</v>
      </c>
      <c r="F1642" t="str">
        <f t="shared" si="31"/>
        <v>GUARDIAN</v>
      </c>
      <c r="G1642" s="3">
        <v>0.16</v>
      </c>
      <c r="H1642" t="str">
        <f t="shared" si="32"/>
        <v>GUARDIAN</v>
      </c>
    </row>
    <row r="1643" spans="1:8" x14ac:dyDescent="0.25">
      <c r="E1643" t="str">
        <f>"ADE202109015416"</f>
        <v>ADE202109015416</v>
      </c>
      <c r="F1643" t="str">
        <f t="shared" si="31"/>
        <v>GUARDIAN</v>
      </c>
      <c r="G1643" s="3">
        <v>263.38</v>
      </c>
      <c r="H1643" t="str">
        <f t="shared" si="32"/>
        <v>GUARDIAN</v>
      </c>
    </row>
    <row r="1644" spans="1:8" x14ac:dyDescent="0.25">
      <c r="E1644" t="str">
        <f>"ADE202109015417"</f>
        <v>ADE202109015417</v>
      </c>
      <c r="F1644" t="str">
        <f t="shared" si="31"/>
        <v>GUARDIAN</v>
      </c>
      <c r="G1644" s="3">
        <v>5.55</v>
      </c>
      <c r="H1644" t="str">
        <f t="shared" si="32"/>
        <v>GUARDIAN</v>
      </c>
    </row>
    <row r="1645" spans="1:8" x14ac:dyDescent="0.25">
      <c r="E1645" t="str">
        <f>"ADE202109155691"</f>
        <v>ADE202109155691</v>
      </c>
      <c r="F1645" t="str">
        <f t="shared" si="31"/>
        <v>GUARDIAN</v>
      </c>
      <c r="G1645" s="3">
        <v>233.38</v>
      </c>
      <c r="H1645" t="str">
        <f t="shared" si="32"/>
        <v>GUARDIAN</v>
      </c>
    </row>
    <row r="1646" spans="1:8" x14ac:dyDescent="0.25">
      <c r="E1646" t="str">
        <f>"ADE202109155692"</f>
        <v>ADE202109155692</v>
      </c>
      <c r="F1646" t="str">
        <f t="shared" si="31"/>
        <v>GUARDIAN</v>
      </c>
      <c r="G1646" s="3">
        <v>5.55</v>
      </c>
      <c r="H1646" t="str">
        <f t="shared" si="32"/>
        <v>GUARDIAN</v>
      </c>
    </row>
    <row r="1647" spans="1:8" x14ac:dyDescent="0.25">
      <c r="E1647" t="str">
        <f>"ADS202109015416"</f>
        <v>ADS202109015416</v>
      </c>
      <c r="F1647" t="str">
        <f t="shared" si="31"/>
        <v>GUARDIAN</v>
      </c>
      <c r="G1647" s="3">
        <v>40.74</v>
      </c>
      <c r="H1647" t="str">
        <f t="shared" si="32"/>
        <v>GUARDIAN</v>
      </c>
    </row>
    <row r="1648" spans="1:8" x14ac:dyDescent="0.25">
      <c r="E1648" t="str">
        <f>"ADS202109015417"</f>
        <v>ADS202109015417</v>
      </c>
      <c r="F1648" t="str">
        <f t="shared" si="31"/>
        <v>GUARDIAN</v>
      </c>
      <c r="G1648" s="3">
        <v>0.53</v>
      </c>
      <c r="H1648" t="str">
        <f t="shared" si="32"/>
        <v>GUARDIAN</v>
      </c>
    </row>
    <row r="1649" spans="5:8" x14ac:dyDescent="0.25">
      <c r="E1649" t="str">
        <f>"ADS202109155691"</f>
        <v>ADS202109155691</v>
      </c>
      <c r="F1649" t="str">
        <f t="shared" si="31"/>
        <v>GUARDIAN</v>
      </c>
      <c r="G1649" s="3">
        <v>40.74</v>
      </c>
      <c r="H1649" t="str">
        <f t="shared" si="32"/>
        <v>GUARDIAN</v>
      </c>
    </row>
    <row r="1650" spans="5:8" x14ac:dyDescent="0.25">
      <c r="E1650" t="str">
        <f>"ADS202109155692"</f>
        <v>ADS202109155692</v>
      </c>
      <c r="F1650" t="str">
        <f t="shared" si="31"/>
        <v>GUARDIAN</v>
      </c>
      <c r="G1650" s="3">
        <v>0.53</v>
      </c>
      <c r="H1650" t="str">
        <f t="shared" si="32"/>
        <v>GUARDIAN</v>
      </c>
    </row>
    <row r="1651" spans="5:8" x14ac:dyDescent="0.25">
      <c r="E1651" t="str">
        <f>"GDC202109015416"</f>
        <v>GDC202109015416</v>
      </c>
      <c r="F1651" t="str">
        <f t="shared" si="31"/>
        <v>GUARDIAN</v>
      </c>
      <c r="G1651" s="3">
        <v>14.6</v>
      </c>
      <c r="H1651" t="str">
        <f t="shared" si="32"/>
        <v>GUARDIAN</v>
      </c>
    </row>
    <row r="1652" spans="5:8" x14ac:dyDescent="0.25">
      <c r="E1652" t="str">
        <f>""</f>
        <v/>
      </c>
      <c r="F1652" t="str">
        <f>""</f>
        <v/>
      </c>
      <c r="G1652" s="3">
        <v>30.78</v>
      </c>
      <c r="H1652" t="str">
        <f t="shared" si="32"/>
        <v>GUARDIAN</v>
      </c>
    </row>
    <row r="1653" spans="5:8" x14ac:dyDescent="0.25">
      <c r="E1653" t="str">
        <f>""</f>
        <v/>
      </c>
      <c r="F1653" t="str">
        <f>""</f>
        <v/>
      </c>
      <c r="G1653" s="3">
        <v>46.17</v>
      </c>
      <c r="H1653" t="str">
        <f t="shared" si="32"/>
        <v>GUARDIAN</v>
      </c>
    </row>
    <row r="1654" spans="5:8" x14ac:dyDescent="0.25">
      <c r="E1654" t="str">
        <f>""</f>
        <v/>
      </c>
      <c r="F1654" t="str">
        <f>""</f>
        <v/>
      </c>
      <c r="G1654" s="3">
        <v>15.39</v>
      </c>
      <c r="H1654" t="str">
        <f t="shared" si="32"/>
        <v>GUARDIAN</v>
      </c>
    </row>
    <row r="1655" spans="5:8" x14ac:dyDescent="0.25">
      <c r="E1655" t="str">
        <f>""</f>
        <v/>
      </c>
      <c r="F1655" t="str">
        <f>""</f>
        <v/>
      </c>
      <c r="G1655" s="3">
        <v>13.21</v>
      </c>
      <c r="H1655" t="str">
        <f t="shared" si="32"/>
        <v>GUARDIAN</v>
      </c>
    </row>
    <row r="1656" spans="5:8" x14ac:dyDescent="0.25">
      <c r="E1656" t="str">
        <f>""</f>
        <v/>
      </c>
      <c r="F1656" t="str">
        <f>""</f>
        <v/>
      </c>
      <c r="G1656" s="3">
        <v>15.39</v>
      </c>
      <c r="H1656" t="str">
        <f t="shared" si="32"/>
        <v>GUARDIAN</v>
      </c>
    </row>
    <row r="1657" spans="5:8" x14ac:dyDescent="0.25">
      <c r="E1657" t="str">
        <f>""</f>
        <v/>
      </c>
      <c r="F1657" t="str">
        <f>""</f>
        <v/>
      </c>
      <c r="G1657" s="3">
        <v>46.17</v>
      </c>
      <c r="H1657" t="str">
        <f t="shared" si="32"/>
        <v>GUARDIAN</v>
      </c>
    </row>
    <row r="1658" spans="5:8" x14ac:dyDescent="0.25">
      <c r="E1658" t="str">
        <f>""</f>
        <v/>
      </c>
      <c r="F1658" t="str">
        <f>""</f>
        <v/>
      </c>
      <c r="G1658" s="3">
        <v>15.39</v>
      </c>
      <c r="H1658" t="str">
        <f t="shared" si="32"/>
        <v>GUARDIAN</v>
      </c>
    </row>
    <row r="1659" spans="5:8" x14ac:dyDescent="0.25">
      <c r="E1659" t="str">
        <f>""</f>
        <v/>
      </c>
      <c r="F1659" t="str">
        <f>""</f>
        <v/>
      </c>
      <c r="G1659" s="3">
        <v>30.78</v>
      </c>
      <c r="H1659" t="str">
        <f t="shared" si="32"/>
        <v>GUARDIAN</v>
      </c>
    </row>
    <row r="1660" spans="5:8" x14ac:dyDescent="0.25">
      <c r="E1660" t="str">
        <f>""</f>
        <v/>
      </c>
      <c r="F1660" t="str">
        <f>""</f>
        <v/>
      </c>
      <c r="G1660" s="3">
        <v>15.18</v>
      </c>
      <c r="H1660" t="str">
        <f t="shared" si="32"/>
        <v>GUARDIAN</v>
      </c>
    </row>
    <row r="1661" spans="5:8" x14ac:dyDescent="0.25">
      <c r="E1661" t="str">
        <f>""</f>
        <v/>
      </c>
      <c r="F1661" t="str">
        <f>""</f>
        <v/>
      </c>
      <c r="G1661" s="3">
        <v>46.17</v>
      </c>
      <c r="H1661" t="str">
        <f t="shared" si="32"/>
        <v>GUARDIAN</v>
      </c>
    </row>
    <row r="1662" spans="5:8" x14ac:dyDescent="0.25">
      <c r="E1662" t="str">
        <f>""</f>
        <v/>
      </c>
      <c r="F1662" t="str">
        <f>""</f>
        <v/>
      </c>
      <c r="G1662" s="3">
        <v>15.39</v>
      </c>
      <c r="H1662" t="str">
        <f t="shared" si="32"/>
        <v>GUARDIAN</v>
      </c>
    </row>
    <row r="1663" spans="5:8" x14ac:dyDescent="0.25">
      <c r="E1663" t="str">
        <f>""</f>
        <v/>
      </c>
      <c r="F1663" t="str">
        <f>""</f>
        <v/>
      </c>
      <c r="G1663" s="3">
        <v>15.39</v>
      </c>
      <c r="H1663" t="str">
        <f t="shared" si="32"/>
        <v>GUARDIAN</v>
      </c>
    </row>
    <row r="1664" spans="5:8" x14ac:dyDescent="0.25">
      <c r="E1664" t="str">
        <f>""</f>
        <v/>
      </c>
      <c r="F1664" t="str">
        <f>""</f>
        <v/>
      </c>
      <c r="G1664" s="3">
        <v>46.17</v>
      </c>
      <c r="H1664" t="str">
        <f t="shared" si="32"/>
        <v>GUARDIAN</v>
      </c>
    </row>
    <row r="1665" spans="5:8" x14ac:dyDescent="0.25">
      <c r="E1665" t="str">
        <f>""</f>
        <v/>
      </c>
      <c r="F1665" t="str">
        <f>""</f>
        <v/>
      </c>
      <c r="G1665" s="3">
        <v>15.39</v>
      </c>
      <c r="H1665" t="str">
        <f t="shared" si="32"/>
        <v>GUARDIAN</v>
      </c>
    </row>
    <row r="1666" spans="5:8" x14ac:dyDescent="0.25">
      <c r="E1666" t="str">
        <f>""</f>
        <v/>
      </c>
      <c r="F1666" t="str">
        <f>""</f>
        <v/>
      </c>
      <c r="G1666" s="3">
        <v>30.78</v>
      </c>
      <c r="H1666" t="str">
        <f t="shared" si="32"/>
        <v>GUARDIAN</v>
      </c>
    </row>
    <row r="1667" spans="5:8" x14ac:dyDescent="0.25">
      <c r="E1667" t="str">
        <f>""</f>
        <v/>
      </c>
      <c r="F1667" t="str">
        <f>""</f>
        <v/>
      </c>
      <c r="G1667" s="3">
        <v>15.39</v>
      </c>
      <c r="H1667" t="str">
        <f t="shared" si="32"/>
        <v>GUARDIAN</v>
      </c>
    </row>
    <row r="1668" spans="5:8" x14ac:dyDescent="0.25">
      <c r="E1668" t="str">
        <f>""</f>
        <v/>
      </c>
      <c r="F1668" t="str">
        <f>""</f>
        <v/>
      </c>
      <c r="G1668" s="3">
        <v>61.56</v>
      </c>
      <c r="H1668" t="str">
        <f t="shared" si="32"/>
        <v>GUARDIAN</v>
      </c>
    </row>
    <row r="1669" spans="5:8" x14ac:dyDescent="0.25">
      <c r="E1669" t="str">
        <f>""</f>
        <v/>
      </c>
      <c r="F1669" t="str">
        <f>""</f>
        <v/>
      </c>
      <c r="G1669" s="3">
        <v>15.39</v>
      </c>
      <c r="H1669" t="str">
        <f t="shared" si="32"/>
        <v>GUARDIAN</v>
      </c>
    </row>
    <row r="1670" spans="5:8" x14ac:dyDescent="0.25">
      <c r="E1670" t="str">
        <f>""</f>
        <v/>
      </c>
      <c r="F1670" t="str">
        <f>""</f>
        <v/>
      </c>
      <c r="G1670" s="3">
        <v>15.39</v>
      </c>
      <c r="H1670" t="str">
        <f t="shared" si="32"/>
        <v>GUARDIAN</v>
      </c>
    </row>
    <row r="1671" spans="5:8" x14ac:dyDescent="0.25">
      <c r="E1671" t="str">
        <f>""</f>
        <v/>
      </c>
      <c r="F1671" t="str">
        <f>""</f>
        <v/>
      </c>
      <c r="G1671" s="3">
        <v>245.75</v>
      </c>
      <c r="H1671" t="str">
        <f t="shared" si="32"/>
        <v>GUARDIAN</v>
      </c>
    </row>
    <row r="1672" spans="5:8" x14ac:dyDescent="0.25">
      <c r="E1672" t="str">
        <f>""</f>
        <v/>
      </c>
      <c r="F1672" t="str">
        <f>""</f>
        <v/>
      </c>
      <c r="G1672" s="3">
        <v>14.1</v>
      </c>
      <c r="H1672" t="str">
        <f t="shared" si="32"/>
        <v>GUARDIAN</v>
      </c>
    </row>
    <row r="1673" spans="5:8" x14ac:dyDescent="0.25">
      <c r="E1673" t="str">
        <f>""</f>
        <v/>
      </c>
      <c r="F1673" t="str">
        <f>""</f>
        <v/>
      </c>
      <c r="G1673" s="3">
        <v>227.88</v>
      </c>
      <c r="H1673" t="str">
        <f t="shared" si="32"/>
        <v>GUARDIAN</v>
      </c>
    </row>
    <row r="1674" spans="5:8" x14ac:dyDescent="0.25">
      <c r="E1674" t="str">
        <f>""</f>
        <v/>
      </c>
      <c r="F1674" t="str">
        <f>""</f>
        <v/>
      </c>
      <c r="G1674" s="3">
        <v>15.39</v>
      </c>
      <c r="H1674" t="str">
        <f t="shared" si="32"/>
        <v>GUARDIAN</v>
      </c>
    </row>
    <row r="1675" spans="5:8" x14ac:dyDescent="0.25">
      <c r="E1675" t="str">
        <f>""</f>
        <v/>
      </c>
      <c r="F1675" t="str">
        <f>""</f>
        <v/>
      </c>
      <c r="G1675" s="3">
        <v>15.39</v>
      </c>
      <c r="H1675" t="str">
        <f t="shared" si="32"/>
        <v>GUARDIAN</v>
      </c>
    </row>
    <row r="1676" spans="5:8" x14ac:dyDescent="0.25">
      <c r="E1676" t="str">
        <f>""</f>
        <v/>
      </c>
      <c r="F1676" t="str">
        <f>""</f>
        <v/>
      </c>
      <c r="G1676" s="3">
        <v>15.39</v>
      </c>
      <c r="H1676" t="str">
        <f t="shared" si="32"/>
        <v>GUARDIAN</v>
      </c>
    </row>
    <row r="1677" spans="5:8" x14ac:dyDescent="0.25">
      <c r="E1677" t="str">
        <f>""</f>
        <v/>
      </c>
      <c r="F1677" t="str">
        <f>""</f>
        <v/>
      </c>
      <c r="G1677" s="3">
        <v>0.79</v>
      </c>
      <c r="H1677" t="str">
        <f t="shared" si="32"/>
        <v>GUARDIAN</v>
      </c>
    </row>
    <row r="1678" spans="5:8" x14ac:dyDescent="0.25">
      <c r="E1678" t="str">
        <f>""</f>
        <v/>
      </c>
      <c r="F1678" t="str">
        <f>""</f>
        <v/>
      </c>
      <c r="G1678" s="3">
        <v>17.09</v>
      </c>
      <c r="H1678" t="str">
        <f t="shared" si="32"/>
        <v>GUARDIAN</v>
      </c>
    </row>
    <row r="1679" spans="5:8" x14ac:dyDescent="0.25">
      <c r="E1679" t="str">
        <f>""</f>
        <v/>
      </c>
      <c r="F1679" t="str">
        <f>""</f>
        <v/>
      </c>
      <c r="G1679" s="3">
        <v>46.17</v>
      </c>
      <c r="H1679" t="str">
        <f t="shared" si="32"/>
        <v>GUARDIAN</v>
      </c>
    </row>
    <row r="1680" spans="5:8" x14ac:dyDescent="0.25">
      <c r="E1680" t="str">
        <f>""</f>
        <v/>
      </c>
      <c r="F1680" t="str">
        <f>""</f>
        <v/>
      </c>
      <c r="G1680" s="3">
        <v>30.78</v>
      </c>
      <c r="H1680" t="str">
        <f t="shared" si="32"/>
        <v>GUARDIAN</v>
      </c>
    </row>
    <row r="1681" spans="5:8" x14ac:dyDescent="0.25">
      <c r="E1681" t="str">
        <f>""</f>
        <v/>
      </c>
      <c r="F1681" t="str">
        <f>""</f>
        <v/>
      </c>
      <c r="G1681" s="3">
        <v>30.78</v>
      </c>
      <c r="H1681" t="str">
        <f t="shared" si="32"/>
        <v>GUARDIAN</v>
      </c>
    </row>
    <row r="1682" spans="5:8" x14ac:dyDescent="0.25">
      <c r="E1682" t="str">
        <f>""</f>
        <v/>
      </c>
      <c r="F1682" t="str">
        <f>""</f>
        <v/>
      </c>
      <c r="G1682" s="3">
        <v>18.440000000000001</v>
      </c>
      <c r="H1682" t="str">
        <f t="shared" si="32"/>
        <v>GUARDIAN</v>
      </c>
    </row>
    <row r="1683" spans="5:8" x14ac:dyDescent="0.25">
      <c r="E1683" t="str">
        <f>""</f>
        <v/>
      </c>
      <c r="F1683" t="str">
        <f>""</f>
        <v/>
      </c>
      <c r="G1683" s="3">
        <v>0.21</v>
      </c>
      <c r="H1683" t="str">
        <f t="shared" si="32"/>
        <v>GUARDIAN</v>
      </c>
    </row>
    <row r="1684" spans="5:8" x14ac:dyDescent="0.25">
      <c r="E1684" t="str">
        <f>""</f>
        <v/>
      </c>
      <c r="F1684" t="str">
        <f>""</f>
        <v/>
      </c>
      <c r="G1684" s="3">
        <v>2.1800000000000002</v>
      </c>
      <c r="H1684" t="str">
        <f t="shared" si="32"/>
        <v>GUARDIAN</v>
      </c>
    </row>
    <row r="1685" spans="5:8" x14ac:dyDescent="0.25">
      <c r="E1685" t="str">
        <f>""</f>
        <v/>
      </c>
      <c r="F1685" t="str">
        <f>""</f>
        <v/>
      </c>
      <c r="G1685" s="3">
        <v>1448.46</v>
      </c>
      <c r="H1685" t="str">
        <f t="shared" si="32"/>
        <v>GUARDIAN</v>
      </c>
    </row>
    <row r="1686" spans="5:8" x14ac:dyDescent="0.25">
      <c r="E1686" t="str">
        <f>"GDC202109015417"</f>
        <v>GDC202109015417</v>
      </c>
      <c r="F1686" t="str">
        <f>"GUARDIAN"</f>
        <v>GUARDIAN</v>
      </c>
      <c r="G1686" s="3">
        <v>46.17</v>
      </c>
      <c r="H1686" t="str">
        <f t="shared" si="32"/>
        <v>GUARDIAN</v>
      </c>
    </row>
    <row r="1687" spans="5:8" x14ac:dyDescent="0.25">
      <c r="E1687" t="str">
        <f>""</f>
        <v/>
      </c>
      <c r="F1687" t="str">
        <f>""</f>
        <v/>
      </c>
      <c r="G1687" s="3">
        <v>55.71</v>
      </c>
      <c r="H1687" t="str">
        <f t="shared" si="32"/>
        <v>GUARDIAN</v>
      </c>
    </row>
    <row r="1688" spans="5:8" x14ac:dyDescent="0.25">
      <c r="E1688" t="str">
        <f>"GDC202109155691"</f>
        <v>GDC202109155691</v>
      </c>
      <c r="F1688" t="str">
        <f>"GUARDIAN"</f>
        <v>GUARDIAN</v>
      </c>
      <c r="G1688" s="3">
        <v>14.43</v>
      </c>
      <c r="H1688" t="str">
        <f t="shared" si="32"/>
        <v>GUARDIAN</v>
      </c>
    </row>
    <row r="1689" spans="5:8" x14ac:dyDescent="0.25">
      <c r="E1689" t="str">
        <f>""</f>
        <v/>
      </c>
      <c r="F1689" t="str">
        <f>""</f>
        <v/>
      </c>
      <c r="G1689" s="3">
        <v>30.78</v>
      </c>
      <c r="H1689" t="str">
        <f t="shared" si="32"/>
        <v>GUARDIAN</v>
      </c>
    </row>
    <row r="1690" spans="5:8" x14ac:dyDescent="0.25">
      <c r="E1690" t="str">
        <f>""</f>
        <v/>
      </c>
      <c r="F1690" t="str">
        <f>""</f>
        <v/>
      </c>
      <c r="G1690" s="3">
        <v>46.17</v>
      </c>
      <c r="H1690" t="str">
        <f t="shared" si="32"/>
        <v>GUARDIAN</v>
      </c>
    </row>
    <row r="1691" spans="5:8" x14ac:dyDescent="0.25">
      <c r="E1691" t="str">
        <f>""</f>
        <v/>
      </c>
      <c r="F1691" t="str">
        <f>""</f>
        <v/>
      </c>
      <c r="G1691" s="3">
        <v>15.39</v>
      </c>
      <c r="H1691" t="str">
        <f t="shared" si="32"/>
        <v>GUARDIAN</v>
      </c>
    </row>
    <row r="1692" spans="5:8" x14ac:dyDescent="0.25">
      <c r="E1692" t="str">
        <f>""</f>
        <v/>
      </c>
      <c r="F1692" t="str">
        <f>""</f>
        <v/>
      </c>
      <c r="G1692" s="3">
        <v>13.21</v>
      </c>
      <c r="H1692" t="str">
        <f t="shared" si="32"/>
        <v>GUARDIAN</v>
      </c>
    </row>
    <row r="1693" spans="5:8" x14ac:dyDescent="0.25">
      <c r="E1693" t="str">
        <f>""</f>
        <v/>
      </c>
      <c r="F1693" t="str">
        <f>""</f>
        <v/>
      </c>
      <c r="G1693" s="3">
        <v>15.39</v>
      </c>
      <c r="H1693" t="str">
        <f t="shared" si="32"/>
        <v>GUARDIAN</v>
      </c>
    </row>
    <row r="1694" spans="5:8" x14ac:dyDescent="0.25">
      <c r="E1694" t="str">
        <f>""</f>
        <v/>
      </c>
      <c r="F1694" t="str">
        <f>""</f>
        <v/>
      </c>
      <c r="G1694" s="3">
        <v>46.17</v>
      </c>
      <c r="H1694" t="str">
        <f t="shared" si="32"/>
        <v>GUARDIAN</v>
      </c>
    </row>
    <row r="1695" spans="5:8" x14ac:dyDescent="0.25">
      <c r="E1695" t="str">
        <f>""</f>
        <v/>
      </c>
      <c r="F1695" t="str">
        <f>""</f>
        <v/>
      </c>
      <c r="G1695" s="3">
        <v>15.39</v>
      </c>
      <c r="H1695" t="str">
        <f t="shared" si="32"/>
        <v>GUARDIAN</v>
      </c>
    </row>
    <row r="1696" spans="5:8" x14ac:dyDescent="0.25">
      <c r="E1696" t="str">
        <f>""</f>
        <v/>
      </c>
      <c r="F1696" t="str">
        <f>""</f>
        <v/>
      </c>
      <c r="G1696" s="3">
        <v>30.78</v>
      </c>
      <c r="H1696" t="str">
        <f t="shared" si="32"/>
        <v>GUARDIAN</v>
      </c>
    </row>
    <row r="1697" spans="5:8" x14ac:dyDescent="0.25">
      <c r="E1697" t="str">
        <f>""</f>
        <v/>
      </c>
      <c r="F1697" t="str">
        <f>""</f>
        <v/>
      </c>
      <c r="G1697" s="3">
        <v>15.18</v>
      </c>
      <c r="H1697" t="str">
        <f t="shared" si="32"/>
        <v>GUARDIAN</v>
      </c>
    </row>
    <row r="1698" spans="5:8" x14ac:dyDescent="0.25">
      <c r="E1698" t="str">
        <f>""</f>
        <v/>
      </c>
      <c r="F1698" t="str">
        <f>""</f>
        <v/>
      </c>
      <c r="G1698" s="3">
        <v>46.17</v>
      </c>
      <c r="H1698" t="str">
        <f t="shared" si="32"/>
        <v>GUARDIAN</v>
      </c>
    </row>
    <row r="1699" spans="5:8" x14ac:dyDescent="0.25">
      <c r="E1699" t="str">
        <f>""</f>
        <v/>
      </c>
      <c r="F1699" t="str">
        <f>""</f>
        <v/>
      </c>
      <c r="G1699" s="3">
        <v>15.39</v>
      </c>
      <c r="H1699" t="str">
        <f t="shared" si="32"/>
        <v>GUARDIAN</v>
      </c>
    </row>
    <row r="1700" spans="5:8" x14ac:dyDescent="0.25">
      <c r="E1700" t="str">
        <f>""</f>
        <v/>
      </c>
      <c r="F1700" t="str">
        <f>""</f>
        <v/>
      </c>
      <c r="G1700" s="3">
        <v>15.39</v>
      </c>
      <c r="H1700" t="str">
        <f t="shared" si="32"/>
        <v>GUARDIAN</v>
      </c>
    </row>
    <row r="1701" spans="5:8" x14ac:dyDescent="0.25">
      <c r="E1701" t="str">
        <f>""</f>
        <v/>
      </c>
      <c r="F1701" t="str">
        <f>""</f>
        <v/>
      </c>
      <c r="G1701" s="3">
        <v>46.17</v>
      </c>
      <c r="H1701" t="str">
        <f t="shared" si="32"/>
        <v>GUARDIAN</v>
      </c>
    </row>
    <row r="1702" spans="5:8" x14ac:dyDescent="0.25">
      <c r="E1702" t="str">
        <f>""</f>
        <v/>
      </c>
      <c r="F1702" t="str">
        <f>""</f>
        <v/>
      </c>
      <c r="G1702" s="3">
        <v>15.39</v>
      </c>
      <c r="H1702" t="str">
        <f t="shared" si="32"/>
        <v>GUARDIAN</v>
      </c>
    </row>
    <row r="1703" spans="5:8" x14ac:dyDescent="0.25">
      <c r="E1703" t="str">
        <f>""</f>
        <v/>
      </c>
      <c r="F1703" t="str">
        <f>""</f>
        <v/>
      </c>
      <c r="G1703" s="3">
        <v>30.78</v>
      </c>
      <c r="H1703" t="str">
        <f t="shared" ref="H1703:H1766" si="33">"GUARDIAN"</f>
        <v>GUARDIAN</v>
      </c>
    </row>
    <row r="1704" spans="5:8" x14ac:dyDescent="0.25">
      <c r="E1704" t="str">
        <f>""</f>
        <v/>
      </c>
      <c r="F1704" t="str">
        <f>""</f>
        <v/>
      </c>
      <c r="G1704" s="3">
        <v>15.39</v>
      </c>
      <c r="H1704" t="str">
        <f t="shared" si="33"/>
        <v>GUARDIAN</v>
      </c>
    </row>
    <row r="1705" spans="5:8" x14ac:dyDescent="0.25">
      <c r="E1705" t="str">
        <f>""</f>
        <v/>
      </c>
      <c r="F1705" t="str">
        <f>""</f>
        <v/>
      </c>
      <c r="G1705" s="3">
        <v>61.56</v>
      </c>
      <c r="H1705" t="str">
        <f t="shared" si="33"/>
        <v>GUARDIAN</v>
      </c>
    </row>
    <row r="1706" spans="5:8" x14ac:dyDescent="0.25">
      <c r="E1706" t="str">
        <f>""</f>
        <v/>
      </c>
      <c r="F1706" t="str">
        <f>""</f>
        <v/>
      </c>
      <c r="G1706" s="3">
        <v>15.39</v>
      </c>
      <c r="H1706" t="str">
        <f t="shared" si="33"/>
        <v>GUARDIAN</v>
      </c>
    </row>
    <row r="1707" spans="5:8" x14ac:dyDescent="0.25">
      <c r="E1707" t="str">
        <f>""</f>
        <v/>
      </c>
      <c r="F1707" t="str">
        <f>""</f>
        <v/>
      </c>
      <c r="G1707" s="3">
        <v>15.39</v>
      </c>
      <c r="H1707" t="str">
        <f t="shared" si="33"/>
        <v>GUARDIAN</v>
      </c>
    </row>
    <row r="1708" spans="5:8" x14ac:dyDescent="0.25">
      <c r="E1708" t="str">
        <f>""</f>
        <v/>
      </c>
      <c r="F1708" t="str">
        <f>""</f>
        <v/>
      </c>
      <c r="G1708" s="3">
        <v>265.07</v>
      </c>
      <c r="H1708" t="str">
        <f t="shared" si="33"/>
        <v>GUARDIAN</v>
      </c>
    </row>
    <row r="1709" spans="5:8" x14ac:dyDescent="0.25">
      <c r="E1709" t="str">
        <f>""</f>
        <v/>
      </c>
      <c r="F1709" t="str">
        <f>""</f>
        <v/>
      </c>
      <c r="G1709" s="3">
        <v>14.92</v>
      </c>
      <c r="H1709" t="str">
        <f t="shared" si="33"/>
        <v>GUARDIAN</v>
      </c>
    </row>
    <row r="1710" spans="5:8" x14ac:dyDescent="0.25">
      <c r="E1710" t="str">
        <f>""</f>
        <v/>
      </c>
      <c r="F1710" t="str">
        <f>""</f>
        <v/>
      </c>
      <c r="G1710" s="3">
        <v>227.88</v>
      </c>
      <c r="H1710" t="str">
        <f t="shared" si="33"/>
        <v>GUARDIAN</v>
      </c>
    </row>
    <row r="1711" spans="5:8" x14ac:dyDescent="0.25">
      <c r="E1711" t="str">
        <f>""</f>
        <v/>
      </c>
      <c r="F1711" t="str">
        <f>""</f>
        <v/>
      </c>
      <c r="G1711" s="3">
        <v>15.39</v>
      </c>
      <c r="H1711" t="str">
        <f t="shared" si="33"/>
        <v>GUARDIAN</v>
      </c>
    </row>
    <row r="1712" spans="5:8" x14ac:dyDescent="0.25">
      <c r="E1712" t="str">
        <f>""</f>
        <v/>
      </c>
      <c r="F1712" t="str">
        <f>""</f>
        <v/>
      </c>
      <c r="G1712" s="3">
        <v>15.39</v>
      </c>
      <c r="H1712" t="str">
        <f t="shared" si="33"/>
        <v>GUARDIAN</v>
      </c>
    </row>
    <row r="1713" spans="5:8" x14ac:dyDescent="0.25">
      <c r="E1713" t="str">
        <f>""</f>
        <v/>
      </c>
      <c r="F1713" t="str">
        <f>""</f>
        <v/>
      </c>
      <c r="G1713" s="3">
        <v>15.39</v>
      </c>
      <c r="H1713" t="str">
        <f t="shared" si="33"/>
        <v>GUARDIAN</v>
      </c>
    </row>
    <row r="1714" spans="5:8" x14ac:dyDescent="0.25">
      <c r="E1714" t="str">
        <f>""</f>
        <v/>
      </c>
      <c r="F1714" t="str">
        <f>""</f>
        <v/>
      </c>
      <c r="G1714" s="3">
        <v>0.96</v>
      </c>
      <c r="H1714" t="str">
        <f t="shared" si="33"/>
        <v>GUARDIAN</v>
      </c>
    </row>
    <row r="1715" spans="5:8" x14ac:dyDescent="0.25">
      <c r="E1715" t="str">
        <f>""</f>
        <v/>
      </c>
      <c r="F1715" t="str">
        <f>""</f>
        <v/>
      </c>
      <c r="G1715" s="3">
        <v>15.39</v>
      </c>
      <c r="H1715" t="str">
        <f t="shared" si="33"/>
        <v>GUARDIAN</v>
      </c>
    </row>
    <row r="1716" spans="5:8" x14ac:dyDescent="0.25">
      <c r="E1716" t="str">
        <f>""</f>
        <v/>
      </c>
      <c r="F1716" t="str">
        <f>""</f>
        <v/>
      </c>
      <c r="G1716" s="3">
        <v>46.17</v>
      </c>
      <c r="H1716" t="str">
        <f t="shared" si="33"/>
        <v>GUARDIAN</v>
      </c>
    </row>
    <row r="1717" spans="5:8" x14ac:dyDescent="0.25">
      <c r="E1717" t="str">
        <f>""</f>
        <v/>
      </c>
      <c r="F1717" t="str">
        <f>""</f>
        <v/>
      </c>
      <c r="G1717" s="3">
        <v>30.78</v>
      </c>
      <c r="H1717" t="str">
        <f t="shared" si="33"/>
        <v>GUARDIAN</v>
      </c>
    </row>
    <row r="1718" spans="5:8" x14ac:dyDescent="0.25">
      <c r="E1718" t="str">
        <f>""</f>
        <v/>
      </c>
      <c r="F1718" t="str">
        <f>""</f>
        <v/>
      </c>
      <c r="G1718" s="3">
        <v>30.78</v>
      </c>
      <c r="H1718" t="str">
        <f t="shared" si="33"/>
        <v>GUARDIAN</v>
      </c>
    </row>
    <row r="1719" spans="5:8" x14ac:dyDescent="0.25">
      <c r="E1719" t="str">
        <f>""</f>
        <v/>
      </c>
      <c r="F1719" t="str">
        <f>""</f>
        <v/>
      </c>
      <c r="G1719" s="3">
        <v>0.21</v>
      </c>
      <c r="H1719" t="str">
        <f t="shared" si="33"/>
        <v>GUARDIAN</v>
      </c>
    </row>
    <row r="1720" spans="5:8" x14ac:dyDescent="0.25">
      <c r="E1720" t="str">
        <f>""</f>
        <v/>
      </c>
      <c r="F1720" t="str">
        <f>""</f>
        <v/>
      </c>
      <c r="G1720" s="3">
        <v>2.1800000000000002</v>
      </c>
      <c r="H1720" t="str">
        <f t="shared" si="33"/>
        <v>GUARDIAN</v>
      </c>
    </row>
    <row r="1721" spans="5:8" x14ac:dyDescent="0.25">
      <c r="E1721" t="str">
        <f>""</f>
        <v/>
      </c>
      <c r="F1721" t="str">
        <f>""</f>
        <v/>
      </c>
      <c r="G1721" s="3">
        <v>1448.46</v>
      </c>
      <c r="H1721" t="str">
        <f t="shared" si="33"/>
        <v>GUARDIAN</v>
      </c>
    </row>
    <row r="1722" spans="5:8" x14ac:dyDescent="0.25">
      <c r="E1722" t="str">
        <f>"GDC202109155692"</f>
        <v>GDC202109155692</v>
      </c>
      <c r="F1722" t="str">
        <f>"GUARDIAN"</f>
        <v>GUARDIAN</v>
      </c>
      <c r="G1722" s="3">
        <v>46.17</v>
      </c>
      <c r="H1722" t="str">
        <f t="shared" si="33"/>
        <v>GUARDIAN</v>
      </c>
    </row>
    <row r="1723" spans="5:8" x14ac:dyDescent="0.25">
      <c r="E1723" t="str">
        <f>""</f>
        <v/>
      </c>
      <c r="F1723" t="str">
        <f>""</f>
        <v/>
      </c>
      <c r="G1723" s="3">
        <v>55.71</v>
      </c>
      <c r="H1723" t="str">
        <f t="shared" si="33"/>
        <v>GUARDIAN</v>
      </c>
    </row>
    <row r="1724" spans="5:8" x14ac:dyDescent="0.25">
      <c r="E1724" t="str">
        <f>"GDE202109015416"</f>
        <v>GDE202109015416</v>
      </c>
      <c r="F1724" t="str">
        <f>"GUARDIAN"</f>
        <v>GUARDIAN</v>
      </c>
      <c r="G1724" s="3">
        <v>30.78</v>
      </c>
      <c r="H1724" t="str">
        <f t="shared" si="33"/>
        <v>GUARDIAN</v>
      </c>
    </row>
    <row r="1725" spans="5:8" x14ac:dyDescent="0.25">
      <c r="E1725" t="str">
        <f>""</f>
        <v/>
      </c>
      <c r="F1725" t="str">
        <f>""</f>
        <v/>
      </c>
      <c r="G1725" s="3">
        <v>20.010000000000002</v>
      </c>
      <c r="H1725" t="str">
        <f t="shared" si="33"/>
        <v>GUARDIAN</v>
      </c>
    </row>
    <row r="1726" spans="5:8" x14ac:dyDescent="0.25">
      <c r="E1726" t="str">
        <f>""</f>
        <v/>
      </c>
      <c r="F1726" t="str">
        <f>""</f>
        <v/>
      </c>
      <c r="G1726" s="3">
        <v>91.4</v>
      </c>
      <c r="H1726" t="str">
        <f t="shared" si="33"/>
        <v>GUARDIAN</v>
      </c>
    </row>
    <row r="1727" spans="5:8" x14ac:dyDescent="0.25">
      <c r="E1727" t="str">
        <f>""</f>
        <v/>
      </c>
      <c r="F1727" t="str">
        <f>""</f>
        <v/>
      </c>
      <c r="G1727" s="3">
        <v>46.17</v>
      </c>
      <c r="H1727" t="str">
        <f t="shared" si="33"/>
        <v>GUARDIAN</v>
      </c>
    </row>
    <row r="1728" spans="5:8" x14ac:dyDescent="0.25">
      <c r="E1728" t="str">
        <f>""</f>
        <v/>
      </c>
      <c r="F1728" t="str">
        <f>""</f>
        <v/>
      </c>
      <c r="G1728" s="3">
        <v>30.78</v>
      </c>
      <c r="H1728" t="str">
        <f t="shared" si="33"/>
        <v>GUARDIAN</v>
      </c>
    </row>
    <row r="1729" spans="5:8" x14ac:dyDescent="0.25">
      <c r="E1729" t="str">
        <f>""</f>
        <v/>
      </c>
      <c r="F1729" t="str">
        <f>""</f>
        <v/>
      </c>
      <c r="G1729" s="3">
        <v>30.78</v>
      </c>
      <c r="H1729" t="str">
        <f t="shared" si="33"/>
        <v>GUARDIAN</v>
      </c>
    </row>
    <row r="1730" spans="5:8" x14ac:dyDescent="0.25">
      <c r="E1730" t="str">
        <f>""</f>
        <v/>
      </c>
      <c r="F1730" t="str">
        <f>""</f>
        <v/>
      </c>
      <c r="G1730" s="3">
        <v>215.46</v>
      </c>
      <c r="H1730" t="str">
        <f t="shared" si="33"/>
        <v>GUARDIAN</v>
      </c>
    </row>
    <row r="1731" spans="5:8" x14ac:dyDescent="0.25">
      <c r="E1731" t="str">
        <f>""</f>
        <v/>
      </c>
      <c r="F1731" t="str">
        <f>""</f>
        <v/>
      </c>
      <c r="G1731" s="3">
        <v>30.78</v>
      </c>
      <c r="H1731" t="str">
        <f t="shared" si="33"/>
        <v>GUARDIAN</v>
      </c>
    </row>
    <row r="1732" spans="5:8" x14ac:dyDescent="0.25">
      <c r="E1732" t="str">
        <f>""</f>
        <v/>
      </c>
      <c r="F1732" t="str">
        <f>""</f>
        <v/>
      </c>
      <c r="G1732" s="3">
        <v>46.17</v>
      </c>
      <c r="H1732" t="str">
        <f t="shared" si="33"/>
        <v>GUARDIAN</v>
      </c>
    </row>
    <row r="1733" spans="5:8" x14ac:dyDescent="0.25">
      <c r="E1733" t="str">
        <f>""</f>
        <v/>
      </c>
      <c r="F1733" t="str">
        <f>""</f>
        <v/>
      </c>
      <c r="G1733" s="3">
        <v>76.95</v>
      </c>
      <c r="H1733" t="str">
        <f t="shared" si="33"/>
        <v>GUARDIAN</v>
      </c>
    </row>
    <row r="1734" spans="5:8" x14ac:dyDescent="0.25">
      <c r="E1734" t="str">
        <f>""</f>
        <v/>
      </c>
      <c r="F1734" t="str">
        <f>""</f>
        <v/>
      </c>
      <c r="G1734" s="3">
        <v>30.78</v>
      </c>
      <c r="H1734" t="str">
        <f t="shared" si="33"/>
        <v>GUARDIAN</v>
      </c>
    </row>
    <row r="1735" spans="5:8" x14ac:dyDescent="0.25">
      <c r="E1735" t="str">
        <f>""</f>
        <v/>
      </c>
      <c r="F1735" t="str">
        <f>""</f>
        <v/>
      </c>
      <c r="G1735" s="3">
        <v>46.17</v>
      </c>
      <c r="H1735" t="str">
        <f t="shared" si="33"/>
        <v>GUARDIAN</v>
      </c>
    </row>
    <row r="1736" spans="5:8" x14ac:dyDescent="0.25">
      <c r="E1736" t="str">
        <f>""</f>
        <v/>
      </c>
      <c r="F1736" t="str">
        <f>""</f>
        <v/>
      </c>
      <c r="G1736" s="3">
        <v>30.78</v>
      </c>
      <c r="H1736" t="str">
        <f t="shared" si="33"/>
        <v>GUARDIAN</v>
      </c>
    </row>
    <row r="1737" spans="5:8" x14ac:dyDescent="0.25">
      <c r="E1737" t="str">
        <f>""</f>
        <v/>
      </c>
      <c r="F1737" t="str">
        <f>""</f>
        <v/>
      </c>
      <c r="G1737" s="3">
        <v>30.78</v>
      </c>
      <c r="H1737" t="str">
        <f t="shared" si="33"/>
        <v>GUARDIAN</v>
      </c>
    </row>
    <row r="1738" spans="5:8" x14ac:dyDescent="0.25">
      <c r="E1738" t="str">
        <f>""</f>
        <v/>
      </c>
      <c r="F1738" t="str">
        <f>""</f>
        <v/>
      </c>
      <c r="G1738" s="3">
        <v>30.78</v>
      </c>
      <c r="H1738" t="str">
        <f t="shared" si="33"/>
        <v>GUARDIAN</v>
      </c>
    </row>
    <row r="1739" spans="5:8" x14ac:dyDescent="0.25">
      <c r="E1739" t="str">
        <f>""</f>
        <v/>
      </c>
      <c r="F1739" t="str">
        <f>""</f>
        <v/>
      </c>
      <c r="G1739" s="3">
        <v>193.65</v>
      </c>
      <c r="H1739" t="str">
        <f t="shared" si="33"/>
        <v>GUARDIAN</v>
      </c>
    </row>
    <row r="1740" spans="5:8" x14ac:dyDescent="0.25">
      <c r="E1740" t="str">
        <f>""</f>
        <v/>
      </c>
      <c r="F1740" t="str">
        <f>""</f>
        <v/>
      </c>
      <c r="G1740" s="3">
        <v>30.78</v>
      </c>
      <c r="H1740" t="str">
        <f t="shared" si="33"/>
        <v>GUARDIAN</v>
      </c>
    </row>
    <row r="1741" spans="5:8" x14ac:dyDescent="0.25">
      <c r="E1741" t="str">
        <f>""</f>
        <v/>
      </c>
      <c r="F1741" t="str">
        <f>""</f>
        <v/>
      </c>
      <c r="G1741" s="3">
        <v>30.78</v>
      </c>
      <c r="H1741" t="str">
        <f t="shared" si="33"/>
        <v>GUARDIAN</v>
      </c>
    </row>
    <row r="1742" spans="5:8" x14ac:dyDescent="0.25">
      <c r="E1742" t="str">
        <f>""</f>
        <v/>
      </c>
      <c r="F1742" t="str">
        <f>""</f>
        <v/>
      </c>
      <c r="G1742" s="3">
        <v>30.78</v>
      </c>
      <c r="H1742" t="str">
        <f t="shared" si="33"/>
        <v>GUARDIAN</v>
      </c>
    </row>
    <row r="1743" spans="5:8" x14ac:dyDescent="0.25">
      <c r="E1743" t="str">
        <f>""</f>
        <v/>
      </c>
      <c r="F1743" t="str">
        <f>""</f>
        <v/>
      </c>
      <c r="G1743" s="3">
        <v>92.34</v>
      </c>
      <c r="H1743" t="str">
        <f t="shared" si="33"/>
        <v>GUARDIAN</v>
      </c>
    </row>
    <row r="1744" spans="5:8" x14ac:dyDescent="0.25">
      <c r="E1744" t="str">
        <f>""</f>
        <v/>
      </c>
      <c r="F1744" t="str">
        <f>""</f>
        <v/>
      </c>
      <c r="G1744" s="3">
        <v>30.78</v>
      </c>
      <c r="H1744" t="str">
        <f t="shared" si="33"/>
        <v>GUARDIAN</v>
      </c>
    </row>
    <row r="1745" spans="5:8" x14ac:dyDescent="0.25">
      <c r="E1745" t="str">
        <f>""</f>
        <v/>
      </c>
      <c r="F1745" t="str">
        <f>""</f>
        <v/>
      </c>
      <c r="G1745" s="3">
        <v>92.34</v>
      </c>
      <c r="H1745" t="str">
        <f t="shared" si="33"/>
        <v>GUARDIAN</v>
      </c>
    </row>
    <row r="1746" spans="5:8" x14ac:dyDescent="0.25">
      <c r="E1746" t="str">
        <f>""</f>
        <v/>
      </c>
      <c r="F1746" t="str">
        <f>""</f>
        <v/>
      </c>
      <c r="G1746" s="3">
        <v>153.9</v>
      </c>
      <c r="H1746" t="str">
        <f t="shared" si="33"/>
        <v>GUARDIAN</v>
      </c>
    </row>
    <row r="1747" spans="5:8" x14ac:dyDescent="0.25">
      <c r="E1747" t="str">
        <f>""</f>
        <v/>
      </c>
      <c r="F1747" t="str">
        <f>""</f>
        <v/>
      </c>
      <c r="G1747" s="3">
        <v>231.1</v>
      </c>
      <c r="H1747" t="str">
        <f t="shared" si="33"/>
        <v>GUARDIAN</v>
      </c>
    </row>
    <row r="1748" spans="5:8" x14ac:dyDescent="0.25">
      <c r="E1748" t="str">
        <f>""</f>
        <v/>
      </c>
      <c r="F1748" t="str">
        <f>""</f>
        <v/>
      </c>
      <c r="G1748" s="3">
        <v>15.39</v>
      </c>
      <c r="H1748" t="str">
        <f t="shared" si="33"/>
        <v>GUARDIAN</v>
      </c>
    </row>
    <row r="1749" spans="5:8" x14ac:dyDescent="0.25">
      <c r="E1749" t="str">
        <f>""</f>
        <v/>
      </c>
      <c r="F1749" t="str">
        <f>""</f>
        <v/>
      </c>
      <c r="G1749" s="3">
        <v>891.18</v>
      </c>
      <c r="H1749" t="str">
        <f t="shared" si="33"/>
        <v>GUARDIAN</v>
      </c>
    </row>
    <row r="1750" spans="5:8" x14ac:dyDescent="0.25">
      <c r="E1750" t="str">
        <f>""</f>
        <v/>
      </c>
      <c r="F1750" t="str">
        <f>""</f>
        <v/>
      </c>
      <c r="G1750" s="3">
        <v>58.96</v>
      </c>
      <c r="H1750" t="str">
        <f t="shared" si="33"/>
        <v>GUARDIAN</v>
      </c>
    </row>
    <row r="1751" spans="5:8" x14ac:dyDescent="0.25">
      <c r="E1751" t="str">
        <f>""</f>
        <v/>
      </c>
      <c r="F1751" t="str">
        <f>""</f>
        <v/>
      </c>
      <c r="G1751" s="3">
        <v>922.92</v>
      </c>
      <c r="H1751" t="str">
        <f t="shared" si="33"/>
        <v>GUARDIAN</v>
      </c>
    </row>
    <row r="1752" spans="5:8" x14ac:dyDescent="0.25">
      <c r="E1752" t="str">
        <f>""</f>
        <v/>
      </c>
      <c r="F1752" t="str">
        <f>""</f>
        <v/>
      </c>
      <c r="G1752" s="3">
        <v>261.63</v>
      </c>
      <c r="H1752" t="str">
        <f t="shared" si="33"/>
        <v>GUARDIAN</v>
      </c>
    </row>
    <row r="1753" spans="5:8" x14ac:dyDescent="0.25">
      <c r="E1753" t="str">
        <f>""</f>
        <v/>
      </c>
      <c r="F1753" t="str">
        <f>""</f>
        <v/>
      </c>
      <c r="G1753" s="3">
        <v>30.78</v>
      </c>
      <c r="H1753" t="str">
        <f t="shared" si="33"/>
        <v>GUARDIAN</v>
      </c>
    </row>
    <row r="1754" spans="5:8" x14ac:dyDescent="0.25">
      <c r="E1754" t="str">
        <f>""</f>
        <v/>
      </c>
      <c r="F1754" t="str">
        <f>""</f>
        <v/>
      </c>
      <c r="G1754" s="3">
        <v>30.78</v>
      </c>
      <c r="H1754" t="str">
        <f t="shared" si="33"/>
        <v>GUARDIAN</v>
      </c>
    </row>
    <row r="1755" spans="5:8" x14ac:dyDescent="0.25">
      <c r="E1755" t="str">
        <f>""</f>
        <v/>
      </c>
      <c r="F1755" t="str">
        <f>""</f>
        <v/>
      </c>
      <c r="G1755" s="3">
        <v>15.39</v>
      </c>
      <c r="H1755" t="str">
        <f t="shared" si="33"/>
        <v>GUARDIAN</v>
      </c>
    </row>
    <row r="1756" spans="5:8" x14ac:dyDescent="0.25">
      <c r="E1756" t="str">
        <f>""</f>
        <v/>
      </c>
      <c r="F1756" t="str">
        <f>""</f>
        <v/>
      </c>
      <c r="G1756" s="3">
        <v>30.78</v>
      </c>
      <c r="H1756" t="str">
        <f t="shared" si="33"/>
        <v>GUARDIAN</v>
      </c>
    </row>
    <row r="1757" spans="5:8" x14ac:dyDescent="0.25">
      <c r="E1757" t="str">
        <f>""</f>
        <v/>
      </c>
      <c r="F1757" t="str">
        <f>""</f>
        <v/>
      </c>
      <c r="G1757" s="3">
        <v>15.39</v>
      </c>
      <c r="H1757" t="str">
        <f t="shared" si="33"/>
        <v>GUARDIAN</v>
      </c>
    </row>
    <row r="1758" spans="5:8" x14ac:dyDescent="0.25">
      <c r="E1758" t="str">
        <f>""</f>
        <v/>
      </c>
      <c r="F1758" t="str">
        <f>""</f>
        <v/>
      </c>
      <c r="G1758" s="3">
        <v>16.329999999999998</v>
      </c>
      <c r="H1758" t="str">
        <f t="shared" si="33"/>
        <v>GUARDIAN</v>
      </c>
    </row>
    <row r="1759" spans="5:8" x14ac:dyDescent="0.25">
      <c r="E1759" t="str">
        <f>""</f>
        <v/>
      </c>
      <c r="F1759" t="str">
        <f>""</f>
        <v/>
      </c>
      <c r="G1759" s="3">
        <v>65.25</v>
      </c>
      <c r="H1759" t="str">
        <f t="shared" si="33"/>
        <v>GUARDIAN</v>
      </c>
    </row>
    <row r="1760" spans="5:8" x14ac:dyDescent="0.25">
      <c r="E1760" t="str">
        <f>""</f>
        <v/>
      </c>
      <c r="F1760" t="str">
        <f>""</f>
        <v/>
      </c>
      <c r="G1760" s="3">
        <v>89.5</v>
      </c>
      <c r="H1760" t="str">
        <f t="shared" si="33"/>
        <v>GUARDIAN</v>
      </c>
    </row>
    <row r="1761" spans="5:8" x14ac:dyDescent="0.25">
      <c r="E1761" t="str">
        <f>""</f>
        <v/>
      </c>
      <c r="F1761" t="str">
        <f>""</f>
        <v/>
      </c>
      <c r="G1761" s="3">
        <v>150.91999999999999</v>
      </c>
      <c r="H1761" t="str">
        <f t="shared" si="33"/>
        <v>GUARDIAN</v>
      </c>
    </row>
    <row r="1762" spans="5:8" x14ac:dyDescent="0.25">
      <c r="E1762" t="str">
        <f>""</f>
        <v/>
      </c>
      <c r="F1762" t="str">
        <f>""</f>
        <v/>
      </c>
      <c r="G1762" s="3">
        <v>135.77000000000001</v>
      </c>
      <c r="H1762" t="str">
        <f t="shared" si="33"/>
        <v>GUARDIAN</v>
      </c>
    </row>
    <row r="1763" spans="5:8" x14ac:dyDescent="0.25">
      <c r="E1763" t="str">
        <f>""</f>
        <v/>
      </c>
      <c r="F1763" t="str">
        <f>""</f>
        <v/>
      </c>
      <c r="G1763" s="3">
        <v>66.14</v>
      </c>
      <c r="H1763" t="str">
        <f t="shared" si="33"/>
        <v>GUARDIAN</v>
      </c>
    </row>
    <row r="1764" spans="5:8" x14ac:dyDescent="0.25">
      <c r="E1764" t="str">
        <f>""</f>
        <v/>
      </c>
      <c r="F1764" t="str">
        <f>""</f>
        <v/>
      </c>
      <c r="G1764" s="3">
        <v>5.28</v>
      </c>
      <c r="H1764" t="str">
        <f t="shared" si="33"/>
        <v>GUARDIAN</v>
      </c>
    </row>
    <row r="1765" spans="5:8" x14ac:dyDescent="0.25">
      <c r="E1765" t="str">
        <f>""</f>
        <v/>
      </c>
      <c r="F1765" t="str">
        <f>""</f>
        <v/>
      </c>
      <c r="G1765" s="3">
        <v>1.1399999999999999</v>
      </c>
      <c r="H1765" t="str">
        <f t="shared" si="33"/>
        <v>GUARDIAN</v>
      </c>
    </row>
    <row r="1766" spans="5:8" x14ac:dyDescent="0.25">
      <c r="E1766" t="str">
        <f>""</f>
        <v/>
      </c>
      <c r="F1766" t="str">
        <f>""</f>
        <v/>
      </c>
      <c r="G1766" s="3">
        <v>15.33</v>
      </c>
      <c r="H1766" t="str">
        <f t="shared" si="33"/>
        <v>GUARDIAN</v>
      </c>
    </row>
    <row r="1767" spans="5:8" x14ac:dyDescent="0.25">
      <c r="E1767" t="str">
        <f>"GDE202109015417"</f>
        <v>GDE202109015417</v>
      </c>
      <c r="F1767" t="str">
        <f>"GUARDIAN"</f>
        <v>GUARDIAN</v>
      </c>
      <c r="G1767" s="3">
        <v>138.51</v>
      </c>
      <c r="H1767" t="str">
        <f t="shared" ref="H1767:H1830" si="34">"GUARDIAN"</f>
        <v>GUARDIAN</v>
      </c>
    </row>
    <row r="1768" spans="5:8" x14ac:dyDescent="0.25">
      <c r="E1768" t="str">
        <f>"GDE202109155691"</f>
        <v>GDE202109155691</v>
      </c>
      <c r="F1768" t="str">
        <f>"GUARDIAN"</f>
        <v>GUARDIAN</v>
      </c>
      <c r="G1768" s="3">
        <v>30.78</v>
      </c>
      <c r="H1768" t="str">
        <f t="shared" si="34"/>
        <v>GUARDIAN</v>
      </c>
    </row>
    <row r="1769" spans="5:8" x14ac:dyDescent="0.25">
      <c r="E1769" t="str">
        <f>""</f>
        <v/>
      </c>
      <c r="F1769" t="str">
        <f>""</f>
        <v/>
      </c>
      <c r="G1769" s="3">
        <v>20.010000000000002</v>
      </c>
      <c r="H1769" t="str">
        <f t="shared" si="34"/>
        <v>GUARDIAN</v>
      </c>
    </row>
    <row r="1770" spans="5:8" x14ac:dyDescent="0.25">
      <c r="E1770" t="str">
        <f>""</f>
        <v/>
      </c>
      <c r="F1770" t="str">
        <f>""</f>
        <v/>
      </c>
      <c r="G1770" s="3">
        <v>91.4</v>
      </c>
      <c r="H1770" t="str">
        <f t="shared" si="34"/>
        <v>GUARDIAN</v>
      </c>
    </row>
    <row r="1771" spans="5:8" x14ac:dyDescent="0.25">
      <c r="E1771" t="str">
        <f>""</f>
        <v/>
      </c>
      <c r="F1771" t="str">
        <f>""</f>
        <v/>
      </c>
      <c r="G1771" s="3">
        <v>46.17</v>
      </c>
      <c r="H1771" t="str">
        <f t="shared" si="34"/>
        <v>GUARDIAN</v>
      </c>
    </row>
    <row r="1772" spans="5:8" x14ac:dyDescent="0.25">
      <c r="E1772" t="str">
        <f>""</f>
        <v/>
      </c>
      <c r="F1772" t="str">
        <f>""</f>
        <v/>
      </c>
      <c r="G1772" s="3">
        <v>30.78</v>
      </c>
      <c r="H1772" t="str">
        <f t="shared" si="34"/>
        <v>GUARDIAN</v>
      </c>
    </row>
    <row r="1773" spans="5:8" x14ac:dyDescent="0.25">
      <c r="E1773" t="str">
        <f>""</f>
        <v/>
      </c>
      <c r="F1773" t="str">
        <f>""</f>
        <v/>
      </c>
      <c r="G1773" s="3">
        <v>30.78</v>
      </c>
      <c r="H1773" t="str">
        <f t="shared" si="34"/>
        <v>GUARDIAN</v>
      </c>
    </row>
    <row r="1774" spans="5:8" x14ac:dyDescent="0.25">
      <c r="E1774" t="str">
        <f>""</f>
        <v/>
      </c>
      <c r="F1774" t="str">
        <f>""</f>
        <v/>
      </c>
      <c r="G1774" s="3">
        <v>215.46</v>
      </c>
      <c r="H1774" t="str">
        <f t="shared" si="34"/>
        <v>GUARDIAN</v>
      </c>
    </row>
    <row r="1775" spans="5:8" x14ac:dyDescent="0.25">
      <c r="E1775" t="str">
        <f>""</f>
        <v/>
      </c>
      <c r="F1775" t="str">
        <f>""</f>
        <v/>
      </c>
      <c r="G1775" s="3">
        <v>30.78</v>
      </c>
      <c r="H1775" t="str">
        <f t="shared" si="34"/>
        <v>GUARDIAN</v>
      </c>
    </row>
    <row r="1776" spans="5:8" x14ac:dyDescent="0.25">
      <c r="E1776" t="str">
        <f>""</f>
        <v/>
      </c>
      <c r="F1776" t="str">
        <f>""</f>
        <v/>
      </c>
      <c r="G1776" s="3">
        <v>46.17</v>
      </c>
      <c r="H1776" t="str">
        <f t="shared" si="34"/>
        <v>GUARDIAN</v>
      </c>
    </row>
    <row r="1777" spans="5:8" x14ac:dyDescent="0.25">
      <c r="E1777" t="str">
        <f>""</f>
        <v/>
      </c>
      <c r="F1777" t="str">
        <f>""</f>
        <v/>
      </c>
      <c r="G1777" s="3">
        <v>107.73</v>
      </c>
      <c r="H1777" t="str">
        <f t="shared" si="34"/>
        <v>GUARDIAN</v>
      </c>
    </row>
    <row r="1778" spans="5:8" x14ac:dyDescent="0.25">
      <c r="E1778" t="str">
        <f>""</f>
        <v/>
      </c>
      <c r="F1778" t="str">
        <f>""</f>
        <v/>
      </c>
      <c r="G1778" s="3">
        <v>30.78</v>
      </c>
      <c r="H1778" t="str">
        <f t="shared" si="34"/>
        <v>GUARDIAN</v>
      </c>
    </row>
    <row r="1779" spans="5:8" x14ac:dyDescent="0.25">
      <c r="E1779" t="str">
        <f>""</f>
        <v/>
      </c>
      <c r="F1779" t="str">
        <f>""</f>
        <v/>
      </c>
      <c r="G1779" s="3">
        <v>46.17</v>
      </c>
      <c r="H1779" t="str">
        <f t="shared" si="34"/>
        <v>GUARDIAN</v>
      </c>
    </row>
    <row r="1780" spans="5:8" x14ac:dyDescent="0.25">
      <c r="E1780" t="str">
        <f>""</f>
        <v/>
      </c>
      <c r="F1780" t="str">
        <f>""</f>
        <v/>
      </c>
      <c r="G1780" s="3">
        <v>30.78</v>
      </c>
      <c r="H1780" t="str">
        <f t="shared" si="34"/>
        <v>GUARDIAN</v>
      </c>
    </row>
    <row r="1781" spans="5:8" x14ac:dyDescent="0.25">
      <c r="E1781" t="str">
        <f>""</f>
        <v/>
      </c>
      <c r="F1781" t="str">
        <f>""</f>
        <v/>
      </c>
      <c r="G1781" s="3">
        <v>30.78</v>
      </c>
      <c r="H1781" t="str">
        <f t="shared" si="34"/>
        <v>GUARDIAN</v>
      </c>
    </row>
    <row r="1782" spans="5:8" x14ac:dyDescent="0.25">
      <c r="E1782" t="str">
        <f>""</f>
        <v/>
      </c>
      <c r="F1782" t="str">
        <f>""</f>
        <v/>
      </c>
      <c r="G1782" s="3">
        <v>30.78</v>
      </c>
      <c r="H1782" t="str">
        <f t="shared" si="34"/>
        <v>GUARDIAN</v>
      </c>
    </row>
    <row r="1783" spans="5:8" x14ac:dyDescent="0.25">
      <c r="E1783" t="str">
        <f>""</f>
        <v/>
      </c>
      <c r="F1783" t="str">
        <f>""</f>
        <v/>
      </c>
      <c r="G1783" s="3">
        <v>193.65</v>
      </c>
      <c r="H1783" t="str">
        <f t="shared" si="34"/>
        <v>GUARDIAN</v>
      </c>
    </row>
    <row r="1784" spans="5:8" x14ac:dyDescent="0.25">
      <c r="E1784" t="str">
        <f>""</f>
        <v/>
      </c>
      <c r="F1784" t="str">
        <f>""</f>
        <v/>
      </c>
      <c r="G1784" s="3">
        <v>30.78</v>
      </c>
      <c r="H1784" t="str">
        <f t="shared" si="34"/>
        <v>GUARDIAN</v>
      </c>
    </row>
    <row r="1785" spans="5:8" x14ac:dyDescent="0.25">
      <c r="E1785" t="str">
        <f>""</f>
        <v/>
      </c>
      <c r="F1785" t="str">
        <f>""</f>
        <v/>
      </c>
      <c r="G1785" s="3">
        <v>30.78</v>
      </c>
      <c r="H1785" t="str">
        <f t="shared" si="34"/>
        <v>GUARDIAN</v>
      </c>
    </row>
    <row r="1786" spans="5:8" x14ac:dyDescent="0.25">
      <c r="E1786" t="str">
        <f>""</f>
        <v/>
      </c>
      <c r="F1786" t="str">
        <f>""</f>
        <v/>
      </c>
      <c r="G1786" s="3">
        <v>30.78</v>
      </c>
      <c r="H1786" t="str">
        <f t="shared" si="34"/>
        <v>GUARDIAN</v>
      </c>
    </row>
    <row r="1787" spans="5:8" x14ac:dyDescent="0.25">
      <c r="E1787" t="str">
        <f>""</f>
        <v/>
      </c>
      <c r="F1787" t="str">
        <f>""</f>
        <v/>
      </c>
      <c r="G1787" s="3">
        <v>92.34</v>
      </c>
      <c r="H1787" t="str">
        <f t="shared" si="34"/>
        <v>GUARDIAN</v>
      </c>
    </row>
    <row r="1788" spans="5:8" x14ac:dyDescent="0.25">
      <c r="E1788" t="str">
        <f>""</f>
        <v/>
      </c>
      <c r="F1788" t="str">
        <f>""</f>
        <v/>
      </c>
      <c r="G1788" s="3">
        <v>30.78</v>
      </c>
      <c r="H1788" t="str">
        <f t="shared" si="34"/>
        <v>GUARDIAN</v>
      </c>
    </row>
    <row r="1789" spans="5:8" x14ac:dyDescent="0.25">
      <c r="E1789" t="str">
        <f>""</f>
        <v/>
      </c>
      <c r="F1789" t="str">
        <f>""</f>
        <v/>
      </c>
      <c r="G1789" s="3">
        <v>92.34</v>
      </c>
      <c r="H1789" t="str">
        <f t="shared" si="34"/>
        <v>GUARDIAN</v>
      </c>
    </row>
    <row r="1790" spans="5:8" x14ac:dyDescent="0.25">
      <c r="E1790" t="str">
        <f>""</f>
        <v/>
      </c>
      <c r="F1790" t="str">
        <f>""</f>
        <v/>
      </c>
      <c r="G1790" s="3">
        <v>153.9</v>
      </c>
      <c r="H1790" t="str">
        <f t="shared" si="34"/>
        <v>GUARDIAN</v>
      </c>
    </row>
    <row r="1791" spans="5:8" x14ac:dyDescent="0.25">
      <c r="E1791" t="str">
        <f>""</f>
        <v/>
      </c>
      <c r="F1791" t="str">
        <f>""</f>
        <v/>
      </c>
      <c r="G1791" s="3">
        <v>231.1</v>
      </c>
      <c r="H1791" t="str">
        <f t="shared" si="34"/>
        <v>GUARDIAN</v>
      </c>
    </row>
    <row r="1792" spans="5:8" x14ac:dyDescent="0.25">
      <c r="E1792" t="str">
        <f>""</f>
        <v/>
      </c>
      <c r="F1792" t="str">
        <f>""</f>
        <v/>
      </c>
      <c r="G1792" s="3">
        <v>15.39</v>
      </c>
      <c r="H1792" t="str">
        <f t="shared" si="34"/>
        <v>GUARDIAN</v>
      </c>
    </row>
    <row r="1793" spans="5:8" x14ac:dyDescent="0.25">
      <c r="E1793" t="str">
        <f>""</f>
        <v/>
      </c>
      <c r="F1793" t="str">
        <f>""</f>
        <v/>
      </c>
      <c r="G1793" s="3">
        <v>953.49</v>
      </c>
      <c r="H1793" t="str">
        <f t="shared" si="34"/>
        <v>GUARDIAN</v>
      </c>
    </row>
    <row r="1794" spans="5:8" x14ac:dyDescent="0.25">
      <c r="E1794" t="str">
        <f>""</f>
        <v/>
      </c>
      <c r="F1794" t="str">
        <f>""</f>
        <v/>
      </c>
      <c r="G1794" s="3">
        <v>61.09</v>
      </c>
      <c r="H1794" t="str">
        <f t="shared" si="34"/>
        <v>GUARDIAN</v>
      </c>
    </row>
    <row r="1795" spans="5:8" x14ac:dyDescent="0.25">
      <c r="E1795" t="str">
        <f>""</f>
        <v/>
      </c>
      <c r="F1795" t="str">
        <f>""</f>
        <v/>
      </c>
      <c r="G1795" s="3">
        <v>893.84</v>
      </c>
      <c r="H1795" t="str">
        <f t="shared" si="34"/>
        <v>GUARDIAN</v>
      </c>
    </row>
    <row r="1796" spans="5:8" x14ac:dyDescent="0.25">
      <c r="E1796" t="str">
        <f>""</f>
        <v/>
      </c>
      <c r="F1796" t="str">
        <f>""</f>
        <v/>
      </c>
      <c r="G1796" s="3">
        <v>261.63</v>
      </c>
      <c r="H1796" t="str">
        <f t="shared" si="34"/>
        <v>GUARDIAN</v>
      </c>
    </row>
    <row r="1797" spans="5:8" x14ac:dyDescent="0.25">
      <c r="E1797" t="str">
        <f>""</f>
        <v/>
      </c>
      <c r="F1797" t="str">
        <f>""</f>
        <v/>
      </c>
      <c r="G1797" s="3">
        <v>30.78</v>
      </c>
      <c r="H1797" t="str">
        <f t="shared" si="34"/>
        <v>GUARDIAN</v>
      </c>
    </row>
    <row r="1798" spans="5:8" x14ac:dyDescent="0.25">
      <c r="E1798" t="str">
        <f>""</f>
        <v/>
      </c>
      <c r="F1798" t="str">
        <f>""</f>
        <v/>
      </c>
      <c r="G1798" s="3">
        <v>30.78</v>
      </c>
      <c r="H1798" t="str">
        <f t="shared" si="34"/>
        <v>GUARDIAN</v>
      </c>
    </row>
    <row r="1799" spans="5:8" x14ac:dyDescent="0.25">
      <c r="E1799" t="str">
        <f>""</f>
        <v/>
      </c>
      <c r="F1799" t="str">
        <f>""</f>
        <v/>
      </c>
      <c r="G1799" s="3">
        <v>15.39</v>
      </c>
      <c r="H1799" t="str">
        <f t="shared" si="34"/>
        <v>GUARDIAN</v>
      </c>
    </row>
    <row r="1800" spans="5:8" x14ac:dyDescent="0.25">
      <c r="E1800" t="str">
        <f>""</f>
        <v/>
      </c>
      <c r="F1800" t="str">
        <f>""</f>
        <v/>
      </c>
      <c r="G1800" s="3">
        <v>30.78</v>
      </c>
      <c r="H1800" t="str">
        <f t="shared" si="34"/>
        <v>GUARDIAN</v>
      </c>
    </row>
    <row r="1801" spans="5:8" x14ac:dyDescent="0.25">
      <c r="E1801" t="str">
        <f>""</f>
        <v/>
      </c>
      <c r="F1801" t="str">
        <f>""</f>
        <v/>
      </c>
      <c r="G1801" s="3">
        <v>15.39</v>
      </c>
      <c r="H1801" t="str">
        <f t="shared" si="34"/>
        <v>GUARDIAN</v>
      </c>
    </row>
    <row r="1802" spans="5:8" x14ac:dyDescent="0.25">
      <c r="E1802" t="str">
        <f>""</f>
        <v/>
      </c>
      <c r="F1802" t="str">
        <f>""</f>
        <v/>
      </c>
      <c r="G1802" s="3">
        <v>16.329999999999998</v>
      </c>
      <c r="H1802" t="str">
        <f t="shared" si="34"/>
        <v>GUARDIAN</v>
      </c>
    </row>
    <row r="1803" spans="5:8" x14ac:dyDescent="0.25">
      <c r="E1803" t="str">
        <f>""</f>
        <v/>
      </c>
      <c r="F1803" t="str">
        <f>""</f>
        <v/>
      </c>
      <c r="G1803" s="3">
        <v>65.25</v>
      </c>
      <c r="H1803" t="str">
        <f t="shared" si="34"/>
        <v>GUARDIAN</v>
      </c>
    </row>
    <row r="1804" spans="5:8" x14ac:dyDescent="0.25">
      <c r="E1804" t="str">
        <f>""</f>
        <v/>
      </c>
      <c r="F1804" t="str">
        <f>""</f>
        <v/>
      </c>
      <c r="G1804" s="3">
        <v>89.5</v>
      </c>
      <c r="H1804" t="str">
        <f t="shared" si="34"/>
        <v>GUARDIAN</v>
      </c>
    </row>
    <row r="1805" spans="5:8" x14ac:dyDescent="0.25">
      <c r="E1805" t="str">
        <f>""</f>
        <v/>
      </c>
      <c r="F1805" t="str">
        <f>""</f>
        <v/>
      </c>
      <c r="G1805" s="3">
        <v>150.91999999999999</v>
      </c>
      <c r="H1805" t="str">
        <f t="shared" si="34"/>
        <v>GUARDIAN</v>
      </c>
    </row>
    <row r="1806" spans="5:8" x14ac:dyDescent="0.25">
      <c r="E1806" t="str">
        <f>""</f>
        <v/>
      </c>
      <c r="F1806" t="str">
        <f>""</f>
        <v/>
      </c>
      <c r="G1806" s="3">
        <v>135.77000000000001</v>
      </c>
      <c r="H1806" t="str">
        <f t="shared" si="34"/>
        <v>GUARDIAN</v>
      </c>
    </row>
    <row r="1807" spans="5:8" x14ac:dyDescent="0.25">
      <c r="E1807" t="str">
        <f>""</f>
        <v/>
      </c>
      <c r="F1807" t="str">
        <f>""</f>
        <v/>
      </c>
      <c r="G1807" s="3">
        <v>5.28</v>
      </c>
      <c r="H1807" t="str">
        <f t="shared" si="34"/>
        <v>GUARDIAN</v>
      </c>
    </row>
    <row r="1808" spans="5:8" x14ac:dyDescent="0.25">
      <c r="E1808" t="str">
        <f>""</f>
        <v/>
      </c>
      <c r="F1808" t="str">
        <f>""</f>
        <v/>
      </c>
      <c r="G1808" s="3">
        <v>1.1399999999999999</v>
      </c>
      <c r="H1808" t="str">
        <f t="shared" si="34"/>
        <v>GUARDIAN</v>
      </c>
    </row>
    <row r="1809" spans="5:8" x14ac:dyDescent="0.25">
      <c r="E1809" t="str">
        <f>""</f>
        <v/>
      </c>
      <c r="F1809" t="str">
        <f>""</f>
        <v/>
      </c>
      <c r="G1809" s="3">
        <v>15.33</v>
      </c>
      <c r="H1809" t="str">
        <f t="shared" si="34"/>
        <v>GUARDIAN</v>
      </c>
    </row>
    <row r="1810" spans="5:8" x14ac:dyDescent="0.25">
      <c r="E1810" t="str">
        <f>"GDE202109155692"</f>
        <v>GDE202109155692</v>
      </c>
      <c r="F1810" t="str">
        <f>"GUARDIAN"</f>
        <v>GUARDIAN</v>
      </c>
      <c r="G1810" s="3">
        <v>138.51</v>
      </c>
      <c r="H1810" t="str">
        <f t="shared" si="34"/>
        <v>GUARDIAN</v>
      </c>
    </row>
    <row r="1811" spans="5:8" x14ac:dyDescent="0.25">
      <c r="E1811" t="str">
        <f>"GDF202109015416"</f>
        <v>GDF202109015416</v>
      </c>
      <c r="F1811" t="str">
        <f>"GUARDIAN"</f>
        <v>GUARDIAN</v>
      </c>
      <c r="G1811" s="3">
        <v>30.78</v>
      </c>
      <c r="H1811" t="str">
        <f t="shared" si="34"/>
        <v>GUARDIAN</v>
      </c>
    </row>
    <row r="1812" spans="5:8" x14ac:dyDescent="0.25">
      <c r="E1812" t="str">
        <f>""</f>
        <v/>
      </c>
      <c r="F1812" t="str">
        <f>""</f>
        <v/>
      </c>
      <c r="G1812" s="3">
        <v>30.78</v>
      </c>
      <c r="H1812" t="str">
        <f t="shared" si="34"/>
        <v>GUARDIAN</v>
      </c>
    </row>
    <row r="1813" spans="5:8" x14ac:dyDescent="0.25">
      <c r="E1813" t="str">
        <f>""</f>
        <v/>
      </c>
      <c r="F1813" t="str">
        <f>""</f>
        <v/>
      </c>
      <c r="G1813" s="3">
        <v>30.78</v>
      </c>
      <c r="H1813" t="str">
        <f t="shared" si="34"/>
        <v>GUARDIAN</v>
      </c>
    </row>
    <row r="1814" spans="5:8" x14ac:dyDescent="0.25">
      <c r="E1814" t="str">
        <f>""</f>
        <v/>
      </c>
      <c r="F1814" t="str">
        <f>""</f>
        <v/>
      </c>
      <c r="G1814" s="3">
        <v>15.39</v>
      </c>
      <c r="H1814" t="str">
        <f t="shared" si="34"/>
        <v>GUARDIAN</v>
      </c>
    </row>
    <row r="1815" spans="5:8" x14ac:dyDescent="0.25">
      <c r="E1815" t="str">
        <f>""</f>
        <v/>
      </c>
      <c r="F1815" t="str">
        <f>""</f>
        <v/>
      </c>
      <c r="G1815" s="3">
        <v>30.78</v>
      </c>
      <c r="H1815" t="str">
        <f t="shared" si="34"/>
        <v>GUARDIAN</v>
      </c>
    </row>
    <row r="1816" spans="5:8" x14ac:dyDescent="0.25">
      <c r="E1816" t="str">
        <f>""</f>
        <v/>
      </c>
      <c r="F1816" t="str">
        <f>""</f>
        <v/>
      </c>
      <c r="G1816" s="3">
        <v>15.39</v>
      </c>
      <c r="H1816" t="str">
        <f t="shared" si="34"/>
        <v>GUARDIAN</v>
      </c>
    </row>
    <row r="1817" spans="5:8" x14ac:dyDescent="0.25">
      <c r="E1817" t="str">
        <f>""</f>
        <v/>
      </c>
      <c r="F1817" t="str">
        <f>""</f>
        <v/>
      </c>
      <c r="G1817" s="3">
        <v>15.39</v>
      </c>
      <c r="H1817" t="str">
        <f t="shared" si="34"/>
        <v>GUARDIAN</v>
      </c>
    </row>
    <row r="1818" spans="5:8" x14ac:dyDescent="0.25">
      <c r="E1818" t="str">
        <f>""</f>
        <v/>
      </c>
      <c r="F1818" t="str">
        <f>""</f>
        <v/>
      </c>
      <c r="G1818" s="3">
        <v>15.39</v>
      </c>
      <c r="H1818" t="str">
        <f t="shared" si="34"/>
        <v>GUARDIAN</v>
      </c>
    </row>
    <row r="1819" spans="5:8" x14ac:dyDescent="0.25">
      <c r="E1819" t="str">
        <f>""</f>
        <v/>
      </c>
      <c r="F1819" t="str">
        <f>""</f>
        <v/>
      </c>
      <c r="G1819" s="3">
        <v>15.39</v>
      </c>
      <c r="H1819" t="str">
        <f t="shared" si="34"/>
        <v>GUARDIAN</v>
      </c>
    </row>
    <row r="1820" spans="5:8" x14ac:dyDescent="0.25">
      <c r="E1820" t="str">
        <f>""</f>
        <v/>
      </c>
      <c r="F1820" t="str">
        <f>""</f>
        <v/>
      </c>
      <c r="G1820" s="3">
        <v>15.39</v>
      </c>
      <c r="H1820" t="str">
        <f t="shared" si="34"/>
        <v>GUARDIAN</v>
      </c>
    </row>
    <row r="1821" spans="5:8" x14ac:dyDescent="0.25">
      <c r="E1821" t="str">
        <f>""</f>
        <v/>
      </c>
      <c r="F1821" t="str">
        <f>""</f>
        <v/>
      </c>
      <c r="G1821" s="3">
        <v>15.39</v>
      </c>
      <c r="H1821" t="str">
        <f t="shared" si="34"/>
        <v>GUARDIAN</v>
      </c>
    </row>
    <row r="1822" spans="5:8" x14ac:dyDescent="0.25">
      <c r="E1822" t="str">
        <f>""</f>
        <v/>
      </c>
      <c r="F1822" t="str">
        <f>""</f>
        <v/>
      </c>
      <c r="G1822" s="3">
        <v>15.39</v>
      </c>
      <c r="H1822" t="str">
        <f t="shared" si="34"/>
        <v>GUARDIAN</v>
      </c>
    </row>
    <row r="1823" spans="5:8" x14ac:dyDescent="0.25">
      <c r="E1823" t="str">
        <f>""</f>
        <v/>
      </c>
      <c r="F1823" t="str">
        <f>""</f>
        <v/>
      </c>
      <c r="G1823" s="3">
        <v>30.78</v>
      </c>
      <c r="H1823" t="str">
        <f t="shared" si="34"/>
        <v>GUARDIAN</v>
      </c>
    </row>
    <row r="1824" spans="5:8" x14ac:dyDescent="0.25">
      <c r="E1824" t="str">
        <f>""</f>
        <v/>
      </c>
      <c r="F1824" t="str">
        <f>""</f>
        <v/>
      </c>
      <c r="G1824" s="3">
        <v>15.39</v>
      </c>
      <c r="H1824" t="str">
        <f t="shared" si="34"/>
        <v>GUARDIAN</v>
      </c>
    </row>
    <row r="1825" spans="5:8" x14ac:dyDescent="0.25">
      <c r="E1825" t="str">
        <f>""</f>
        <v/>
      </c>
      <c r="F1825" t="str">
        <f>""</f>
        <v/>
      </c>
      <c r="G1825" s="3">
        <v>30.78</v>
      </c>
      <c r="H1825" t="str">
        <f t="shared" si="34"/>
        <v>GUARDIAN</v>
      </c>
    </row>
    <row r="1826" spans="5:8" x14ac:dyDescent="0.25">
      <c r="E1826" t="str">
        <f>""</f>
        <v/>
      </c>
      <c r="F1826" t="str">
        <f>""</f>
        <v/>
      </c>
      <c r="G1826" s="3">
        <v>46.17</v>
      </c>
      <c r="H1826" t="str">
        <f t="shared" si="34"/>
        <v>GUARDIAN</v>
      </c>
    </row>
    <row r="1827" spans="5:8" x14ac:dyDescent="0.25">
      <c r="E1827" t="str">
        <f>""</f>
        <v/>
      </c>
      <c r="F1827" t="str">
        <f>""</f>
        <v/>
      </c>
      <c r="G1827" s="3">
        <v>129.19999999999999</v>
      </c>
      <c r="H1827" t="str">
        <f t="shared" si="34"/>
        <v>GUARDIAN</v>
      </c>
    </row>
    <row r="1828" spans="5:8" x14ac:dyDescent="0.25">
      <c r="E1828" t="str">
        <f>""</f>
        <v/>
      </c>
      <c r="F1828" t="str">
        <f>""</f>
        <v/>
      </c>
      <c r="G1828" s="3">
        <v>121.5</v>
      </c>
      <c r="H1828" t="str">
        <f t="shared" si="34"/>
        <v>GUARDIAN</v>
      </c>
    </row>
    <row r="1829" spans="5:8" x14ac:dyDescent="0.25">
      <c r="E1829" t="str">
        <f>""</f>
        <v/>
      </c>
      <c r="F1829" t="str">
        <f>""</f>
        <v/>
      </c>
      <c r="G1829" s="3">
        <v>15.39</v>
      </c>
      <c r="H1829" t="str">
        <f t="shared" si="34"/>
        <v>GUARDIAN</v>
      </c>
    </row>
    <row r="1830" spans="5:8" x14ac:dyDescent="0.25">
      <c r="E1830" t="str">
        <f>""</f>
        <v/>
      </c>
      <c r="F1830" t="str">
        <f>""</f>
        <v/>
      </c>
      <c r="G1830" s="3">
        <v>15.39</v>
      </c>
      <c r="H1830" t="str">
        <f t="shared" si="34"/>
        <v>GUARDIAN</v>
      </c>
    </row>
    <row r="1831" spans="5:8" x14ac:dyDescent="0.25">
      <c r="E1831" t="str">
        <f>""</f>
        <v/>
      </c>
      <c r="F1831" t="str">
        <f>""</f>
        <v/>
      </c>
      <c r="G1831" s="3">
        <v>15.39</v>
      </c>
      <c r="H1831" t="str">
        <f t="shared" ref="H1831:H1894" si="35">"GUARDIAN"</f>
        <v>GUARDIAN</v>
      </c>
    </row>
    <row r="1832" spans="5:8" x14ac:dyDescent="0.25">
      <c r="E1832" t="str">
        <f>""</f>
        <v/>
      </c>
      <c r="F1832" t="str">
        <f>""</f>
        <v/>
      </c>
      <c r="G1832" s="3">
        <v>1.18</v>
      </c>
      <c r="H1832" t="str">
        <f t="shared" si="35"/>
        <v>GUARDIAN</v>
      </c>
    </row>
    <row r="1833" spans="5:8" x14ac:dyDescent="0.25">
      <c r="E1833" t="str">
        <f>""</f>
        <v/>
      </c>
      <c r="F1833" t="str">
        <f>""</f>
        <v/>
      </c>
      <c r="G1833" s="3">
        <v>15.39</v>
      </c>
      <c r="H1833" t="str">
        <f t="shared" si="35"/>
        <v>GUARDIAN</v>
      </c>
    </row>
    <row r="1834" spans="5:8" x14ac:dyDescent="0.25">
      <c r="E1834" t="str">
        <f>""</f>
        <v/>
      </c>
      <c r="F1834" t="str">
        <f>""</f>
        <v/>
      </c>
      <c r="G1834" s="3">
        <v>15.39</v>
      </c>
      <c r="H1834" t="str">
        <f t="shared" si="35"/>
        <v>GUARDIAN</v>
      </c>
    </row>
    <row r="1835" spans="5:8" x14ac:dyDescent="0.25">
      <c r="E1835" t="str">
        <f>""</f>
        <v/>
      </c>
      <c r="F1835" t="str">
        <f>""</f>
        <v/>
      </c>
      <c r="G1835" s="3">
        <v>9.75</v>
      </c>
      <c r="H1835" t="str">
        <f t="shared" si="35"/>
        <v>GUARDIAN</v>
      </c>
    </row>
    <row r="1836" spans="5:8" x14ac:dyDescent="0.25">
      <c r="E1836" t="str">
        <f>""</f>
        <v/>
      </c>
      <c r="F1836" t="str">
        <f>""</f>
        <v/>
      </c>
      <c r="G1836" s="3">
        <v>1601.72</v>
      </c>
      <c r="H1836" t="str">
        <f t="shared" si="35"/>
        <v>GUARDIAN</v>
      </c>
    </row>
    <row r="1837" spans="5:8" x14ac:dyDescent="0.25">
      <c r="E1837" t="str">
        <f>"GDF202109015417"</f>
        <v>GDF202109015417</v>
      </c>
      <c r="F1837" t="str">
        <f>"GUARDIAN"</f>
        <v>GUARDIAN</v>
      </c>
      <c r="G1837" s="3">
        <v>30.78</v>
      </c>
      <c r="H1837" t="str">
        <f t="shared" si="35"/>
        <v>GUARDIAN</v>
      </c>
    </row>
    <row r="1838" spans="5:8" x14ac:dyDescent="0.25">
      <c r="E1838" t="str">
        <f>""</f>
        <v/>
      </c>
      <c r="F1838" t="str">
        <f>""</f>
        <v/>
      </c>
      <c r="G1838" s="3">
        <v>69.64</v>
      </c>
      <c r="H1838" t="str">
        <f t="shared" si="35"/>
        <v>GUARDIAN</v>
      </c>
    </row>
    <row r="1839" spans="5:8" x14ac:dyDescent="0.25">
      <c r="E1839" t="str">
        <f>"GDF202109155691"</f>
        <v>GDF202109155691</v>
      </c>
      <c r="F1839" t="str">
        <f>"GUARDIAN"</f>
        <v>GUARDIAN</v>
      </c>
      <c r="G1839" s="3">
        <v>30.78</v>
      </c>
      <c r="H1839" t="str">
        <f t="shared" si="35"/>
        <v>GUARDIAN</v>
      </c>
    </row>
    <row r="1840" spans="5:8" x14ac:dyDescent="0.25">
      <c r="E1840" t="str">
        <f>""</f>
        <v/>
      </c>
      <c r="F1840" t="str">
        <f>""</f>
        <v/>
      </c>
      <c r="G1840" s="3">
        <v>30.78</v>
      </c>
      <c r="H1840" t="str">
        <f t="shared" si="35"/>
        <v>GUARDIAN</v>
      </c>
    </row>
    <row r="1841" spans="5:8" x14ac:dyDescent="0.25">
      <c r="E1841" t="str">
        <f>""</f>
        <v/>
      </c>
      <c r="F1841" t="str">
        <f>""</f>
        <v/>
      </c>
      <c r="G1841" s="3">
        <v>30.78</v>
      </c>
      <c r="H1841" t="str">
        <f t="shared" si="35"/>
        <v>GUARDIAN</v>
      </c>
    </row>
    <row r="1842" spans="5:8" x14ac:dyDescent="0.25">
      <c r="E1842" t="str">
        <f>""</f>
        <v/>
      </c>
      <c r="F1842" t="str">
        <f>""</f>
        <v/>
      </c>
      <c r="G1842" s="3">
        <v>15.39</v>
      </c>
      <c r="H1842" t="str">
        <f t="shared" si="35"/>
        <v>GUARDIAN</v>
      </c>
    </row>
    <row r="1843" spans="5:8" x14ac:dyDescent="0.25">
      <c r="E1843" t="str">
        <f>""</f>
        <v/>
      </c>
      <c r="F1843" t="str">
        <f>""</f>
        <v/>
      </c>
      <c r="G1843" s="3">
        <v>30.78</v>
      </c>
      <c r="H1843" t="str">
        <f t="shared" si="35"/>
        <v>GUARDIAN</v>
      </c>
    </row>
    <row r="1844" spans="5:8" x14ac:dyDescent="0.25">
      <c r="E1844" t="str">
        <f>""</f>
        <v/>
      </c>
      <c r="F1844" t="str">
        <f>""</f>
        <v/>
      </c>
      <c r="G1844" s="3">
        <v>15.39</v>
      </c>
      <c r="H1844" t="str">
        <f t="shared" si="35"/>
        <v>GUARDIAN</v>
      </c>
    </row>
    <row r="1845" spans="5:8" x14ac:dyDescent="0.25">
      <c r="E1845" t="str">
        <f>""</f>
        <v/>
      </c>
      <c r="F1845" t="str">
        <f>""</f>
        <v/>
      </c>
      <c r="G1845" s="3">
        <v>15.39</v>
      </c>
      <c r="H1845" t="str">
        <f t="shared" si="35"/>
        <v>GUARDIAN</v>
      </c>
    </row>
    <row r="1846" spans="5:8" x14ac:dyDescent="0.25">
      <c r="E1846" t="str">
        <f>""</f>
        <v/>
      </c>
      <c r="F1846" t="str">
        <f>""</f>
        <v/>
      </c>
      <c r="G1846" s="3">
        <v>15.39</v>
      </c>
      <c r="H1846" t="str">
        <f t="shared" si="35"/>
        <v>GUARDIAN</v>
      </c>
    </row>
    <row r="1847" spans="5:8" x14ac:dyDescent="0.25">
      <c r="E1847" t="str">
        <f>""</f>
        <v/>
      </c>
      <c r="F1847" t="str">
        <f>""</f>
        <v/>
      </c>
      <c r="G1847" s="3">
        <v>15.39</v>
      </c>
      <c r="H1847" t="str">
        <f t="shared" si="35"/>
        <v>GUARDIAN</v>
      </c>
    </row>
    <row r="1848" spans="5:8" x14ac:dyDescent="0.25">
      <c r="E1848" t="str">
        <f>""</f>
        <v/>
      </c>
      <c r="F1848" t="str">
        <f>""</f>
        <v/>
      </c>
      <c r="G1848" s="3">
        <v>15.39</v>
      </c>
      <c r="H1848" t="str">
        <f t="shared" si="35"/>
        <v>GUARDIAN</v>
      </c>
    </row>
    <row r="1849" spans="5:8" x14ac:dyDescent="0.25">
      <c r="E1849" t="str">
        <f>""</f>
        <v/>
      </c>
      <c r="F1849" t="str">
        <f>""</f>
        <v/>
      </c>
      <c r="G1849" s="3">
        <v>15.39</v>
      </c>
      <c r="H1849" t="str">
        <f t="shared" si="35"/>
        <v>GUARDIAN</v>
      </c>
    </row>
    <row r="1850" spans="5:8" x14ac:dyDescent="0.25">
      <c r="E1850" t="str">
        <f>""</f>
        <v/>
      </c>
      <c r="F1850" t="str">
        <f>""</f>
        <v/>
      </c>
      <c r="G1850" s="3">
        <v>15.39</v>
      </c>
      <c r="H1850" t="str">
        <f t="shared" si="35"/>
        <v>GUARDIAN</v>
      </c>
    </row>
    <row r="1851" spans="5:8" x14ac:dyDescent="0.25">
      <c r="E1851" t="str">
        <f>""</f>
        <v/>
      </c>
      <c r="F1851" t="str">
        <f>""</f>
        <v/>
      </c>
      <c r="G1851" s="3">
        <v>30.78</v>
      </c>
      <c r="H1851" t="str">
        <f t="shared" si="35"/>
        <v>GUARDIAN</v>
      </c>
    </row>
    <row r="1852" spans="5:8" x14ac:dyDescent="0.25">
      <c r="E1852" t="str">
        <f>""</f>
        <v/>
      </c>
      <c r="F1852" t="str">
        <f>""</f>
        <v/>
      </c>
      <c r="G1852" s="3">
        <v>15.39</v>
      </c>
      <c r="H1852" t="str">
        <f t="shared" si="35"/>
        <v>GUARDIAN</v>
      </c>
    </row>
    <row r="1853" spans="5:8" x14ac:dyDescent="0.25">
      <c r="E1853" t="str">
        <f>""</f>
        <v/>
      </c>
      <c r="F1853" t="str">
        <f>""</f>
        <v/>
      </c>
      <c r="G1853" s="3">
        <v>30.78</v>
      </c>
      <c r="H1853" t="str">
        <f t="shared" si="35"/>
        <v>GUARDIAN</v>
      </c>
    </row>
    <row r="1854" spans="5:8" x14ac:dyDescent="0.25">
      <c r="E1854" t="str">
        <f>""</f>
        <v/>
      </c>
      <c r="F1854" t="str">
        <f>""</f>
        <v/>
      </c>
      <c r="G1854" s="3">
        <v>46.17</v>
      </c>
      <c r="H1854" t="str">
        <f t="shared" si="35"/>
        <v>GUARDIAN</v>
      </c>
    </row>
    <row r="1855" spans="5:8" x14ac:dyDescent="0.25">
      <c r="E1855" t="str">
        <f>""</f>
        <v/>
      </c>
      <c r="F1855" t="str">
        <f>""</f>
        <v/>
      </c>
      <c r="G1855" s="3">
        <v>140.02000000000001</v>
      </c>
      <c r="H1855" t="str">
        <f t="shared" si="35"/>
        <v>GUARDIAN</v>
      </c>
    </row>
    <row r="1856" spans="5:8" x14ac:dyDescent="0.25">
      <c r="E1856" t="str">
        <f>""</f>
        <v/>
      </c>
      <c r="F1856" t="str">
        <f>""</f>
        <v/>
      </c>
      <c r="G1856" s="3">
        <v>121.61</v>
      </c>
      <c r="H1856" t="str">
        <f t="shared" si="35"/>
        <v>GUARDIAN</v>
      </c>
    </row>
    <row r="1857" spans="5:8" x14ac:dyDescent="0.25">
      <c r="E1857" t="str">
        <f>""</f>
        <v/>
      </c>
      <c r="F1857" t="str">
        <f>""</f>
        <v/>
      </c>
      <c r="G1857" s="3">
        <v>15.39</v>
      </c>
      <c r="H1857" t="str">
        <f t="shared" si="35"/>
        <v>GUARDIAN</v>
      </c>
    </row>
    <row r="1858" spans="5:8" x14ac:dyDescent="0.25">
      <c r="E1858" t="str">
        <f>""</f>
        <v/>
      </c>
      <c r="F1858" t="str">
        <f>""</f>
        <v/>
      </c>
      <c r="G1858" s="3">
        <v>15.39</v>
      </c>
      <c r="H1858" t="str">
        <f t="shared" si="35"/>
        <v>GUARDIAN</v>
      </c>
    </row>
    <row r="1859" spans="5:8" x14ac:dyDescent="0.25">
      <c r="E1859" t="str">
        <f>""</f>
        <v/>
      </c>
      <c r="F1859" t="str">
        <f>""</f>
        <v/>
      </c>
      <c r="G1859" s="3">
        <v>15.39</v>
      </c>
      <c r="H1859" t="str">
        <f t="shared" si="35"/>
        <v>GUARDIAN</v>
      </c>
    </row>
    <row r="1860" spans="5:8" x14ac:dyDescent="0.25">
      <c r="E1860" t="str">
        <f>""</f>
        <v/>
      </c>
      <c r="F1860" t="str">
        <f>""</f>
        <v/>
      </c>
      <c r="G1860" s="3">
        <v>15.39</v>
      </c>
      <c r="H1860" t="str">
        <f t="shared" si="35"/>
        <v>GUARDIAN</v>
      </c>
    </row>
    <row r="1861" spans="5:8" x14ac:dyDescent="0.25">
      <c r="E1861" t="str">
        <f>""</f>
        <v/>
      </c>
      <c r="F1861" t="str">
        <f>""</f>
        <v/>
      </c>
      <c r="G1861" s="3">
        <v>15.39</v>
      </c>
      <c r="H1861" t="str">
        <f t="shared" si="35"/>
        <v>GUARDIAN</v>
      </c>
    </row>
    <row r="1862" spans="5:8" x14ac:dyDescent="0.25">
      <c r="E1862" t="str">
        <f>""</f>
        <v/>
      </c>
      <c r="F1862" t="str">
        <f>""</f>
        <v/>
      </c>
      <c r="G1862" s="3">
        <v>1601.72</v>
      </c>
      <c r="H1862" t="str">
        <f t="shared" si="35"/>
        <v>GUARDIAN</v>
      </c>
    </row>
    <row r="1863" spans="5:8" x14ac:dyDescent="0.25">
      <c r="E1863" t="str">
        <f>"GDF202109155692"</f>
        <v>GDF202109155692</v>
      </c>
      <c r="F1863" t="str">
        <f>"GUARDIAN"</f>
        <v>GUARDIAN</v>
      </c>
      <c r="G1863" s="3">
        <v>30.78</v>
      </c>
      <c r="H1863" t="str">
        <f t="shared" si="35"/>
        <v>GUARDIAN</v>
      </c>
    </row>
    <row r="1864" spans="5:8" x14ac:dyDescent="0.25">
      <c r="E1864" t="str">
        <f>""</f>
        <v/>
      </c>
      <c r="F1864" t="str">
        <f>""</f>
        <v/>
      </c>
      <c r="G1864" s="3">
        <v>69.64</v>
      </c>
      <c r="H1864" t="str">
        <f t="shared" si="35"/>
        <v>GUARDIAN</v>
      </c>
    </row>
    <row r="1865" spans="5:8" x14ac:dyDescent="0.25">
      <c r="E1865" t="str">
        <f>"GDS202109015416"</f>
        <v>GDS202109015416</v>
      </c>
      <c r="F1865" t="str">
        <f>"GUARDIAN"</f>
        <v>GUARDIAN</v>
      </c>
      <c r="G1865" s="3">
        <v>15.39</v>
      </c>
      <c r="H1865" t="str">
        <f t="shared" si="35"/>
        <v>GUARDIAN</v>
      </c>
    </row>
    <row r="1866" spans="5:8" x14ac:dyDescent="0.25">
      <c r="E1866" t="str">
        <f>""</f>
        <v/>
      </c>
      <c r="F1866" t="str">
        <f>""</f>
        <v/>
      </c>
      <c r="G1866" s="3">
        <v>6.67</v>
      </c>
      <c r="H1866" t="str">
        <f t="shared" si="35"/>
        <v>GUARDIAN</v>
      </c>
    </row>
    <row r="1867" spans="5:8" x14ac:dyDescent="0.25">
      <c r="E1867" t="str">
        <f>""</f>
        <v/>
      </c>
      <c r="F1867" t="str">
        <f>""</f>
        <v/>
      </c>
      <c r="G1867" s="3">
        <v>15.39</v>
      </c>
      <c r="H1867" t="str">
        <f t="shared" si="35"/>
        <v>GUARDIAN</v>
      </c>
    </row>
    <row r="1868" spans="5:8" x14ac:dyDescent="0.25">
      <c r="E1868" t="str">
        <f>""</f>
        <v/>
      </c>
      <c r="F1868" t="str">
        <f>""</f>
        <v/>
      </c>
      <c r="G1868" s="3">
        <v>61.56</v>
      </c>
      <c r="H1868" t="str">
        <f t="shared" si="35"/>
        <v>GUARDIAN</v>
      </c>
    </row>
    <row r="1869" spans="5:8" x14ac:dyDescent="0.25">
      <c r="E1869" t="str">
        <f>""</f>
        <v/>
      </c>
      <c r="F1869" t="str">
        <f>""</f>
        <v/>
      </c>
      <c r="G1869" s="3">
        <v>15.39</v>
      </c>
      <c r="H1869" t="str">
        <f t="shared" si="35"/>
        <v>GUARDIAN</v>
      </c>
    </row>
    <row r="1870" spans="5:8" x14ac:dyDescent="0.25">
      <c r="E1870" t="str">
        <f>""</f>
        <v/>
      </c>
      <c r="F1870" t="str">
        <f>""</f>
        <v/>
      </c>
      <c r="G1870" s="3">
        <v>29.98</v>
      </c>
      <c r="H1870" t="str">
        <f t="shared" si="35"/>
        <v>GUARDIAN</v>
      </c>
    </row>
    <row r="1871" spans="5:8" x14ac:dyDescent="0.25">
      <c r="E1871" t="str">
        <f>""</f>
        <v/>
      </c>
      <c r="F1871" t="str">
        <f>""</f>
        <v/>
      </c>
      <c r="G1871" s="3">
        <v>30.78</v>
      </c>
      <c r="H1871" t="str">
        <f t="shared" si="35"/>
        <v>GUARDIAN</v>
      </c>
    </row>
    <row r="1872" spans="5:8" x14ac:dyDescent="0.25">
      <c r="E1872" t="str">
        <f>""</f>
        <v/>
      </c>
      <c r="F1872" t="str">
        <f>""</f>
        <v/>
      </c>
      <c r="G1872" s="3">
        <v>46.17</v>
      </c>
      <c r="H1872" t="str">
        <f t="shared" si="35"/>
        <v>GUARDIAN</v>
      </c>
    </row>
    <row r="1873" spans="5:8" x14ac:dyDescent="0.25">
      <c r="E1873" t="str">
        <f>""</f>
        <v/>
      </c>
      <c r="F1873" t="str">
        <f>""</f>
        <v/>
      </c>
      <c r="G1873" s="3">
        <v>30.78</v>
      </c>
      <c r="H1873" t="str">
        <f t="shared" si="35"/>
        <v>GUARDIAN</v>
      </c>
    </row>
    <row r="1874" spans="5:8" x14ac:dyDescent="0.25">
      <c r="E1874" t="str">
        <f>""</f>
        <v/>
      </c>
      <c r="F1874" t="str">
        <f>""</f>
        <v/>
      </c>
      <c r="G1874" s="3">
        <v>46.17</v>
      </c>
      <c r="H1874" t="str">
        <f t="shared" si="35"/>
        <v>GUARDIAN</v>
      </c>
    </row>
    <row r="1875" spans="5:8" x14ac:dyDescent="0.25">
      <c r="E1875" t="str">
        <f>""</f>
        <v/>
      </c>
      <c r="F1875" t="str">
        <f>""</f>
        <v/>
      </c>
      <c r="G1875" s="3">
        <v>15.39</v>
      </c>
      <c r="H1875" t="str">
        <f t="shared" si="35"/>
        <v>GUARDIAN</v>
      </c>
    </row>
    <row r="1876" spans="5:8" x14ac:dyDescent="0.25">
      <c r="E1876" t="str">
        <f>""</f>
        <v/>
      </c>
      <c r="F1876" t="str">
        <f>""</f>
        <v/>
      </c>
      <c r="G1876" s="3">
        <v>30.78</v>
      </c>
      <c r="H1876" t="str">
        <f t="shared" si="35"/>
        <v>GUARDIAN</v>
      </c>
    </row>
    <row r="1877" spans="5:8" x14ac:dyDescent="0.25">
      <c r="E1877" t="str">
        <f>""</f>
        <v/>
      </c>
      <c r="F1877" t="str">
        <f>""</f>
        <v/>
      </c>
      <c r="G1877" s="3">
        <v>15.39</v>
      </c>
      <c r="H1877" t="str">
        <f t="shared" si="35"/>
        <v>GUARDIAN</v>
      </c>
    </row>
    <row r="1878" spans="5:8" x14ac:dyDescent="0.25">
      <c r="E1878" t="str">
        <f>""</f>
        <v/>
      </c>
      <c r="F1878" t="str">
        <f>""</f>
        <v/>
      </c>
      <c r="G1878" s="3">
        <v>132.59</v>
      </c>
      <c r="H1878" t="str">
        <f t="shared" si="35"/>
        <v>GUARDIAN</v>
      </c>
    </row>
    <row r="1879" spans="5:8" x14ac:dyDescent="0.25">
      <c r="E1879" t="str">
        <f>""</f>
        <v/>
      </c>
      <c r="F1879" t="str">
        <f>""</f>
        <v/>
      </c>
      <c r="G1879" s="3">
        <v>76.040000000000006</v>
      </c>
      <c r="H1879" t="str">
        <f t="shared" si="35"/>
        <v>GUARDIAN</v>
      </c>
    </row>
    <row r="1880" spans="5:8" x14ac:dyDescent="0.25">
      <c r="E1880" t="str">
        <f>""</f>
        <v/>
      </c>
      <c r="F1880" t="str">
        <f>""</f>
        <v/>
      </c>
      <c r="G1880" s="3">
        <v>3.94</v>
      </c>
      <c r="H1880" t="str">
        <f t="shared" si="35"/>
        <v>GUARDIAN</v>
      </c>
    </row>
    <row r="1881" spans="5:8" x14ac:dyDescent="0.25">
      <c r="E1881" t="str">
        <f>""</f>
        <v/>
      </c>
      <c r="F1881" t="str">
        <f>""</f>
        <v/>
      </c>
      <c r="G1881" s="3">
        <v>15.39</v>
      </c>
      <c r="H1881" t="str">
        <f t="shared" si="35"/>
        <v>GUARDIAN</v>
      </c>
    </row>
    <row r="1882" spans="5:8" x14ac:dyDescent="0.25">
      <c r="E1882" t="str">
        <f>""</f>
        <v/>
      </c>
      <c r="F1882" t="str">
        <f>""</f>
        <v/>
      </c>
      <c r="G1882" s="3">
        <v>85.67</v>
      </c>
      <c r="H1882" t="str">
        <f t="shared" si="35"/>
        <v>GUARDIAN</v>
      </c>
    </row>
    <row r="1883" spans="5:8" x14ac:dyDescent="0.25">
      <c r="E1883" t="str">
        <f>""</f>
        <v/>
      </c>
      <c r="F1883" t="str">
        <f>""</f>
        <v/>
      </c>
      <c r="G1883" s="3">
        <v>76.95</v>
      </c>
      <c r="H1883" t="str">
        <f t="shared" si="35"/>
        <v>GUARDIAN</v>
      </c>
    </row>
    <row r="1884" spans="5:8" x14ac:dyDescent="0.25">
      <c r="E1884" t="str">
        <f>""</f>
        <v/>
      </c>
      <c r="F1884" t="str">
        <f>""</f>
        <v/>
      </c>
      <c r="G1884" s="3">
        <v>30.78</v>
      </c>
      <c r="H1884" t="str">
        <f t="shared" si="35"/>
        <v>GUARDIAN</v>
      </c>
    </row>
    <row r="1885" spans="5:8" x14ac:dyDescent="0.25">
      <c r="E1885" t="str">
        <f>""</f>
        <v/>
      </c>
      <c r="F1885" t="str">
        <f>""</f>
        <v/>
      </c>
      <c r="G1885" s="3">
        <v>61.56</v>
      </c>
      <c r="H1885" t="str">
        <f t="shared" si="35"/>
        <v>GUARDIAN</v>
      </c>
    </row>
    <row r="1886" spans="5:8" x14ac:dyDescent="0.25">
      <c r="E1886" t="str">
        <f>""</f>
        <v/>
      </c>
      <c r="F1886" t="str">
        <f>""</f>
        <v/>
      </c>
      <c r="G1886" s="3">
        <v>26.84</v>
      </c>
      <c r="H1886" t="str">
        <f t="shared" si="35"/>
        <v>GUARDIAN</v>
      </c>
    </row>
    <row r="1887" spans="5:8" x14ac:dyDescent="0.25">
      <c r="E1887" t="str">
        <f>""</f>
        <v/>
      </c>
      <c r="F1887" t="str">
        <f>""</f>
        <v/>
      </c>
      <c r="G1887" s="3">
        <v>6.83</v>
      </c>
      <c r="H1887" t="str">
        <f t="shared" si="35"/>
        <v>GUARDIAN</v>
      </c>
    </row>
    <row r="1888" spans="5:8" x14ac:dyDescent="0.25">
      <c r="E1888" t="str">
        <f>""</f>
        <v/>
      </c>
      <c r="F1888" t="str">
        <f>""</f>
        <v/>
      </c>
      <c r="G1888" s="3">
        <v>0.8</v>
      </c>
      <c r="H1888" t="str">
        <f t="shared" si="35"/>
        <v>GUARDIAN</v>
      </c>
    </row>
    <row r="1889" spans="5:8" x14ac:dyDescent="0.25">
      <c r="E1889" t="str">
        <f>""</f>
        <v/>
      </c>
      <c r="F1889" t="str">
        <f>""</f>
        <v/>
      </c>
      <c r="G1889" s="3">
        <v>890.91</v>
      </c>
      <c r="H1889" t="str">
        <f t="shared" si="35"/>
        <v>GUARDIAN</v>
      </c>
    </row>
    <row r="1890" spans="5:8" x14ac:dyDescent="0.25">
      <c r="E1890" t="str">
        <f>"GDS202109015417"</f>
        <v>GDS202109015417</v>
      </c>
      <c r="F1890" t="str">
        <f>"GUARDIAN"</f>
        <v>GUARDIAN</v>
      </c>
      <c r="G1890" s="3">
        <v>15.39</v>
      </c>
      <c r="H1890" t="str">
        <f t="shared" si="35"/>
        <v>GUARDIAN</v>
      </c>
    </row>
    <row r="1891" spans="5:8" x14ac:dyDescent="0.25">
      <c r="E1891" t="str">
        <f>""</f>
        <v/>
      </c>
      <c r="F1891" t="str">
        <f>""</f>
        <v/>
      </c>
      <c r="G1891" s="3">
        <v>15.63</v>
      </c>
      <c r="H1891" t="str">
        <f t="shared" si="35"/>
        <v>GUARDIAN</v>
      </c>
    </row>
    <row r="1892" spans="5:8" x14ac:dyDescent="0.25">
      <c r="E1892" t="str">
        <f>"GDS202109155691"</f>
        <v>GDS202109155691</v>
      </c>
      <c r="F1892" t="str">
        <f>"GUARDIAN"</f>
        <v>GUARDIAN</v>
      </c>
      <c r="G1892" s="3">
        <v>15.39</v>
      </c>
      <c r="H1892" t="str">
        <f t="shared" si="35"/>
        <v>GUARDIAN</v>
      </c>
    </row>
    <row r="1893" spans="5:8" x14ac:dyDescent="0.25">
      <c r="E1893" t="str">
        <f>""</f>
        <v/>
      </c>
      <c r="F1893" t="str">
        <f>""</f>
        <v/>
      </c>
      <c r="G1893" s="3">
        <v>6.67</v>
      </c>
      <c r="H1893" t="str">
        <f t="shared" si="35"/>
        <v>GUARDIAN</v>
      </c>
    </row>
    <row r="1894" spans="5:8" x14ac:dyDescent="0.25">
      <c r="E1894" t="str">
        <f>""</f>
        <v/>
      </c>
      <c r="F1894" t="str">
        <f>""</f>
        <v/>
      </c>
      <c r="G1894" s="3">
        <v>15.39</v>
      </c>
      <c r="H1894" t="str">
        <f t="shared" si="35"/>
        <v>GUARDIAN</v>
      </c>
    </row>
    <row r="1895" spans="5:8" x14ac:dyDescent="0.25">
      <c r="E1895" t="str">
        <f>""</f>
        <v/>
      </c>
      <c r="F1895" t="str">
        <f>""</f>
        <v/>
      </c>
      <c r="G1895" s="3">
        <v>61.56</v>
      </c>
      <c r="H1895" t="str">
        <f t="shared" ref="H1895:H1917" si="36">"GUARDIAN"</f>
        <v>GUARDIAN</v>
      </c>
    </row>
    <row r="1896" spans="5:8" x14ac:dyDescent="0.25">
      <c r="E1896" t="str">
        <f>""</f>
        <v/>
      </c>
      <c r="F1896" t="str">
        <f>""</f>
        <v/>
      </c>
      <c r="G1896" s="3">
        <v>15.39</v>
      </c>
      <c r="H1896" t="str">
        <f t="shared" si="36"/>
        <v>GUARDIAN</v>
      </c>
    </row>
    <row r="1897" spans="5:8" x14ac:dyDescent="0.25">
      <c r="E1897" t="str">
        <f>""</f>
        <v/>
      </c>
      <c r="F1897" t="str">
        <f>""</f>
        <v/>
      </c>
      <c r="G1897" s="3">
        <v>29.98</v>
      </c>
      <c r="H1897" t="str">
        <f t="shared" si="36"/>
        <v>GUARDIAN</v>
      </c>
    </row>
    <row r="1898" spans="5:8" x14ac:dyDescent="0.25">
      <c r="E1898" t="str">
        <f>""</f>
        <v/>
      </c>
      <c r="F1898" t="str">
        <f>""</f>
        <v/>
      </c>
      <c r="G1898" s="3">
        <v>30.78</v>
      </c>
      <c r="H1898" t="str">
        <f t="shared" si="36"/>
        <v>GUARDIAN</v>
      </c>
    </row>
    <row r="1899" spans="5:8" x14ac:dyDescent="0.25">
      <c r="E1899" t="str">
        <f>""</f>
        <v/>
      </c>
      <c r="F1899" t="str">
        <f>""</f>
        <v/>
      </c>
      <c r="G1899" s="3">
        <v>46.17</v>
      </c>
      <c r="H1899" t="str">
        <f t="shared" si="36"/>
        <v>GUARDIAN</v>
      </c>
    </row>
    <row r="1900" spans="5:8" x14ac:dyDescent="0.25">
      <c r="E1900" t="str">
        <f>""</f>
        <v/>
      </c>
      <c r="F1900" t="str">
        <f>""</f>
        <v/>
      </c>
      <c r="G1900" s="3">
        <v>30.78</v>
      </c>
      <c r="H1900" t="str">
        <f t="shared" si="36"/>
        <v>GUARDIAN</v>
      </c>
    </row>
    <row r="1901" spans="5:8" x14ac:dyDescent="0.25">
      <c r="E1901" t="str">
        <f>""</f>
        <v/>
      </c>
      <c r="F1901" t="str">
        <f>""</f>
        <v/>
      </c>
      <c r="G1901" s="3">
        <v>46.17</v>
      </c>
      <c r="H1901" t="str">
        <f t="shared" si="36"/>
        <v>GUARDIAN</v>
      </c>
    </row>
    <row r="1902" spans="5:8" x14ac:dyDescent="0.25">
      <c r="E1902" t="str">
        <f>""</f>
        <v/>
      </c>
      <c r="F1902" t="str">
        <f>""</f>
        <v/>
      </c>
      <c r="G1902" s="3">
        <v>15.39</v>
      </c>
      <c r="H1902" t="str">
        <f t="shared" si="36"/>
        <v>GUARDIAN</v>
      </c>
    </row>
    <row r="1903" spans="5:8" x14ac:dyDescent="0.25">
      <c r="E1903" t="str">
        <f>""</f>
        <v/>
      </c>
      <c r="F1903" t="str">
        <f>""</f>
        <v/>
      </c>
      <c r="G1903" s="3">
        <v>30.78</v>
      </c>
      <c r="H1903" t="str">
        <f t="shared" si="36"/>
        <v>GUARDIAN</v>
      </c>
    </row>
    <row r="1904" spans="5:8" x14ac:dyDescent="0.25">
      <c r="E1904" t="str">
        <f>""</f>
        <v/>
      </c>
      <c r="F1904" t="str">
        <f>""</f>
        <v/>
      </c>
      <c r="G1904" s="3">
        <v>15.39</v>
      </c>
      <c r="H1904" t="str">
        <f t="shared" si="36"/>
        <v>GUARDIAN</v>
      </c>
    </row>
    <row r="1905" spans="5:8" x14ac:dyDescent="0.25">
      <c r="E1905" t="str">
        <f>""</f>
        <v/>
      </c>
      <c r="F1905" t="str">
        <f>""</f>
        <v/>
      </c>
      <c r="G1905" s="3">
        <v>139.41999999999999</v>
      </c>
      <c r="H1905" t="str">
        <f t="shared" si="36"/>
        <v>GUARDIAN</v>
      </c>
    </row>
    <row r="1906" spans="5:8" x14ac:dyDescent="0.25">
      <c r="E1906" t="str">
        <f>""</f>
        <v/>
      </c>
      <c r="F1906" t="str">
        <f>""</f>
        <v/>
      </c>
      <c r="G1906" s="3">
        <v>76.040000000000006</v>
      </c>
      <c r="H1906" t="str">
        <f t="shared" si="36"/>
        <v>GUARDIAN</v>
      </c>
    </row>
    <row r="1907" spans="5:8" x14ac:dyDescent="0.25">
      <c r="E1907" t="str">
        <f>""</f>
        <v/>
      </c>
      <c r="F1907" t="str">
        <f>""</f>
        <v/>
      </c>
      <c r="G1907" s="3">
        <v>3.94</v>
      </c>
      <c r="H1907" t="str">
        <f t="shared" si="36"/>
        <v>GUARDIAN</v>
      </c>
    </row>
    <row r="1908" spans="5:8" x14ac:dyDescent="0.25">
      <c r="E1908" t="str">
        <f>""</f>
        <v/>
      </c>
      <c r="F1908" t="str">
        <f>""</f>
        <v/>
      </c>
      <c r="G1908" s="3">
        <v>15.39</v>
      </c>
      <c r="H1908" t="str">
        <f t="shared" si="36"/>
        <v>GUARDIAN</v>
      </c>
    </row>
    <row r="1909" spans="5:8" x14ac:dyDescent="0.25">
      <c r="E1909" t="str">
        <f>""</f>
        <v/>
      </c>
      <c r="F1909" t="str">
        <f>""</f>
        <v/>
      </c>
      <c r="G1909" s="3">
        <v>85.67</v>
      </c>
      <c r="H1909" t="str">
        <f t="shared" si="36"/>
        <v>GUARDIAN</v>
      </c>
    </row>
    <row r="1910" spans="5:8" x14ac:dyDescent="0.25">
      <c r="E1910" t="str">
        <f>""</f>
        <v/>
      </c>
      <c r="F1910" t="str">
        <f>""</f>
        <v/>
      </c>
      <c r="G1910" s="3">
        <v>76.95</v>
      </c>
      <c r="H1910" t="str">
        <f t="shared" si="36"/>
        <v>GUARDIAN</v>
      </c>
    </row>
    <row r="1911" spans="5:8" x14ac:dyDescent="0.25">
      <c r="E1911" t="str">
        <f>""</f>
        <v/>
      </c>
      <c r="F1911" t="str">
        <f>""</f>
        <v/>
      </c>
      <c r="G1911" s="3">
        <v>30.78</v>
      </c>
      <c r="H1911" t="str">
        <f t="shared" si="36"/>
        <v>GUARDIAN</v>
      </c>
    </row>
    <row r="1912" spans="5:8" x14ac:dyDescent="0.25">
      <c r="E1912" t="str">
        <f>""</f>
        <v/>
      </c>
      <c r="F1912" t="str">
        <f>""</f>
        <v/>
      </c>
      <c r="G1912" s="3">
        <v>61.56</v>
      </c>
      <c r="H1912" t="str">
        <f t="shared" si="36"/>
        <v>GUARDIAN</v>
      </c>
    </row>
    <row r="1913" spans="5:8" x14ac:dyDescent="0.25">
      <c r="E1913" t="str">
        <f>""</f>
        <v/>
      </c>
      <c r="F1913" t="str">
        <f>""</f>
        <v/>
      </c>
      <c r="G1913" s="3">
        <v>26.84</v>
      </c>
      <c r="H1913" t="str">
        <f t="shared" si="36"/>
        <v>GUARDIAN</v>
      </c>
    </row>
    <row r="1914" spans="5:8" x14ac:dyDescent="0.25">
      <c r="E1914" t="str">
        <f>""</f>
        <v/>
      </c>
      <c r="F1914" t="str">
        <f>""</f>
        <v/>
      </c>
      <c r="G1914" s="3">
        <v>0.8</v>
      </c>
      <c r="H1914" t="str">
        <f t="shared" si="36"/>
        <v>GUARDIAN</v>
      </c>
    </row>
    <row r="1915" spans="5:8" x14ac:dyDescent="0.25">
      <c r="E1915" t="str">
        <f>""</f>
        <v/>
      </c>
      <c r="F1915" t="str">
        <f>""</f>
        <v/>
      </c>
      <c r="G1915" s="3">
        <v>890.91</v>
      </c>
      <c r="H1915" t="str">
        <f t="shared" si="36"/>
        <v>GUARDIAN</v>
      </c>
    </row>
    <row r="1916" spans="5:8" x14ac:dyDescent="0.25">
      <c r="E1916" t="str">
        <f>"GDS202109155692"</f>
        <v>GDS202109155692</v>
      </c>
      <c r="F1916" t="str">
        <f>"GUARDIAN"</f>
        <v>GUARDIAN</v>
      </c>
      <c r="G1916" s="3">
        <v>15.39</v>
      </c>
      <c r="H1916" t="str">
        <f t="shared" si="36"/>
        <v>GUARDIAN</v>
      </c>
    </row>
    <row r="1917" spans="5:8" x14ac:dyDescent="0.25">
      <c r="E1917" t="str">
        <f>""</f>
        <v/>
      </c>
      <c r="F1917" t="str">
        <f>""</f>
        <v/>
      </c>
      <c r="G1917" s="3">
        <v>15.63</v>
      </c>
      <c r="H1917" t="str">
        <f t="shared" si="36"/>
        <v>GUARDIAN</v>
      </c>
    </row>
    <row r="1918" spans="5:8" x14ac:dyDescent="0.25">
      <c r="E1918" t="str">
        <f>"GV1202109015416"</f>
        <v>GV1202109015416</v>
      </c>
      <c r="F1918" t="str">
        <f>"GUARDIAN VISION"</f>
        <v>GUARDIAN VISION</v>
      </c>
      <c r="G1918" s="3">
        <v>414.4</v>
      </c>
      <c r="H1918" t="str">
        <f>"GUARDIAN VISION"</f>
        <v>GUARDIAN VISION</v>
      </c>
    </row>
    <row r="1919" spans="5:8" x14ac:dyDescent="0.25">
      <c r="E1919" t="str">
        <f>"GV1202109015417"</f>
        <v>GV1202109015417</v>
      </c>
      <c r="F1919" t="str">
        <f>"GUARDIAN VISION"</f>
        <v>GUARDIAN VISION</v>
      </c>
      <c r="G1919" s="3">
        <v>11.2</v>
      </c>
      <c r="H1919" t="str">
        <f>"GUARDIAN VISION"</f>
        <v>GUARDIAN VISION</v>
      </c>
    </row>
    <row r="1920" spans="5:8" x14ac:dyDescent="0.25">
      <c r="E1920" t="str">
        <f>"GV1202109155691"</f>
        <v>GV1202109155691</v>
      </c>
      <c r="F1920" t="str">
        <f>"GUARDIAN VISION"</f>
        <v>GUARDIAN VISION</v>
      </c>
      <c r="G1920" s="3">
        <v>425.6</v>
      </c>
      <c r="H1920" t="str">
        <f>"GUARDIAN VISION"</f>
        <v>GUARDIAN VISION</v>
      </c>
    </row>
    <row r="1921" spans="5:8" x14ac:dyDescent="0.25">
      <c r="E1921" t="str">
        <f>"GV1202109155692"</f>
        <v>GV1202109155692</v>
      </c>
      <c r="F1921" t="str">
        <f>"GUARDIAN VISION"</f>
        <v>GUARDIAN VISION</v>
      </c>
      <c r="G1921" s="3">
        <v>11.2</v>
      </c>
      <c r="H1921" t="str">
        <f>"GUARDIAN VISION"</f>
        <v>GUARDIAN VISION</v>
      </c>
    </row>
    <row r="1922" spans="5:8" x14ac:dyDescent="0.25">
      <c r="E1922" t="str">
        <f>"GVE202109015416"</f>
        <v>GVE202109015416</v>
      </c>
      <c r="F1922" t="str">
        <f>"GUARDIAN VISION VENDOR"</f>
        <v>GUARDIAN VISION VENDOR</v>
      </c>
      <c r="G1922" s="3">
        <v>653.13</v>
      </c>
      <c r="H1922" t="str">
        <f>"GUARDIAN VISION VENDOR"</f>
        <v>GUARDIAN VISION VENDOR</v>
      </c>
    </row>
    <row r="1923" spans="5:8" x14ac:dyDescent="0.25">
      <c r="E1923" t="str">
        <f>"GVE202109015417"</f>
        <v>GVE202109015417</v>
      </c>
      <c r="F1923" t="str">
        <f>"GUARDIAN VISION VENDOR"</f>
        <v>GUARDIAN VISION VENDOR</v>
      </c>
      <c r="G1923" s="3">
        <v>29.52</v>
      </c>
      <c r="H1923" t="str">
        <f>"GUARDIAN VISION VENDOR"</f>
        <v>GUARDIAN VISION VENDOR</v>
      </c>
    </row>
    <row r="1924" spans="5:8" x14ac:dyDescent="0.25">
      <c r="E1924" t="str">
        <f>"GVE202109155691"</f>
        <v>GVE202109155691</v>
      </c>
      <c r="F1924" t="str">
        <f>"GUARDIAN VISION VENDOR"</f>
        <v>GUARDIAN VISION VENDOR</v>
      </c>
      <c r="G1924" s="3">
        <v>638.37</v>
      </c>
      <c r="H1924" t="str">
        <f>"GUARDIAN VISION VENDOR"</f>
        <v>GUARDIAN VISION VENDOR</v>
      </c>
    </row>
    <row r="1925" spans="5:8" x14ac:dyDescent="0.25">
      <c r="E1925" t="str">
        <f>"GVE202109155692"</f>
        <v>GVE202109155692</v>
      </c>
      <c r="F1925" t="str">
        <f>"GUARDIAN VISION VENDOR"</f>
        <v>GUARDIAN VISION VENDOR</v>
      </c>
      <c r="G1925" s="3">
        <v>29.52</v>
      </c>
      <c r="H1925" t="str">
        <f>"GUARDIAN VISION VENDOR"</f>
        <v>GUARDIAN VISION VENDOR</v>
      </c>
    </row>
    <row r="1926" spans="5:8" x14ac:dyDescent="0.25">
      <c r="E1926" t="str">
        <f>"GVF202109015416"</f>
        <v>GVF202109015416</v>
      </c>
      <c r="F1926" t="str">
        <f>"GUARDIAN VISION"</f>
        <v>GUARDIAN VISION</v>
      </c>
      <c r="G1926" s="3">
        <v>541.75</v>
      </c>
      <c r="H1926" t="str">
        <f>"GUARDIAN VISION"</f>
        <v>GUARDIAN VISION</v>
      </c>
    </row>
    <row r="1927" spans="5:8" x14ac:dyDescent="0.25">
      <c r="E1927" t="str">
        <f>"GVF202109015417"</f>
        <v>GVF202109015417</v>
      </c>
      <c r="F1927" t="str">
        <f>"GUARDIAN VISION VENDOR"</f>
        <v>GUARDIAN VISION VENDOR</v>
      </c>
      <c r="G1927" s="3">
        <v>19.7</v>
      </c>
      <c r="H1927" t="str">
        <f>"GUARDIAN VISION VENDOR"</f>
        <v>GUARDIAN VISION VENDOR</v>
      </c>
    </row>
    <row r="1928" spans="5:8" x14ac:dyDescent="0.25">
      <c r="E1928" t="str">
        <f>"GVF202109155691"</f>
        <v>GVF202109155691</v>
      </c>
      <c r="F1928" t="str">
        <f>"GUARDIAN VISION"</f>
        <v>GUARDIAN VISION</v>
      </c>
      <c r="G1928" s="3">
        <v>541.75</v>
      </c>
      <c r="H1928" t="str">
        <f>"GUARDIAN VISION"</f>
        <v>GUARDIAN VISION</v>
      </c>
    </row>
    <row r="1929" spans="5:8" x14ac:dyDescent="0.25">
      <c r="E1929" t="str">
        <f>"GVF202109155692"</f>
        <v>GVF202109155692</v>
      </c>
      <c r="F1929" t="str">
        <f>"GUARDIAN VISION VENDOR"</f>
        <v>GUARDIAN VISION VENDOR</v>
      </c>
      <c r="G1929" s="3">
        <v>19.7</v>
      </c>
      <c r="H1929" t="str">
        <f>"GUARDIAN VISION VENDOR"</f>
        <v>GUARDIAN VISION VENDOR</v>
      </c>
    </row>
    <row r="1930" spans="5:8" x14ac:dyDescent="0.25">
      <c r="E1930" t="str">
        <f>"LIA202109015416"</f>
        <v>LIA202109015416</v>
      </c>
      <c r="F1930" t="str">
        <f>"GUARDIAN"</f>
        <v>GUARDIAN</v>
      </c>
      <c r="G1930" s="3">
        <v>0.86</v>
      </c>
      <c r="H1930" t="str">
        <f t="shared" ref="H1930:H1993" si="37">"GUARDIAN"</f>
        <v>GUARDIAN</v>
      </c>
    </row>
    <row r="1931" spans="5:8" x14ac:dyDescent="0.25">
      <c r="E1931" t="str">
        <f>""</f>
        <v/>
      </c>
      <c r="F1931" t="str">
        <f>""</f>
        <v/>
      </c>
      <c r="G1931" s="3">
        <v>0.74</v>
      </c>
      <c r="H1931" t="str">
        <f t="shared" si="37"/>
        <v>GUARDIAN</v>
      </c>
    </row>
    <row r="1932" spans="5:8" x14ac:dyDescent="0.25">
      <c r="E1932" t="str">
        <f>""</f>
        <v/>
      </c>
      <c r="F1932" t="str">
        <f>""</f>
        <v/>
      </c>
      <c r="G1932" s="3">
        <v>1.4</v>
      </c>
      <c r="H1932" t="str">
        <f t="shared" si="37"/>
        <v>GUARDIAN</v>
      </c>
    </row>
    <row r="1933" spans="5:8" x14ac:dyDescent="0.25">
      <c r="E1933" t="str">
        <f>""</f>
        <v/>
      </c>
      <c r="F1933" t="str">
        <f>""</f>
        <v/>
      </c>
      <c r="G1933" s="3">
        <v>1.4</v>
      </c>
      <c r="H1933" t="str">
        <f t="shared" si="37"/>
        <v>GUARDIAN</v>
      </c>
    </row>
    <row r="1934" spans="5:8" x14ac:dyDescent="0.25">
      <c r="E1934" t="str">
        <f>""</f>
        <v/>
      </c>
      <c r="F1934" t="str">
        <f>""</f>
        <v/>
      </c>
      <c r="G1934" s="3">
        <v>6.46</v>
      </c>
      <c r="H1934" t="str">
        <f t="shared" si="37"/>
        <v>GUARDIAN</v>
      </c>
    </row>
    <row r="1935" spans="5:8" x14ac:dyDescent="0.25">
      <c r="E1935" t="str">
        <f>""</f>
        <v/>
      </c>
      <c r="F1935" t="str">
        <f>""</f>
        <v/>
      </c>
      <c r="G1935" s="3">
        <v>0.54</v>
      </c>
      <c r="H1935" t="str">
        <f t="shared" si="37"/>
        <v>GUARDIAN</v>
      </c>
    </row>
    <row r="1936" spans="5:8" x14ac:dyDescent="0.25">
      <c r="E1936" t="str">
        <f>""</f>
        <v/>
      </c>
      <c r="F1936" t="str">
        <f>""</f>
        <v/>
      </c>
      <c r="G1936" s="3">
        <v>2.73</v>
      </c>
      <c r="H1936" t="str">
        <f t="shared" si="37"/>
        <v>GUARDIAN</v>
      </c>
    </row>
    <row r="1937" spans="5:8" x14ac:dyDescent="0.25">
      <c r="E1937" t="str">
        <f>""</f>
        <v/>
      </c>
      <c r="F1937" t="str">
        <f>""</f>
        <v/>
      </c>
      <c r="G1937" s="3">
        <v>0.86</v>
      </c>
      <c r="H1937" t="str">
        <f t="shared" si="37"/>
        <v>GUARDIAN</v>
      </c>
    </row>
    <row r="1938" spans="5:8" x14ac:dyDescent="0.25">
      <c r="E1938" t="str">
        <f>""</f>
        <v/>
      </c>
      <c r="F1938" t="str">
        <f>""</f>
        <v/>
      </c>
      <c r="G1938" s="3">
        <v>1.4</v>
      </c>
      <c r="H1938" t="str">
        <f t="shared" si="37"/>
        <v>GUARDIAN</v>
      </c>
    </row>
    <row r="1939" spans="5:8" x14ac:dyDescent="0.25">
      <c r="E1939" t="str">
        <f>""</f>
        <v/>
      </c>
      <c r="F1939" t="str">
        <f>""</f>
        <v/>
      </c>
      <c r="G1939" s="3">
        <v>1.4</v>
      </c>
      <c r="H1939" t="str">
        <f t="shared" si="37"/>
        <v>GUARDIAN</v>
      </c>
    </row>
    <row r="1940" spans="5:8" x14ac:dyDescent="0.25">
      <c r="E1940" t="str">
        <f>""</f>
        <v/>
      </c>
      <c r="F1940" t="str">
        <f>""</f>
        <v/>
      </c>
      <c r="G1940" s="3">
        <v>0.22</v>
      </c>
      <c r="H1940" t="str">
        <f t="shared" si="37"/>
        <v>GUARDIAN</v>
      </c>
    </row>
    <row r="1941" spans="5:8" x14ac:dyDescent="0.25">
      <c r="E1941" t="str">
        <f>""</f>
        <v/>
      </c>
      <c r="F1941" t="str">
        <f>""</f>
        <v/>
      </c>
      <c r="G1941" s="3">
        <v>0.54</v>
      </c>
      <c r="H1941" t="str">
        <f t="shared" si="37"/>
        <v>GUARDIAN</v>
      </c>
    </row>
    <row r="1942" spans="5:8" x14ac:dyDescent="0.25">
      <c r="E1942" t="str">
        <f>""</f>
        <v/>
      </c>
      <c r="F1942" t="str">
        <f>""</f>
        <v/>
      </c>
      <c r="G1942" s="3">
        <v>0.86</v>
      </c>
      <c r="H1942" t="str">
        <f t="shared" si="37"/>
        <v>GUARDIAN</v>
      </c>
    </row>
    <row r="1943" spans="5:8" x14ac:dyDescent="0.25">
      <c r="E1943" t="str">
        <f>""</f>
        <v/>
      </c>
      <c r="F1943" t="str">
        <f>""</f>
        <v/>
      </c>
      <c r="G1943" s="3">
        <v>3.13</v>
      </c>
      <c r="H1943" t="str">
        <f t="shared" si="37"/>
        <v>GUARDIAN</v>
      </c>
    </row>
    <row r="1944" spans="5:8" x14ac:dyDescent="0.25">
      <c r="E1944" t="str">
        <f>""</f>
        <v/>
      </c>
      <c r="F1944" t="str">
        <f>""</f>
        <v/>
      </c>
      <c r="G1944" s="3">
        <v>1.4</v>
      </c>
      <c r="H1944" t="str">
        <f t="shared" si="37"/>
        <v>GUARDIAN</v>
      </c>
    </row>
    <row r="1945" spans="5:8" x14ac:dyDescent="0.25">
      <c r="E1945" t="str">
        <f>""</f>
        <v/>
      </c>
      <c r="F1945" t="str">
        <f>""</f>
        <v/>
      </c>
      <c r="G1945" s="3">
        <v>1.4</v>
      </c>
      <c r="H1945" t="str">
        <f t="shared" si="37"/>
        <v>GUARDIAN</v>
      </c>
    </row>
    <row r="1946" spans="5:8" x14ac:dyDescent="0.25">
      <c r="E1946" t="str">
        <f>""</f>
        <v/>
      </c>
      <c r="F1946" t="str">
        <f>""</f>
        <v/>
      </c>
      <c r="G1946" s="3">
        <v>0.11</v>
      </c>
      <c r="H1946" t="str">
        <f t="shared" si="37"/>
        <v>GUARDIAN</v>
      </c>
    </row>
    <row r="1947" spans="5:8" x14ac:dyDescent="0.25">
      <c r="E1947" t="str">
        <f>""</f>
        <v/>
      </c>
      <c r="F1947" t="str">
        <f>""</f>
        <v/>
      </c>
      <c r="G1947" s="3">
        <v>0.49</v>
      </c>
      <c r="H1947" t="str">
        <f t="shared" si="37"/>
        <v>GUARDIAN</v>
      </c>
    </row>
    <row r="1948" spans="5:8" x14ac:dyDescent="0.25">
      <c r="E1948" t="str">
        <f>""</f>
        <v/>
      </c>
      <c r="F1948" t="str">
        <f>""</f>
        <v/>
      </c>
      <c r="G1948" s="3">
        <v>1.4</v>
      </c>
      <c r="H1948" t="str">
        <f t="shared" si="37"/>
        <v>GUARDIAN</v>
      </c>
    </row>
    <row r="1949" spans="5:8" x14ac:dyDescent="0.25">
      <c r="E1949" t="str">
        <f>""</f>
        <v/>
      </c>
      <c r="F1949" t="str">
        <f>""</f>
        <v/>
      </c>
      <c r="G1949" s="3">
        <v>3.29</v>
      </c>
      <c r="H1949" t="str">
        <f t="shared" si="37"/>
        <v>GUARDIAN</v>
      </c>
    </row>
    <row r="1950" spans="5:8" x14ac:dyDescent="0.25">
      <c r="E1950" t="str">
        <f>""</f>
        <v/>
      </c>
      <c r="F1950" t="str">
        <f>""</f>
        <v/>
      </c>
      <c r="G1950" s="3">
        <v>0.75</v>
      </c>
      <c r="H1950" t="str">
        <f t="shared" si="37"/>
        <v>GUARDIAN</v>
      </c>
    </row>
    <row r="1951" spans="5:8" x14ac:dyDescent="0.25">
      <c r="E1951" t="str">
        <f>""</f>
        <v/>
      </c>
      <c r="F1951" t="str">
        <f>""</f>
        <v/>
      </c>
      <c r="G1951" s="3">
        <v>7.0000000000000007E-2</v>
      </c>
      <c r="H1951" t="str">
        <f t="shared" si="37"/>
        <v>GUARDIAN</v>
      </c>
    </row>
    <row r="1952" spans="5:8" x14ac:dyDescent="0.25">
      <c r="E1952" t="str">
        <f>""</f>
        <v/>
      </c>
      <c r="F1952" t="str">
        <f>""</f>
        <v/>
      </c>
      <c r="G1952" s="3">
        <v>232.09</v>
      </c>
      <c r="H1952" t="str">
        <f t="shared" si="37"/>
        <v>GUARDIAN</v>
      </c>
    </row>
    <row r="1953" spans="5:8" x14ac:dyDescent="0.25">
      <c r="E1953" t="str">
        <f>"LIA202109015417"</f>
        <v>LIA202109015417</v>
      </c>
      <c r="F1953" t="str">
        <f>"GUARDIAN"</f>
        <v>GUARDIAN</v>
      </c>
      <c r="G1953" s="3">
        <v>1.4</v>
      </c>
      <c r="H1953" t="str">
        <f t="shared" si="37"/>
        <v>GUARDIAN</v>
      </c>
    </row>
    <row r="1954" spans="5:8" x14ac:dyDescent="0.25">
      <c r="E1954" t="str">
        <f>""</f>
        <v/>
      </c>
      <c r="F1954" t="str">
        <f>""</f>
        <v/>
      </c>
      <c r="G1954" s="3">
        <v>39.590000000000003</v>
      </c>
      <c r="H1954" t="str">
        <f t="shared" si="37"/>
        <v>GUARDIAN</v>
      </c>
    </row>
    <row r="1955" spans="5:8" x14ac:dyDescent="0.25">
      <c r="E1955" t="str">
        <f>"LIA202109155691"</f>
        <v>LIA202109155691</v>
      </c>
      <c r="F1955" t="str">
        <f>"GUARDIAN"</f>
        <v>GUARDIAN</v>
      </c>
      <c r="G1955" s="3">
        <v>0.86</v>
      </c>
      <c r="H1955" t="str">
        <f t="shared" si="37"/>
        <v>GUARDIAN</v>
      </c>
    </row>
    <row r="1956" spans="5:8" x14ac:dyDescent="0.25">
      <c r="E1956" t="str">
        <f>""</f>
        <v/>
      </c>
      <c r="F1956" t="str">
        <f>""</f>
        <v/>
      </c>
      <c r="G1956" s="3">
        <v>0.74</v>
      </c>
      <c r="H1956" t="str">
        <f t="shared" si="37"/>
        <v>GUARDIAN</v>
      </c>
    </row>
    <row r="1957" spans="5:8" x14ac:dyDescent="0.25">
      <c r="E1957" t="str">
        <f>""</f>
        <v/>
      </c>
      <c r="F1957" t="str">
        <f>""</f>
        <v/>
      </c>
      <c r="G1957" s="3">
        <v>1.4</v>
      </c>
      <c r="H1957" t="str">
        <f t="shared" si="37"/>
        <v>GUARDIAN</v>
      </c>
    </row>
    <row r="1958" spans="5:8" x14ac:dyDescent="0.25">
      <c r="E1958" t="str">
        <f>""</f>
        <v/>
      </c>
      <c r="F1958" t="str">
        <f>""</f>
        <v/>
      </c>
      <c r="G1958" s="3">
        <v>1.4</v>
      </c>
      <c r="H1958" t="str">
        <f t="shared" si="37"/>
        <v>GUARDIAN</v>
      </c>
    </row>
    <row r="1959" spans="5:8" x14ac:dyDescent="0.25">
      <c r="E1959" t="str">
        <f>""</f>
        <v/>
      </c>
      <c r="F1959" t="str">
        <f>""</f>
        <v/>
      </c>
      <c r="G1959" s="3">
        <v>6.46</v>
      </c>
      <c r="H1959" t="str">
        <f t="shared" si="37"/>
        <v>GUARDIAN</v>
      </c>
    </row>
    <row r="1960" spans="5:8" x14ac:dyDescent="0.25">
      <c r="E1960" t="str">
        <f>""</f>
        <v/>
      </c>
      <c r="F1960" t="str">
        <f>""</f>
        <v/>
      </c>
      <c r="G1960" s="3">
        <v>0.54</v>
      </c>
      <c r="H1960" t="str">
        <f t="shared" si="37"/>
        <v>GUARDIAN</v>
      </c>
    </row>
    <row r="1961" spans="5:8" x14ac:dyDescent="0.25">
      <c r="E1961" t="str">
        <f>""</f>
        <v/>
      </c>
      <c r="F1961" t="str">
        <f>""</f>
        <v/>
      </c>
      <c r="G1961" s="3">
        <v>2.73</v>
      </c>
      <c r="H1961" t="str">
        <f t="shared" si="37"/>
        <v>GUARDIAN</v>
      </c>
    </row>
    <row r="1962" spans="5:8" x14ac:dyDescent="0.25">
      <c r="E1962" t="str">
        <f>""</f>
        <v/>
      </c>
      <c r="F1962" t="str">
        <f>""</f>
        <v/>
      </c>
      <c r="G1962" s="3">
        <v>0.86</v>
      </c>
      <c r="H1962" t="str">
        <f t="shared" si="37"/>
        <v>GUARDIAN</v>
      </c>
    </row>
    <row r="1963" spans="5:8" x14ac:dyDescent="0.25">
      <c r="E1963" t="str">
        <f>""</f>
        <v/>
      </c>
      <c r="F1963" t="str">
        <f>""</f>
        <v/>
      </c>
      <c r="G1963" s="3">
        <v>1.4</v>
      </c>
      <c r="H1963" t="str">
        <f t="shared" si="37"/>
        <v>GUARDIAN</v>
      </c>
    </row>
    <row r="1964" spans="5:8" x14ac:dyDescent="0.25">
      <c r="E1964" t="str">
        <f>""</f>
        <v/>
      </c>
      <c r="F1964" t="str">
        <f>""</f>
        <v/>
      </c>
      <c r="G1964" s="3">
        <v>1.4</v>
      </c>
      <c r="H1964" t="str">
        <f t="shared" si="37"/>
        <v>GUARDIAN</v>
      </c>
    </row>
    <row r="1965" spans="5:8" x14ac:dyDescent="0.25">
      <c r="E1965" t="str">
        <f>""</f>
        <v/>
      </c>
      <c r="F1965" t="str">
        <f>""</f>
        <v/>
      </c>
      <c r="G1965" s="3">
        <v>0.22</v>
      </c>
      <c r="H1965" t="str">
        <f t="shared" si="37"/>
        <v>GUARDIAN</v>
      </c>
    </row>
    <row r="1966" spans="5:8" x14ac:dyDescent="0.25">
      <c r="E1966" t="str">
        <f>""</f>
        <v/>
      </c>
      <c r="F1966" t="str">
        <f>""</f>
        <v/>
      </c>
      <c r="G1966" s="3">
        <v>0.54</v>
      </c>
      <c r="H1966" t="str">
        <f t="shared" si="37"/>
        <v>GUARDIAN</v>
      </c>
    </row>
    <row r="1967" spans="5:8" x14ac:dyDescent="0.25">
      <c r="E1967" t="str">
        <f>""</f>
        <v/>
      </c>
      <c r="F1967" t="str">
        <f>""</f>
        <v/>
      </c>
      <c r="G1967" s="3">
        <v>0.86</v>
      </c>
      <c r="H1967" t="str">
        <f t="shared" si="37"/>
        <v>GUARDIAN</v>
      </c>
    </row>
    <row r="1968" spans="5:8" x14ac:dyDescent="0.25">
      <c r="E1968" t="str">
        <f>""</f>
        <v/>
      </c>
      <c r="F1968" t="str">
        <f>""</f>
        <v/>
      </c>
      <c r="G1968" s="3">
        <v>3.13</v>
      </c>
      <c r="H1968" t="str">
        <f t="shared" si="37"/>
        <v>GUARDIAN</v>
      </c>
    </row>
    <row r="1969" spans="5:8" x14ac:dyDescent="0.25">
      <c r="E1969" t="str">
        <f>""</f>
        <v/>
      </c>
      <c r="F1969" t="str">
        <f>""</f>
        <v/>
      </c>
      <c r="G1969" s="3">
        <v>1.4</v>
      </c>
      <c r="H1969" t="str">
        <f t="shared" si="37"/>
        <v>GUARDIAN</v>
      </c>
    </row>
    <row r="1970" spans="5:8" x14ac:dyDescent="0.25">
      <c r="E1970" t="str">
        <f>""</f>
        <v/>
      </c>
      <c r="F1970" t="str">
        <f>""</f>
        <v/>
      </c>
      <c r="G1970" s="3">
        <v>1.4</v>
      </c>
      <c r="H1970" t="str">
        <f t="shared" si="37"/>
        <v>GUARDIAN</v>
      </c>
    </row>
    <row r="1971" spans="5:8" x14ac:dyDescent="0.25">
      <c r="E1971" t="str">
        <f>""</f>
        <v/>
      </c>
      <c r="F1971" t="str">
        <f>""</f>
        <v/>
      </c>
      <c r="G1971" s="3">
        <v>0.11</v>
      </c>
      <c r="H1971" t="str">
        <f t="shared" si="37"/>
        <v>GUARDIAN</v>
      </c>
    </row>
    <row r="1972" spans="5:8" x14ac:dyDescent="0.25">
      <c r="E1972" t="str">
        <f>""</f>
        <v/>
      </c>
      <c r="F1972" t="str">
        <f>""</f>
        <v/>
      </c>
      <c r="G1972" s="3">
        <v>0.49</v>
      </c>
      <c r="H1972" t="str">
        <f t="shared" si="37"/>
        <v>GUARDIAN</v>
      </c>
    </row>
    <row r="1973" spans="5:8" x14ac:dyDescent="0.25">
      <c r="E1973" t="str">
        <f>""</f>
        <v/>
      </c>
      <c r="F1973" t="str">
        <f>""</f>
        <v/>
      </c>
      <c r="G1973" s="3">
        <v>1.4</v>
      </c>
      <c r="H1973" t="str">
        <f t="shared" si="37"/>
        <v>GUARDIAN</v>
      </c>
    </row>
    <row r="1974" spans="5:8" x14ac:dyDescent="0.25">
      <c r="E1974" t="str">
        <f>""</f>
        <v/>
      </c>
      <c r="F1974" t="str">
        <f>""</f>
        <v/>
      </c>
      <c r="G1974" s="3">
        <v>3.29</v>
      </c>
      <c r="H1974" t="str">
        <f t="shared" si="37"/>
        <v>GUARDIAN</v>
      </c>
    </row>
    <row r="1975" spans="5:8" x14ac:dyDescent="0.25">
      <c r="E1975" t="str">
        <f>""</f>
        <v/>
      </c>
      <c r="F1975" t="str">
        <f>""</f>
        <v/>
      </c>
      <c r="G1975" s="3">
        <v>0.75</v>
      </c>
      <c r="H1975" t="str">
        <f t="shared" si="37"/>
        <v>GUARDIAN</v>
      </c>
    </row>
    <row r="1976" spans="5:8" x14ac:dyDescent="0.25">
      <c r="E1976" t="str">
        <f>""</f>
        <v/>
      </c>
      <c r="F1976" t="str">
        <f>""</f>
        <v/>
      </c>
      <c r="G1976" s="3">
        <v>7.0000000000000007E-2</v>
      </c>
      <c r="H1976" t="str">
        <f t="shared" si="37"/>
        <v>GUARDIAN</v>
      </c>
    </row>
    <row r="1977" spans="5:8" x14ac:dyDescent="0.25">
      <c r="E1977" t="str">
        <f>""</f>
        <v/>
      </c>
      <c r="F1977" t="str">
        <f>""</f>
        <v/>
      </c>
      <c r="G1977" s="3">
        <v>232.09</v>
      </c>
      <c r="H1977" t="str">
        <f t="shared" si="37"/>
        <v>GUARDIAN</v>
      </c>
    </row>
    <row r="1978" spans="5:8" x14ac:dyDescent="0.25">
      <c r="E1978" t="str">
        <f>"LIA202109155692"</f>
        <v>LIA202109155692</v>
      </c>
      <c r="F1978" t="str">
        <f>"GUARDIAN"</f>
        <v>GUARDIAN</v>
      </c>
      <c r="G1978" s="3">
        <v>1.4</v>
      </c>
      <c r="H1978" t="str">
        <f t="shared" si="37"/>
        <v>GUARDIAN</v>
      </c>
    </row>
    <row r="1979" spans="5:8" x14ac:dyDescent="0.25">
      <c r="E1979" t="str">
        <f>""</f>
        <v/>
      </c>
      <c r="F1979" t="str">
        <f>""</f>
        <v/>
      </c>
      <c r="G1979" s="3">
        <v>39.590000000000003</v>
      </c>
      <c r="H1979" t="str">
        <f t="shared" si="37"/>
        <v>GUARDIAN</v>
      </c>
    </row>
    <row r="1980" spans="5:8" x14ac:dyDescent="0.25">
      <c r="E1980" t="str">
        <f>"LIC202109015416"</f>
        <v>LIC202109015416</v>
      </c>
      <c r="F1980" t="str">
        <f>"GUARDIAN"</f>
        <v>GUARDIAN</v>
      </c>
      <c r="G1980" s="3">
        <v>34.93</v>
      </c>
      <c r="H1980" t="str">
        <f t="shared" si="37"/>
        <v>GUARDIAN</v>
      </c>
    </row>
    <row r="1981" spans="5:8" x14ac:dyDescent="0.25">
      <c r="E1981" t="str">
        <f>"LIC202109015417"</f>
        <v>LIC202109015417</v>
      </c>
      <c r="F1981" t="str">
        <f>"GUARDIAN"</f>
        <v>GUARDIAN</v>
      </c>
      <c r="G1981" s="3">
        <v>0.7</v>
      </c>
      <c r="H1981" t="str">
        <f t="shared" si="37"/>
        <v>GUARDIAN</v>
      </c>
    </row>
    <row r="1982" spans="5:8" x14ac:dyDescent="0.25">
      <c r="E1982" t="str">
        <f>"LIC202109155691"</f>
        <v>LIC202109155691</v>
      </c>
      <c r="F1982" t="str">
        <f>"GUARDIAN"</f>
        <v>GUARDIAN</v>
      </c>
      <c r="G1982" s="3">
        <v>34.93</v>
      </c>
      <c r="H1982" t="str">
        <f t="shared" si="37"/>
        <v>GUARDIAN</v>
      </c>
    </row>
    <row r="1983" spans="5:8" x14ac:dyDescent="0.25">
      <c r="E1983" t="str">
        <f>"LIC202109155692"</f>
        <v>LIC202109155692</v>
      </c>
      <c r="F1983" t="str">
        <f>"GUARDIAN"</f>
        <v>GUARDIAN</v>
      </c>
      <c r="G1983" s="3">
        <v>0.7</v>
      </c>
      <c r="H1983" t="str">
        <f t="shared" si="37"/>
        <v>GUARDIAN</v>
      </c>
    </row>
    <row r="1984" spans="5:8" x14ac:dyDescent="0.25">
      <c r="E1984" t="str">
        <f>"LIE202109015416"</f>
        <v>LIE202109015416</v>
      </c>
      <c r="F1984" t="str">
        <f>"GUARDIAN"</f>
        <v>GUARDIAN</v>
      </c>
      <c r="G1984" s="3">
        <v>4.3</v>
      </c>
      <c r="H1984" t="str">
        <f t="shared" si="37"/>
        <v>GUARDIAN</v>
      </c>
    </row>
    <row r="1985" spans="5:8" x14ac:dyDescent="0.25">
      <c r="E1985" t="str">
        <f>""</f>
        <v/>
      </c>
      <c r="F1985" t="str">
        <f>""</f>
        <v/>
      </c>
      <c r="G1985" s="3">
        <v>1.86</v>
      </c>
      <c r="H1985" t="str">
        <f t="shared" si="37"/>
        <v>GUARDIAN</v>
      </c>
    </row>
    <row r="1986" spans="5:8" x14ac:dyDescent="0.25">
      <c r="E1986" t="str">
        <f>""</f>
        <v/>
      </c>
      <c r="F1986" t="str">
        <f>""</f>
        <v/>
      </c>
      <c r="G1986" s="3">
        <v>16.95</v>
      </c>
      <c r="H1986" t="str">
        <f t="shared" si="37"/>
        <v>GUARDIAN</v>
      </c>
    </row>
    <row r="1987" spans="5:8" x14ac:dyDescent="0.25">
      <c r="E1987" t="str">
        <f>""</f>
        <v/>
      </c>
      <c r="F1987" t="str">
        <f>""</f>
        <v/>
      </c>
      <c r="G1987" s="3">
        <v>6.45</v>
      </c>
      <c r="H1987" t="str">
        <f t="shared" si="37"/>
        <v>GUARDIAN</v>
      </c>
    </row>
    <row r="1988" spans="5:8" x14ac:dyDescent="0.25">
      <c r="E1988" t="str">
        <f>""</f>
        <v/>
      </c>
      <c r="F1988" t="str">
        <f>""</f>
        <v/>
      </c>
      <c r="G1988" s="3">
        <v>4.3</v>
      </c>
      <c r="H1988" t="str">
        <f t="shared" si="37"/>
        <v>GUARDIAN</v>
      </c>
    </row>
    <row r="1989" spans="5:8" x14ac:dyDescent="0.25">
      <c r="E1989" t="str">
        <f>""</f>
        <v/>
      </c>
      <c r="F1989" t="str">
        <f>""</f>
        <v/>
      </c>
      <c r="G1989" s="3">
        <v>12.9</v>
      </c>
      <c r="H1989" t="str">
        <f t="shared" si="37"/>
        <v>GUARDIAN</v>
      </c>
    </row>
    <row r="1990" spans="5:8" x14ac:dyDescent="0.25">
      <c r="E1990" t="str">
        <f>""</f>
        <v/>
      </c>
      <c r="F1990" t="str">
        <f>""</f>
        <v/>
      </c>
      <c r="G1990" s="3">
        <v>40.85</v>
      </c>
      <c r="H1990" t="str">
        <f t="shared" si="37"/>
        <v>GUARDIAN</v>
      </c>
    </row>
    <row r="1991" spans="5:8" x14ac:dyDescent="0.25">
      <c r="E1991" t="str">
        <f>""</f>
        <v/>
      </c>
      <c r="F1991" t="str">
        <f>""</f>
        <v/>
      </c>
      <c r="G1991" s="3">
        <v>2.15</v>
      </c>
      <c r="H1991" t="str">
        <f t="shared" si="37"/>
        <v>GUARDIAN</v>
      </c>
    </row>
    <row r="1992" spans="5:8" x14ac:dyDescent="0.25">
      <c r="E1992" t="str">
        <f>""</f>
        <v/>
      </c>
      <c r="F1992" t="str">
        <f>""</f>
        <v/>
      </c>
      <c r="G1992" s="3">
        <v>6.15</v>
      </c>
      <c r="H1992" t="str">
        <f t="shared" si="37"/>
        <v>GUARDIAN</v>
      </c>
    </row>
    <row r="1993" spans="5:8" x14ac:dyDescent="0.25">
      <c r="E1993" t="str">
        <f>""</f>
        <v/>
      </c>
      <c r="F1993" t="str">
        <f>""</f>
        <v/>
      </c>
      <c r="G1993" s="3">
        <v>10.75</v>
      </c>
      <c r="H1993" t="str">
        <f t="shared" si="37"/>
        <v>GUARDIAN</v>
      </c>
    </row>
    <row r="1994" spans="5:8" x14ac:dyDescent="0.25">
      <c r="E1994" t="str">
        <f>""</f>
        <v/>
      </c>
      <c r="F1994" t="str">
        <f>""</f>
        <v/>
      </c>
      <c r="G1994" s="3">
        <v>23.65</v>
      </c>
      <c r="H1994" t="str">
        <f t="shared" ref="H1994:H2057" si="38">"GUARDIAN"</f>
        <v>GUARDIAN</v>
      </c>
    </row>
    <row r="1995" spans="5:8" x14ac:dyDescent="0.25">
      <c r="E1995" t="str">
        <f>""</f>
        <v/>
      </c>
      <c r="F1995" t="str">
        <f>""</f>
        <v/>
      </c>
      <c r="G1995" s="3">
        <v>8.6</v>
      </c>
      <c r="H1995" t="str">
        <f t="shared" si="38"/>
        <v>GUARDIAN</v>
      </c>
    </row>
    <row r="1996" spans="5:8" x14ac:dyDescent="0.25">
      <c r="E1996" t="str">
        <f>""</f>
        <v/>
      </c>
      <c r="F1996" t="str">
        <f>""</f>
        <v/>
      </c>
      <c r="G1996" s="3">
        <v>6.45</v>
      </c>
      <c r="H1996" t="str">
        <f t="shared" si="38"/>
        <v>GUARDIAN</v>
      </c>
    </row>
    <row r="1997" spans="5:8" x14ac:dyDescent="0.25">
      <c r="E1997" t="str">
        <f>""</f>
        <v/>
      </c>
      <c r="F1997" t="str">
        <f>""</f>
        <v/>
      </c>
      <c r="G1997" s="3">
        <v>8.6</v>
      </c>
      <c r="H1997" t="str">
        <f t="shared" si="38"/>
        <v>GUARDIAN</v>
      </c>
    </row>
    <row r="1998" spans="5:8" x14ac:dyDescent="0.25">
      <c r="E1998" t="str">
        <f>""</f>
        <v/>
      </c>
      <c r="F1998" t="str">
        <f>""</f>
        <v/>
      </c>
      <c r="G1998" s="3">
        <v>6.45</v>
      </c>
      <c r="H1998" t="str">
        <f t="shared" si="38"/>
        <v>GUARDIAN</v>
      </c>
    </row>
    <row r="1999" spans="5:8" x14ac:dyDescent="0.25">
      <c r="E1999" t="str">
        <f>""</f>
        <v/>
      </c>
      <c r="F1999" t="str">
        <f>""</f>
        <v/>
      </c>
      <c r="G1999" s="3">
        <v>4.3</v>
      </c>
      <c r="H1999" t="str">
        <f t="shared" si="38"/>
        <v>GUARDIAN</v>
      </c>
    </row>
    <row r="2000" spans="5:8" x14ac:dyDescent="0.25">
      <c r="E2000" t="str">
        <f>""</f>
        <v/>
      </c>
      <c r="F2000" t="str">
        <f>""</f>
        <v/>
      </c>
      <c r="G2000" s="3">
        <v>31.31</v>
      </c>
      <c r="H2000" t="str">
        <f t="shared" si="38"/>
        <v>GUARDIAN</v>
      </c>
    </row>
    <row r="2001" spans="5:8" x14ac:dyDescent="0.25">
      <c r="E2001" t="str">
        <f>""</f>
        <v/>
      </c>
      <c r="F2001" t="str">
        <f>""</f>
        <v/>
      </c>
      <c r="G2001" s="3">
        <v>15.05</v>
      </c>
      <c r="H2001" t="str">
        <f t="shared" si="38"/>
        <v>GUARDIAN</v>
      </c>
    </row>
    <row r="2002" spans="5:8" x14ac:dyDescent="0.25">
      <c r="E2002" t="str">
        <f>""</f>
        <v/>
      </c>
      <c r="F2002" t="str">
        <f>""</f>
        <v/>
      </c>
      <c r="G2002" s="3">
        <v>8.6</v>
      </c>
      <c r="H2002" t="str">
        <f t="shared" si="38"/>
        <v>GUARDIAN</v>
      </c>
    </row>
    <row r="2003" spans="5:8" x14ac:dyDescent="0.25">
      <c r="E2003" t="str">
        <f>""</f>
        <v/>
      </c>
      <c r="F2003" t="str">
        <f>""</f>
        <v/>
      </c>
      <c r="G2003" s="3">
        <v>8.6</v>
      </c>
      <c r="H2003" t="str">
        <f t="shared" si="38"/>
        <v>GUARDIAN</v>
      </c>
    </row>
    <row r="2004" spans="5:8" x14ac:dyDescent="0.25">
      <c r="E2004" t="str">
        <f>""</f>
        <v/>
      </c>
      <c r="F2004" t="str">
        <f>""</f>
        <v/>
      </c>
      <c r="G2004" s="3">
        <v>27.95</v>
      </c>
      <c r="H2004" t="str">
        <f t="shared" si="38"/>
        <v>GUARDIAN</v>
      </c>
    </row>
    <row r="2005" spans="5:8" x14ac:dyDescent="0.25">
      <c r="E2005" t="str">
        <f>""</f>
        <v/>
      </c>
      <c r="F2005" t="str">
        <f>""</f>
        <v/>
      </c>
      <c r="G2005" s="3">
        <v>12.9</v>
      </c>
      <c r="H2005" t="str">
        <f t="shared" si="38"/>
        <v>GUARDIAN</v>
      </c>
    </row>
    <row r="2006" spans="5:8" x14ac:dyDescent="0.25">
      <c r="E2006" t="str">
        <f>""</f>
        <v/>
      </c>
      <c r="F2006" t="str">
        <f>""</f>
        <v/>
      </c>
      <c r="G2006" s="3">
        <v>23.65</v>
      </c>
      <c r="H2006" t="str">
        <f t="shared" si="38"/>
        <v>GUARDIAN</v>
      </c>
    </row>
    <row r="2007" spans="5:8" x14ac:dyDescent="0.25">
      <c r="E2007" t="str">
        <f>""</f>
        <v/>
      </c>
      <c r="F2007" t="str">
        <f>""</f>
        <v/>
      </c>
      <c r="G2007" s="3">
        <v>27.95</v>
      </c>
      <c r="H2007" t="str">
        <f t="shared" si="38"/>
        <v>GUARDIAN</v>
      </c>
    </row>
    <row r="2008" spans="5:8" x14ac:dyDescent="0.25">
      <c r="E2008" t="str">
        <f>""</f>
        <v/>
      </c>
      <c r="F2008" t="str">
        <f>""</f>
        <v/>
      </c>
      <c r="G2008" s="3">
        <v>49.48</v>
      </c>
      <c r="H2008" t="str">
        <f t="shared" si="38"/>
        <v>GUARDIAN</v>
      </c>
    </row>
    <row r="2009" spans="5:8" x14ac:dyDescent="0.25">
      <c r="E2009" t="str">
        <f>""</f>
        <v/>
      </c>
      <c r="F2009" t="str">
        <f>""</f>
        <v/>
      </c>
      <c r="G2009" s="3">
        <v>2.15</v>
      </c>
      <c r="H2009" t="str">
        <f t="shared" si="38"/>
        <v>GUARDIAN</v>
      </c>
    </row>
    <row r="2010" spans="5:8" x14ac:dyDescent="0.25">
      <c r="E2010" t="str">
        <f>""</f>
        <v/>
      </c>
      <c r="F2010" t="str">
        <f>""</f>
        <v/>
      </c>
      <c r="G2010" s="3">
        <v>2.15</v>
      </c>
      <c r="H2010" t="str">
        <f t="shared" si="38"/>
        <v>GUARDIAN</v>
      </c>
    </row>
    <row r="2011" spans="5:8" x14ac:dyDescent="0.25">
      <c r="E2011" t="str">
        <f>""</f>
        <v/>
      </c>
      <c r="F2011" t="str">
        <f>""</f>
        <v/>
      </c>
      <c r="G2011" s="3">
        <v>2.15</v>
      </c>
      <c r="H2011" t="str">
        <f t="shared" si="38"/>
        <v>GUARDIAN</v>
      </c>
    </row>
    <row r="2012" spans="5:8" x14ac:dyDescent="0.25">
      <c r="E2012" t="str">
        <f>""</f>
        <v/>
      </c>
      <c r="F2012" t="str">
        <f>""</f>
        <v/>
      </c>
      <c r="G2012" s="3">
        <v>192.75</v>
      </c>
      <c r="H2012" t="str">
        <f t="shared" si="38"/>
        <v>GUARDIAN</v>
      </c>
    </row>
    <row r="2013" spans="5:8" x14ac:dyDescent="0.25">
      <c r="E2013" t="str">
        <f>""</f>
        <v/>
      </c>
      <c r="F2013" t="str">
        <f>""</f>
        <v/>
      </c>
      <c r="G2013" s="3">
        <v>8.06</v>
      </c>
      <c r="H2013" t="str">
        <f t="shared" si="38"/>
        <v>GUARDIAN</v>
      </c>
    </row>
    <row r="2014" spans="5:8" x14ac:dyDescent="0.25">
      <c r="E2014" t="str">
        <f>""</f>
        <v/>
      </c>
      <c r="F2014" t="str">
        <f>""</f>
        <v/>
      </c>
      <c r="G2014" s="3">
        <v>188.33</v>
      </c>
      <c r="H2014" t="str">
        <f t="shared" si="38"/>
        <v>GUARDIAN</v>
      </c>
    </row>
    <row r="2015" spans="5:8" x14ac:dyDescent="0.25">
      <c r="E2015" t="str">
        <f>""</f>
        <v/>
      </c>
      <c r="F2015" t="str">
        <f>""</f>
        <v/>
      </c>
      <c r="G2015" s="3">
        <v>38.700000000000003</v>
      </c>
      <c r="H2015" t="str">
        <f t="shared" si="38"/>
        <v>GUARDIAN</v>
      </c>
    </row>
    <row r="2016" spans="5:8" x14ac:dyDescent="0.25">
      <c r="E2016" t="str">
        <f>""</f>
        <v/>
      </c>
      <c r="F2016" t="str">
        <f>""</f>
        <v/>
      </c>
      <c r="G2016" s="3">
        <v>2.15</v>
      </c>
      <c r="H2016" t="str">
        <f t="shared" si="38"/>
        <v>GUARDIAN</v>
      </c>
    </row>
    <row r="2017" spans="5:8" x14ac:dyDescent="0.25">
      <c r="E2017" t="str">
        <f>""</f>
        <v/>
      </c>
      <c r="F2017" t="str">
        <f>""</f>
        <v/>
      </c>
      <c r="G2017" s="3">
        <v>6.45</v>
      </c>
      <c r="H2017" t="str">
        <f t="shared" si="38"/>
        <v>GUARDIAN</v>
      </c>
    </row>
    <row r="2018" spans="5:8" x14ac:dyDescent="0.25">
      <c r="E2018" t="str">
        <f>""</f>
        <v/>
      </c>
      <c r="F2018" t="str">
        <f>""</f>
        <v/>
      </c>
      <c r="G2018" s="3">
        <v>0.26</v>
      </c>
      <c r="H2018" t="str">
        <f t="shared" si="38"/>
        <v>GUARDIAN</v>
      </c>
    </row>
    <row r="2019" spans="5:8" x14ac:dyDescent="0.25">
      <c r="E2019" t="str">
        <f>""</f>
        <v/>
      </c>
      <c r="F2019" t="str">
        <f>""</f>
        <v/>
      </c>
      <c r="G2019" s="3">
        <v>6.45</v>
      </c>
      <c r="H2019" t="str">
        <f t="shared" si="38"/>
        <v>GUARDIAN</v>
      </c>
    </row>
    <row r="2020" spans="5:8" x14ac:dyDescent="0.25">
      <c r="E2020" t="str">
        <f>""</f>
        <v/>
      </c>
      <c r="F2020" t="str">
        <f>""</f>
        <v/>
      </c>
      <c r="G2020" s="3">
        <v>2.15</v>
      </c>
      <c r="H2020" t="str">
        <f t="shared" si="38"/>
        <v>GUARDIAN</v>
      </c>
    </row>
    <row r="2021" spans="5:8" x14ac:dyDescent="0.25">
      <c r="E2021" t="str">
        <f>""</f>
        <v/>
      </c>
      <c r="F2021" t="str">
        <f>""</f>
        <v/>
      </c>
      <c r="G2021" s="3">
        <v>6.45</v>
      </c>
      <c r="H2021" t="str">
        <f t="shared" si="38"/>
        <v>GUARDIAN</v>
      </c>
    </row>
    <row r="2022" spans="5:8" x14ac:dyDescent="0.25">
      <c r="E2022" t="str">
        <f>""</f>
        <v/>
      </c>
      <c r="F2022" t="str">
        <f>""</f>
        <v/>
      </c>
      <c r="G2022" s="3">
        <v>4.3</v>
      </c>
      <c r="H2022" t="str">
        <f t="shared" si="38"/>
        <v>GUARDIAN</v>
      </c>
    </row>
    <row r="2023" spans="5:8" x14ac:dyDescent="0.25">
      <c r="E2023" t="str">
        <f>""</f>
        <v/>
      </c>
      <c r="F2023" t="str">
        <f>""</f>
        <v/>
      </c>
      <c r="G2023" s="3">
        <v>2.4</v>
      </c>
      <c r="H2023" t="str">
        <f t="shared" si="38"/>
        <v>GUARDIAN</v>
      </c>
    </row>
    <row r="2024" spans="5:8" x14ac:dyDescent="0.25">
      <c r="E2024" t="str">
        <f>""</f>
        <v/>
      </c>
      <c r="F2024" t="str">
        <f>""</f>
        <v/>
      </c>
      <c r="G2024" s="3">
        <v>23.36</v>
      </c>
      <c r="H2024" t="str">
        <f t="shared" si="38"/>
        <v>GUARDIAN</v>
      </c>
    </row>
    <row r="2025" spans="5:8" x14ac:dyDescent="0.25">
      <c r="E2025" t="str">
        <f>""</f>
        <v/>
      </c>
      <c r="F2025" t="str">
        <f>""</f>
        <v/>
      </c>
      <c r="G2025" s="3">
        <v>29.71</v>
      </c>
      <c r="H2025" t="str">
        <f t="shared" si="38"/>
        <v>GUARDIAN</v>
      </c>
    </row>
    <row r="2026" spans="5:8" x14ac:dyDescent="0.25">
      <c r="E2026" t="str">
        <f>""</f>
        <v/>
      </c>
      <c r="F2026" t="str">
        <f>""</f>
        <v/>
      </c>
      <c r="G2026" s="3">
        <v>27.54</v>
      </c>
      <c r="H2026" t="str">
        <f t="shared" si="38"/>
        <v>GUARDIAN</v>
      </c>
    </row>
    <row r="2027" spans="5:8" x14ac:dyDescent="0.25">
      <c r="E2027" t="str">
        <f>""</f>
        <v/>
      </c>
      <c r="F2027" t="str">
        <f>""</f>
        <v/>
      </c>
      <c r="G2027" s="3">
        <v>26.34</v>
      </c>
      <c r="H2027" t="str">
        <f t="shared" si="38"/>
        <v>GUARDIAN</v>
      </c>
    </row>
    <row r="2028" spans="5:8" x14ac:dyDescent="0.25">
      <c r="E2028" t="str">
        <f>""</f>
        <v/>
      </c>
      <c r="F2028" t="str">
        <f>""</f>
        <v/>
      </c>
      <c r="G2028" s="3">
        <v>4.3</v>
      </c>
      <c r="H2028" t="str">
        <f t="shared" si="38"/>
        <v>GUARDIAN</v>
      </c>
    </row>
    <row r="2029" spans="5:8" x14ac:dyDescent="0.25">
      <c r="E2029" t="str">
        <f>""</f>
        <v/>
      </c>
      <c r="F2029" t="str">
        <f>""</f>
        <v/>
      </c>
      <c r="G2029" s="3">
        <v>1.89</v>
      </c>
      <c r="H2029" t="str">
        <f t="shared" si="38"/>
        <v>GUARDIAN</v>
      </c>
    </row>
    <row r="2030" spans="5:8" x14ac:dyDescent="0.25">
      <c r="E2030" t="str">
        <f>""</f>
        <v/>
      </c>
      <c r="F2030" t="str">
        <f>""</f>
        <v/>
      </c>
      <c r="G2030" s="3">
        <v>15.88</v>
      </c>
      <c r="H2030" t="str">
        <f t="shared" si="38"/>
        <v>GUARDIAN</v>
      </c>
    </row>
    <row r="2031" spans="5:8" x14ac:dyDescent="0.25">
      <c r="E2031" t="str">
        <f>""</f>
        <v/>
      </c>
      <c r="F2031" t="str">
        <f>""</f>
        <v/>
      </c>
      <c r="G2031" s="3">
        <v>0.77</v>
      </c>
      <c r="H2031" t="str">
        <f t="shared" si="38"/>
        <v>GUARDIAN</v>
      </c>
    </row>
    <row r="2032" spans="5:8" x14ac:dyDescent="0.25">
      <c r="E2032" t="str">
        <f>""</f>
        <v/>
      </c>
      <c r="F2032" t="str">
        <f>""</f>
        <v/>
      </c>
      <c r="G2032" s="3">
        <v>0.17</v>
      </c>
      <c r="H2032" t="str">
        <f t="shared" si="38"/>
        <v>GUARDIAN</v>
      </c>
    </row>
    <row r="2033" spans="5:8" x14ac:dyDescent="0.25">
      <c r="E2033" t="str">
        <f>""</f>
        <v/>
      </c>
      <c r="F2033" t="str">
        <f>""</f>
        <v/>
      </c>
      <c r="G2033" s="3">
        <v>0.3</v>
      </c>
      <c r="H2033" t="str">
        <f t="shared" si="38"/>
        <v>GUARDIAN</v>
      </c>
    </row>
    <row r="2034" spans="5:8" x14ac:dyDescent="0.25">
      <c r="E2034" t="str">
        <f>""</f>
        <v/>
      </c>
      <c r="F2034" t="str">
        <f>""</f>
        <v/>
      </c>
      <c r="G2034" s="3">
        <v>2.14</v>
      </c>
      <c r="H2034" t="str">
        <f t="shared" si="38"/>
        <v>GUARDIAN</v>
      </c>
    </row>
    <row r="2035" spans="5:8" x14ac:dyDescent="0.25">
      <c r="E2035" t="str">
        <f>""</f>
        <v/>
      </c>
      <c r="F2035" t="str">
        <f>""</f>
        <v/>
      </c>
      <c r="G2035" s="3">
        <v>2656.6</v>
      </c>
      <c r="H2035" t="str">
        <f t="shared" si="38"/>
        <v>GUARDIAN</v>
      </c>
    </row>
    <row r="2036" spans="5:8" x14ac:dyDescent="0.25">
      <c r="E2036" t="str">
        <f>"LIE202109015417"</f>
        <v>LIE202109015417</v>
      </c>
      <c r="F2036" t="str">
        <f>"GUARDIAN"</f>
        <v>GUARDIAN</v>
      </c>
      <c r="G2036" s="3">
        <v>30.1</v>
      </c>
      <c r="H2036" t="str">
        <f t="shared" si="38"/>
        <v>GUARDIAN</v>
      </c>
    </row>
    <row r="2037" spans="5:8" x14ac:dyDescent="0.25">
      <c r="E2037" t="str">
        <f>""</f>
        <v/>
      </c>
      <c r="F2037" t="str">
        <f>""</f>
        <v/>
      </c>
      <c r="G2037" s="3">
        <v>45</v>
      </c>
      <c r="H2037" t="str">
        <f t="shared" si="38"/>
        <v>GUARDIAN</v>
      </c>
    </row>
    <row r="2038" spans="5:8" x14ac:dyDescent="0.25">
      <c r="E2038" t="str">
        <f>"LIE202109155691"</f>
        <v>LIE202109155691</v>
      </c>
      <c r="F2038" t="str">
        <f>"GUARDIAN"</f>
        <v>GUARDIAN</v>
      </c>
      <c r="G2038" s="3">
        <v>4.3</v>
      </c>
      <c r="H2038" t="str">
        <f t="shared" si="38"/>
        <v>GUARDIAN</v>
      </c>
    </row>
    <row r="2039" spans="5:8" x14ac:dyDescent="0.25">
      <c r="E2039" t="str">
        <f>""</f>
        <v/>
      </c>
      <c r="F2039" t="str">
        <f>""</f>
        <v/>
      </c>
      <c r="G2039" s="3">
        <v>1.86</v>
      </c>
      <c r="H2039" t="str">
        <f t="shared" si="38"/>
        <v>GUARDIAN</v>
      </c>
    </row>
    <row r="2040" spans="5:8" x14ac:dyDescent="0.25">
      <c r="E2040" t="str">
        <f>""</f>
        <v/>
      </c>
      <c r="F2040" t="str">
        <f>""</f>
        <v/>
      </c>
      <c r="G2040" s="3">
        <v>16.93</v>
      </c>
      <c r="H2040" t="str">
        <f t="shared" si="38"/>
        <v>GUARDIAN</v>
      </c>
    </row>
    <row r="2041" spans="5:8" x14ac:dyDescent="0.25">
      <c r="E2041" t="str">
        <f>""</f>
        <v/>
      </c>
      <c r="F2041" t="str">
        <f>""</f>
        <v/>
      </c>
      <c r="G2041" s="3">
        <v>6.45</v>
      </c>
      <c r="H2041" t="str">
        <f t="shared" si="38"/>
        <v>GUARDIAN</v>
      </c>
    </row>
    <row r="2042" spans="5:8" x14ac:dyDescent="0.25">
      <c r="E2042" t="str">
        <f>""</f>
        <v/>
      </c>
      <c r="F2042" t="str">
        <f>""</f>
        <v/>
      </c>
      <c r="G2042" s="3">
        <v>4.3</v>
      </c>
      <c r="H2042" t="str">
        <f t="shared" si="38"/>
        <v>GUARDIAN</v>
      </c>
    </row>
    <row r="2043" spans="5:8" x14ac:dyDescent="0.25">
      <c r="E2043" t="str">
        <f>""</f>
        <v/>
      </c>
      <c r="F2043" t="str">
        <f>""</f>
        <v/>
      </c>
      <c r="G2043" s="3">
        <v>12.9</v>
      </c>
      <c r="H2043" t="str">
        <f t="shared" si="38"/>
        <v>GUARDIAN</v>
      </c>
    </row>
    <row r="2044" spans="5:8" x14ac:dyDescent="0.25">
      <c r="E2044" t="str">
        <f>""</f>
        <v/>
      </c>
      <c r="F2044" t="str">
        <f>""</f>
        <v/>
      </c>
      <c r="G2044" s="3">
        <v>40.85</v>
      </c>
      <c r="H2044" t="str">
        <f t="shared" si="38"/>
        <v>GUARDIAN</v>
      </c>
    </row>
    <row r="2045" spans="5:8" x14ac:dyDescent="0.25">
      <c r="E2045" t="str">
        <f>""</f>
        <v/>
      </c>
      <c r="F2045" t="str">
        <f>""</f>
        <v/>
      </c>
      <c r="G2045" s="3">
        <v>2.15</v>
      </c>
      <c r="H2045" t="str">
        <f t="shared" si="38"/>
        <v>GUARDIAN</v>
      </c>
    </row>
    <row r="2046" spans="5:8" x14ac:dyDescent="0.25">
      <c r="E2046" t="str">
        <f>""</f>
        <v/>
      </c>
      <c r="F2046" t="str">
        <f>""</f>
        <v/>
      </c>
      <c r="G2046" s="3">
        <v>6.15</v>
      </c>
      <c r="H2046" t="str">
        <f t="shared" si="38"/>
        <v>GUARDIAN</v>
      </c>
    </row>
    <row r="2047" spans="5:8" x14ac:dyDescent="0.25">
      <c r="E2047" t="str">
        <f>""</f>
        <v/>
      </c>
      <c r="F2047" t="str">
        <f>""</f>
        <v/>
      </c>
      <c r="G2047" s="3">
        <v>10.75</v>
      </c>
      <c r="H2047" t="str">
        <f t="shared" si="38"/>
        <v>GUARDIAN</v>
      </c>
    </row>
    <row r="2048" spans="5:8" x14ac:dyDescent="0.25">
      <c r="E2048" t="str">
        <f>""</f>
        <v/>
      </c>
      <c r="F2048" t="str">
        <f>""</f>
        <v/>
      </c>
      <c r="G2048" s="3">
        <v>23.65</v>
      </c>
      <c r="H2048" t="str">
        <f t="shared" si="38"/>
        <v>GUARDIAN</v>
      </c>
    </row>
    <row r="2049" spans="5:8" x14ac:dyDescent="0.25">
      <c r="E2049" t="str">
        <f>""</f>
        <v/>
      </c>
      <c r="F2049" t="str">
        <f>""</f>
        <v/>
      </c>
      <c r="G2049" s="3">
        <v>8.6</v>
      </c>
      <c r="H2049" t="str">
        <f t="shared" si="38"/>
        <v>GUARDIAN</v>
      </c>
    </row>
    <row r="2050" spans="5:8" x14ac:dyDescent="0.25">
      <c r="E2050" t="str">
        <f>""</f>
        <v/>
      </c>
      <c r="F2050" t="str">
        <f>""</f>
        <v/>
      </c>
      <c r="G2050" s="3">
        <v>6.45</v>
      </c>
      <c r="H2050" t="str">
        <f t="shared" si="38"/>
        <v>GUARDIAN</v>
      </c>
    </row>
    <row r="2051" spans="5:8" x14ac:dyDescent="0.25">
      <c r="E2051" t="str">
        <f>""</f>
        <v/>
      </c>
      <c r="F2051" t="str">
        <f>""</f>
        <v/>
      </c>
      <c r="G2051" s="3">
        <v>8.6</v>
      </c>
      <c r="H2051" t="str">
        <f t="shared" si="38"/>
        <v>GUARDIAN</v>
      </c>
    </row>
    <row r="2052" spans="5:8" x14ac:dyDescent="0.25">
      <c r="E2052" t="str">
        <f>""</f>
        <v/>
      </c>
      <c r="F2052" t="str">
        <f>""</f>
        <v/>
      </c>
      <c r="G2052" s="3">
        <v>6.45</v>
      </c>
      <c r="H2052" t="str">
        <f t="shared" si="38"/>
        <v>GUARDIAN</v>
      </c>
    </row>
    <row r="2053" spans="5:8" x14ac:dyDescent="0.25">
      <c r="E2053" t="str">
        <f>""</f>
        <v/>
      </c>
      <c r="F2053" t="str">
        <f>""</f>
        <v/>
      </c>
      <c r="G2053" s="3">
        <v>4.3</v>
      </c>
      <c r="H2053" t="str">
        <f t="shared" si="38"/>
        <v>GUARDIAN</v>
      </c>
    </row>
    <row r="2054" spans="5:8" x14ac:dyDescent="0.25">
      <c r="E2054" t="str">
        <f>""</f>
        <v/>
      </c>
      <c r="F2054" t="str">
        <f>""</f>
        <v/>
      </c>
      <c r="G2054" s="3">
        <v>31.31</v>
      </c>
      <c r="H2054" t="str">
        <f t="shared" si="38"/>
        <v>GUARDIAN</v>
      </c>
    </row>
    <row r="2055" spans="5:8" x14ac:dyDescent="0.25">
      <c r="E2055" t="str">
        <f>""</f>
        <v/>
      </c>
      <c r="F2055" t="str">
        <f>""</f>
        <v/>
      </c>
      <c r="G2055" s="3">
        <v>15.05</v>
      </c>
      <c r="H2055" t="str">
        <f t="shared" si="38"/>
        <v>GUARDIAN</v>
      </c>
    </row>
    <row r="2056" spans="5:8" x14ac:dyDescent="0.25">
      <c r="E2056" t="str">
        <f>""</f>
        <v/>
      </c>
      <c r="F2056" t="str">
        <f>""</f>
        <v/>
      </c>
      <c r="G2056" s="3">
        <v>8.6</v>
      </c>
      <c r="H2056" t="str">
        <f t="shared" si="38"/>
        <v>GUARDIAN</v>
      </c>
    </row>
    <row r="2057" spans="5:8" x14ac:dyDescent="0.25">
      <c r="E2057" t="str">
        <f>""</f>
        <v/>
      </c>
      <c r="F2057" t="str">
        <f>""</f>
        <v/>
      </c>
      <c r="G2057" s="3">
        <v>8.6</v>
      </c>
      <c r="H2057" t="str">
        <f t="shared" si="38"/>
        <v>GUARDIAN</v>
      </c>
    </row>
    <row r="2058" spans="5:8" x14ac:dyDescent="0.25">
      <c r="E2058" t="str">
        <f>""</f>
        <v/>
      </c>
      <c r="F2058" t="str">
        <f>""</f>
        <v/>
      </c>
      <c r="G2058" s="3">
        <v>27.95</v>
      </c>
      <c r="H2058" t="str">
        <f t="shared" ref="H2058:H2100" si="39">"GUARDIAN"</f>
        <v>GUARDIAN</v>
      </c>
    </row>
    <row r="2059" spans="5:8" x14ac:dyDescent="0.25">
      <c r="E2059" t="str">
        <f>""</f>
        <v/>
      </c>
      <c r="F2059" t="str">
        <f>""</f>
        <v/>
      </c>
      <c r="G2059" s="3">
        <v>12.9</v>
      </c>
      <c r="H2059" t="str">
        <f t="shared" si="39"/>
        <v>GUARDIAN</v>
      </c>
    </row>
    <row r="2060" spans="5:8" x14ac:dyDescent="0.25">
      <c r="E2060" t="str">
        <f>""</f>
        <v/>
      </c>
      <c r="F2060" t="str">
        <f>""</f>
        <v/>
      </c>
      <c r="G2060" s="3">
        <v>23.65</v>
      </c>
      <c r="H2060" t="str">
        <f t="shared" si="39"/>
        <v>GUARDIAN</v>
      </c>
    </row>
    <row r="2061" spans="5:8" x14ac:dyDescent="0.25">
      <c r="E2061" t="str">
        <f>""</f>
        <v/>
      </c>
      <c r="F2061" t="str">
        <f>""</f>
        <v/>
      </c>
      <c r="G2061" s="3">
        <v>27.95</v>
      </c>
      <c r="H2061" t="str">
        <f t="shared" si="39"/>
        <v>GUARDIAN</v>
      </c>
    </row>
    <row r="2062" spans="5:8" x14ac:dyDescent="0.25">
      <c r="E2062" t="str">
        <f>""</f>
        <v/>
      </c>
      <c r="F2062" t="str">
        <f>""</f>
        <v/>
      </c>
      <c r="G2062" s="3">
        <v>49.48</v>
      </c>
      <c r="H2062" t="str">
        <f t="shared" si="39"/>
        <v>GUARDIAN</v>
      </c>
    </row>
    <row r="2063" spans="5:8" x14ac:dyDescent="0.25">
      <c r="E2063" t="str">
        <f>""</f>
        <v/>
      </c>
      <c r="F2063" t="str">
        <f>""</f>
        <v/>
      </c>
      <c r="G2063" s="3">
        <v>2.15</v>
      </c>
      <c r="H2063" t="str">
        <f t="shared" si="39"/>
        <v>GUARDIAN</v>
      </c>
    </row>
    <row r="2064" spans="5:8" x14ac:dyDescent="0.25">
      <c r="E2064" t="str">
        <f>""</f>
        <v/>
      </c>
      <c r="F2064" t="str">
        <f>""</f>
        <v/>
      </c>
      <c r="G2064" s="3">
        <v>2.15</v>
      </c>
      <c r="H2064" t="str">
        <f t="shared" si="39"/>
        <v>GUARDIAN</v>
      </c>
    </row>
    <row r="2065" spans="5:8" x14ac:dyDescent="0.25">
      <c r="E2065" t="str">
        <f>""</f>
        <v/>
      </c>
      <c r="F2065" t="str">
        <f>""</f>
        <v/>
      </c>
      <c r="G2065" s="3">
        <v>2.15</v>
      </c>
      <c r="H2065" t="str">
        <f t="shared" si="39"/>
        <v>GUARDIAN</v>
      </c>
    </row>
    <row r="2066" spans="5:8" x14ac:dyDescent="0.25">
      <c r="E2066" t="str">
        <f>""</f>
        <v/>
      </c>
      <c r="F2066" t="str">
        <f>""</f>
        <v/>
      </c>
      <c r="G2066" s="3">
        <v>200.7</v>
      </c>
      <c r="H2066" t="str">
        <f t="shared" si="39"/>
        <v>GUARDIAN</v>
      </c>
    </row>
    <row r="2067" spans="5:8" x14ac:dyDescent="0.25">
      <c r="E2067" t="str">
        <f>""</f>
        <v/>
      </c>
      <c r="F2067" t="str">
        <f>""</f>
        <v/>
      </c>
      <c r="G2067" s="3">
        <v>8.4700000000000006</v>
      </c>
      <c r="H2067" t="str">
        <f t="shared" si="39"/>
        <v>GUARDIAN</v>
      </c>
    </row>
    <row r="2068" spans="5:8" x14ac:dyDescent="0.25">
      <c r="E2068" t="str">
        <f>""</f>
        <v/>
      </c>
      <c r="F2068" t="str">
        <f>""</f>
        <v/>
      </c>
      <c r="G2068" s="3">
        <v>184.29</v>
      </c>
      <c r="H2068" t="str">
        <f t="shared" si="39"/>
        <v>GUARDIAN</v>
      </c>
    </row>
    <row r="2069" spans="5:8" x14ac:dyDescent="0.25">
      <c r="E2069" t="str">
        <f>""</f>
        <v/>
      </c>
      <c r="F2069" t="str">
        <f>""</f>
        <v/>
      </c>
      <c r="G2069" s="3">
        <v>38.700000000000003</v>
      </c>
      <c r="H2069" t="str">
        <f t="shared" si="39"/>
        <v>GUARDIAN</v>
      </c>
    </row>
    <row r="2070" spans="5:8" x14ac:dyDescent="0.25">
      <c r="E2070" t="str">
        <f>""</f>
        <v/>
      </c>
      <c r="F2070" t="str">
        <f>""</f>
        <v/>
      </c>
      <c r="G2070" s="3">
        <v>2.15</v>
      </c>
      <c r="H2070" t="str">
        <f t="shared" si="39"/>
        <v>GUARDIAN</v>
      </c>
    </row>
    <row r="2071" spans="5:8" x14ac:dyDescent="0.25">
      <c r="E2071" t="str">
        <f>""</f>
        <v/>
      </c>
      <c r="F2071" t="str">
        <f>""</f>
        <v/>
      </c>
      <c r="G2071" s="3">
        <v>6.45</v>
      </c>
      <c r="H2071" t="str">
        <f t="shared" si="39"/>
        <v>GUARDIAN</v>
      </c>
    </row>
    <row r="2072" spans="5:8" x14ac:dyDescent="0.25">
      <c r="E2072" t="str">
        <f>""</f>
        <v/>
      </c>
      <c r="F2072" t="str">
        <f>""</f>
        <v/>
      </c>
      <c r="G2072" s="3">
        <v>0.26</v>
      </c>
      <c r="H2072" t="str">
        <f t="shared" si="39"/>
        <v>GUARDIAN</v>
      </c>
    </row>
    <row r="2073" spans="5:8" x14ac:dyDescent="0.25">
      <c r="E2073" t="str">
        <f>""</f>
        <v/>
      </c>
      <c r="F2073" t="str">
        <f>""</f>
        <v/>
      </c>
      <c r="G2073" s="3">
        <v>6.45</v>
      </c>
      <c r="H2073" t="str">
        <f t="shared" si="39"/>
        <v>GUARDIAN</v>
      </c>
    </row>
    <row r="2074" spans="5:8" x14ac:dyDescent="0.25">
      <c r="E2074" t="str">
        <f>""</f>
        <v/>
      </c>
      <c r="F2074" t="str">
        <f>""</f>
        <v/>
      </c>
      <c r="G2074" s="3">
        <v>2.15</v>
      </c>
      <c r="H2074" t="str">
        <f t="shared" si="39"/>
        <v>GUARDIAN</v>
      </c>
    </row>
    <row r="2075" spans="5:8" x14ac:dyDescent="0.25">
      <c r="E2075" t="str">
        <f>""</f>
        <v/>
      </c>
      <c r="F2075" t="str">
        <f>""</f>
        <v/>
      </c>
      <c r="G2075" s="3">
        <v>6.45</v>
      </c>
      <c r="H2075" t="str">
        <f t="shared" si="39"/>
        <v>GUARDIAN</v>
      </c>
    </row>
    <row r="2076" spans="5:8" x14ac:dyDescent="0.25">
      <c r="E2076" t="str">
        <f>""</f>
        <v/>
      </c>
      <c r="F2076" t="str">
        <f>""</f>
        <v/>
      </c>
      <c r="G2076" s="3">
        <v>4.3</v>
      </c>
      <c r="H2076" t="str">
        <f t="shared" si="39"/>
        <v>GUARDIAN</v>
      </c>
    </row>
    <row r="2077" spans="5:8" x14ac:dyDescent="0.25">
      <c r="E2077" t="str">
        <f>""</f>
        <v/>
      </c>
      <c r="F2077" t="str">
        <f>""</f>
        <v/>
      </c>
      <c r="G2077" s="3">
        <v>2.42</v>
      </c>
      <c r="H2077" t="str">
        <f t="shared" si="39"/>
        <v>GUARDIAN</v>
      </c>
    </row>
    <row r="2078" spans="5:8" x14ac:dyDescent="0.25">
      <c r="E2078" t="str">
        <f>""</f>
        <v/>
      </c>
      <c r="F2078" t="str">
        <f>""</f>
        <v/>
      </c>
      <c r="G2078" s="3">
        <v>22.02</v>
      </c>
      <c r="H2078" t="str">
        <f t="shared" si="39"/>
        <v>GUARDIAN</v>
      </c>
    </row>
    <row r="2079" spans="5:8" x14ac:dyDescent="0.25">
      <c r="E2079" t="str">
        <f>""</f>
        <v/>
      </c>
      <c r="F2079" t="str">
        <f>""</f>
        <v/>
      </c>
      <c r="G2079" s="3">
        <v>29.71</v>
      </c>
      <c r="H2079" t="str">
        <f t="shared" si="39"/>
        <v>GUARDIAN</v>
      </c>
    </row>
    <row r="2080" spans="5:8" x14ac:dyDescent="0.25">
      <c r="E2080" t="str">
        <f>""</f>
        <v/>
      </c>
      <c r="F2080" t="str">
        <f>""</f>
        <v/>
      </c>
      <c r="G2080" s="3">
        <v>27.54</v>
      </c>
      <c r="H2080" t="str">
        <f t="shared" si="39"/>
        <v>GUARDIAN</v>
      </c>
    </row>
    <row r="2081" spans="5:8" x14ac:dyDescent="0.25">
      <c r="E2081" t="str">
        <f>""</f>
        <v/>
      </c>
      <c r="F2081" t="str">
        <f>""</f>
        <v/>
      </c>
      <c r="G2081" s="3">
        <v>26.34</v>
      </c>
      <c r="H2081" t="str">
        <f t="shared" si="39"/>
        <v>GUARDIAN</v>
      </c>
    </row>
    <row r="2082" spans="5:8" x14ac:dyDescent="0.25">
      <c r="E2082" t="str">
        <f>""</f>
        <v/>
      </c>
      <c r="F2082" t="str">
        <f>""</f>
        <v/>
      </c>
      <c r="G2082" s="3">
        <v>4.3</v>
      </c>
      <c r="H2082" t="str">
        <f t="shared" si="39"/>
        <v>GUARDIAN</v>
      </c>
    </row>
    <row r="2083" spans="5:8" x14ac:dyDescent="0.25">
      <c r="E2083" t="str">
        <f>""</f>
        <v/>
      </c>
      <c r="F2083" t="str">
        <f>""</f>
        <v/>
      </c>
      <c r="G2083" s="3">
        <v>1.89</v>
      </c>
      <c r="H2083" t="str">
        <f t="shared" si="39"/>
        <v>GUARDIAN</v>
      </c>
    </row>
    <row r="2084" spans="5:8" x14ac:dyDescent="0.25">
      <c r="E2084" t="str">
        <f>""</f>
        <v/>
      </c>
      <c r="F2084" t="str">
        <f>""</f>
        <v/>
      </c>
      <c r="G2084" s="3">
        <v>0.77</v>
      </c>
      <c r="H2084" t="str">
        <f t="shared" si="39"/>
        <v>GUARDIAN</v>
      </c>
    </row>
    <row r="2085" spans="5:8" x14ac:dyDescent="0.25">
      <c r="E2085" t="str">
        <f>""</f>
        <v/>
      </c>
      <c r="F2085" t="str">
        <f>""</f>
        <v/>
      </c>
      <c r="G2085" s="3">
        <v>0.17</v>
      </c>
      <c r="H2085" t="str">
        <f t="shared" si="39"/>
        <v>GUARDIAN</v>
      </c>
    </row>
    <row r="2086" spans="5:8" x14ac:dyDescent="0.25">
      <c r="E2086" t="str">
        <f>""</f>
        <v/>
      </c>
      <c r="F2086" t="str">
        <f>""</f>
        <v/>
      </c>
      <c r="G2086" s="3">
        <v>0.3</v>
      </c>
      <c r="H2086" t="str">
        <f t="shared" si="39"/>
        <v>GUARDIAN</v>
      </c>
    </row>
    <row r="2087" spans="5:8" x14ac:dyDescent="0.25">
      <c r="E2087" t="str">
        <f>""</f>
        <v/>
      </c>
      <c r="F2087" t="str">
        <f>""</f>
        <v/>
      </c>
      <c r="G2087" s="3">
        <v>2.14</v>
      </c>
      <c r="H2087" t="str">
        <f t="shared" si="39"/>
        <v>GUARDIAN</v>
      </c>
    </row>
    <row r="2088" spans="5:8" x14ac:dyDescent="0.25">
      <c r="E2088" t="str">
        <f>""</f>
        <v/>
      </c>
      <c r="F2088" t="str">
        <f>""</f>
        <v/>
      </c>
      <c r="G2088" s="3">
        <v>2628.6</v>
      </c>
      <c r="H2088" t="str">
        <f t="shared" si="39"/>
        <v>GUARDIAN</v>
      </c>
    </row>
    <row r="2089" spans="5:8" x14ac:dyDescent="0.25">
      <c r="E2089" t="str">
        <f>"LIE202109155692"</f>
        <v>LIE202109155692</v>
      </c>
      <c r="F2089" t="str">
        <f>"GUARDIAN"</f>
        <v>GUARDIAN</v>
      </c>
      <c r="G2089" s="3">
        <v>30.1</v>
      </c>
      <c r="H2089" t="str">
        <f t="shared" si="39"/>
        <v>GUARDIAN</v>
      </c>
    </row>
    <row r="2090" spans="5:8" x14ac:dyDescent="0.25">
      <c r="E2090" t="str">
        <f>""</f>
        <v/>
      </c>
      <c r="F2090" t="str">
        <f>""</f>
        <v/>
      </c>
      <c r="G2090" s="3">
        <v>45</v>
      </c>
      <c r="H2090" t="str">
        <f t="shared" si="39"/>
        <v>GUARDIAN</v>
      </c>
    </row>
    <row r="2091" spans="5:8" x14ac:dyDescent="0.25">
      <c r="E2091" t="str">
        <f>"LIS202109015416"</f>
        <v>LIS202109015416</v>
      </c>
      <c r="F2091" t="str">
        <f t="shared" ref="F2091:F2100" si="40">"GUARDIAN"</f>
        <v>GUARDIAN</v>
      </c>
      <c r="G2091" s="3">
        <v>489.7</v>
      </c>
      <c r="H2091" t="str">
        <f t="shared" si="39"/>
        <v>GUARDIAN</v>
      </c>
    </row>
    <row r="2092" spans="5:8" x14ac:dyDescent="0.25">
      <c r="E2092" t="str">
        <f>"LIS202109015417"</f>
        <v>LIS202109015417</v>
      </c>
      <c r="F2092" t="str">
        <f t="shared" si="40"/>
        <v>GUARDIAN</v>
      </c>
      <c r="G2092" s="3">
        <v>36.15</v>
      </c>
      <c r="H2092" t="str">
        <f t="shared" si="39"/>
        <v>GUARDIAN</v>
      </c>
    </row>
    <row r="2093" spans="5:8" x14ac:dyDescent="0.25">
      <c r="E2093" t="str">
        <f>"LIS202109155691"</f>
        <v>LIS202109155691</v>
      </c>
      <c r="F2093" t="str">
        <f t="shared" si="40"/>
        <v>GUARDIAN</v>
      </c>
      <c r="G2093" s="3">
        <v>489.7</v>
      </c>
      <c r="H2093" t="str">
        <f t="shared" si="39"/>
        <v>GUARDIAN</v>
      </c>
    </row>
    <row r="2094" spans="5:8" x14ac:dyDescent="0.25">
      <c r="E2094" t="str">
        <f>"LIS202109155692"</f>
        <v>LIS202109155692</v>
      </c>
      <c r="F2094" t="str">
        <f t="shared" si="40"/>
        <v>GUARDIAN</v>
      </c>
      <c r="G2094" s="3">
        <v>36.15</v>
      </c>
      <c r="H2094" t="str">
        <f t="shared" si="39"/>
        <v>GUARDIAN</v>
      </c>
    </row>
    <row r="2095" spans="5:8" x14ac:dyDescent="0.25">
      <c r="E2095" t="str">
        <f>"LTD202109015416"</f>
        <v>LTD202109015416</v>
      </c>
      <c r="F2095" t="str">
        <f t="shared" si="40"/>
        <v>GUARDIAN</v>
      </c>
      <c r="G2095" s="3">
        <v>947.16</v>
      </c>
      <c r="H2095" t="str">
        <f t="shared" si="39"/>
        <v>GUARDIAN</v>
      </c>
    </row>
    <row r="2096" spans="5:8" x14ac:dyDescent="0.25">
      <c r="E2096" t="str">
        <f>"LTD202109155691"</f>
        <v>LTD202109155691</v>
      </c>
      <c r="F2096" t="str">
        <f t="shared" si="40"/>
        <v>GUARDIAN</v>
      </c>
      <c r="G2096" s="3">
        <v>947.16</v>
      </c>
      <c r="H2096" t="str">
        <f t="shared" si="39"/>
        <v>GUARDIAN</v>
      </c>
    </row>
    <row r="2097" spans="1:8" x14ac:dyDescent="0.25">
      <c r="A2097" t="s">
        <v>408</v>
      </c>
      <c r="B2097">
        <v>1340</v>
      </c>
      <c r="C2097" s="3">
        <v>97.24</v>
      </c>
      <c r="D2097" s="4">
        <v>44466</v>
      </c>
      <c r="E2097" t="str">
        <f>"AEG202109015416"</f>
        <v>AEG202109015416</v>
      </c>
      <c r="F2097" t="str">
        <f t="shared" si="40"/>
        <v>GUARDIAN</v>
      </c>
      <c r="G2097" s="3">
        <v>12.48</v>
      </c>
      <c r="H2097" t="str">
        <f t="shared" si="39"/>
        <v>GUARDIAN</v>
      </c>
    </row>
    <row r="2098" spans="1:8" x14ac:dyDescent="0.25">
      <c r="E2098" t="str">
        <f>"AEG202109155691"</f>
        <v>AEG202109155691</v>
      </c>
      <c r="F2098" t="str">
        <f t="shared" si="40"/>
        <v>GUARDIAN</v>
      </c>
      <c r="G2098" s="3">
        <v>12.48</v>
      </c>
      <c r="H2098" t="str">
        <f t="shared" si="39"/>
        <v>GUARDIAN</v>
      </c>
    </row>
    <row r="2099" spans="1:8" x14ac:dyDescent="0.25">
      <c r="E2099" t="str">
        <f>"AFG202109015416"</f>
        <v>AFG202109015416</v>
      </c>
      <c r="F2099" t="str">
        <f t="shared" si="40"/>
        <v>GUARDIAN</v>
      </c>
      <c r="G2099" s="3">
        <v>36.14</v>
      </c>
      <c r="H2099" t="str">
        <f t="shared" si="39"/>
        <v>GUARDIAN</v>
      </c>
    </row>
    <row r="2100" spans="1:8" x14ac:dyDescent="0.25">
      <c r="E2100" t="str">
        <f>"AFG202109155691"</f>
        <v>AFG202109155691</v>
      </c>
      <c r="F2100" t="str">
        <f t="shared" si="40"/>
        <v>GUARDIAN</v>
      </c>
      <c r="G2100" s="3">
        <v>36.14</v>
      </c>
      <c r="H2100" t="str">
        <f t="shared" si="39"/>
        <v>GUARDIAN</v>
      </c>
    </row>
    <row r="2101" spans="1:8" x14ac:dyDescent="0.25">
      <c r="A2101" t="s">
        <v>409</v>
      </c>
      <c r="B2101">
        <v>1280</v>
      </c>
      <c r="C2101" s="3">
        <v>374</v>
      </c>
      <c r="D2101" s="4">
        <v>44442</v>
      </c>
      <c r="E2101" t="str">
        <f>"C92202109015416"</f>
        <v>C92202109015416</v>
      </c>
      <c r="F2101" t="str">
        <f>"0007959844"</f>
        <v>0007959844</v>
      </c>
      <c r="G2101" s="3">
        <v>374</v>
      </c>
      <c r="H2101" t="str">
        <f>"0007959844"</f>
        <v>0007959844</v>
      </c>
    </row>
    <row r="2102" spans="1:8" x14ac:dyDescent="0.25">
      <c r="A2102" t="s">
        <v>409</v>
      </c>
      <c r="B2102">
        <v>1325</v>
      </c>
      <c r="C2102" s="3">
        <v>374</v>
      </c>
      <c r="D2102" s="4">
        <v>44456</v>
      </c>
      <c r="E2102" t="str">
        <f>"C92202109155691"</f>
        <v>C92202109155691</v>
      </c>
      <c r="F2102" t="str">
        <f>"0007959844"</f>
        <v>0007959844</v>
      </c>
      <c r="G2102" s="3">
        <v>374</v>
      </c>
      <c r="H2102" t="str">
        <f>"0007959844"</f>
        <v>0007959844</v>
      </c>
    </row>
    <row r="2103" spans="1:8" x14ac:dyDescent="0.25">
      <c r="A2103" t="s">
        <v>410</v>
      </c>
      <c r="B2103">
        <v>1281</v>
      </c>
      <c r="C2103" s="3">
        <v>249916.36</v>
      </c>
      <c r="D2103" s="4">
        <v>44442</v>
      </c>
      <c r="E2103" t="str">
        <f>"T1 202109015416"</f>
        <v>T1 202109015416</v>
      </c>
      <c r="F2103" t="str">
        <f>"FEDERAL WITHHOLDING"</f>
        <v>FEDERAL WITHHOLDING</v>
      </c>
      <c r="G2103" s="3">
        <v>83313.850000000006</v>
      </c>
      <c r="H2103" t="str">
        <f>"FEDERAL WITHHOLDING"</f>
        <v>FEDERAL WITHHOLDING</v>
      </c>
    </row>
    <row r="2104" spans="1:8" x14ac:dyDescent="0.25">
      <c r="E2104" t="str">
        <f>"T1 202109015417"</f>
        <v>T1 202109015417</v>
      </c>
      <c r="F2104" t="str">
        <f>"FEDERAL WITHHOLDING"</f>
        <v>FEDERAL WITHHOLDING</v>
      </c>
      <c r="G2104" s="3">
        <v>2753.41</v>
      </c>
      <c r="H2104" t="str">
        <f>"FEDERAL WITHHOLDING"</f>
        <v>FEDERAL WITHHOLDING</v>
      </c>
    </row>
    <row r="2105" spans="1:8" x14ac:dyDescent="0.25">
      <c r="E2105" t="str">
        <f>"T1 202109015418"</f>
        <v>T1 202109015418</v>
      </c>
      <c r="F2105" t="str">
        <f>"FEDERAL WITHHOLDING"</f>
        <v>FEDERAL WITHHOLDING</v>
      </c>
      <c r="G2105" s="3">
        <v>3034.86</v>
      </c>
      <c r="H2105" t="str">
        <f>"FEDERAL WITHHOLDING"</f>
        <v>FEDERAL WITHHOLDING</v>
      </c>
    </row>
    <row r="2106" spans="1:8" x14ac:dyDescent="0.25">
      <c r="E2106" t="str">
        <f>"T3 202109015416"</f>
        <v>T3 202109015416</v>
      </c>
      <c r="F2106" t="str">
        <f>"SOCIAL SECURITY TAXES"</f>
        <v>SOCIAL SECURITY TAXES</v>
      </c>
      <c r="G2106" s="3">
        <v>518.42999999999995</v>
      </c>
      <c r="H2106" t="str">
        <f t="shared" ref="H2106:H2163" si="41">"SOCIAL SECURITY TAXES"</f>
        <v>SOCIAL SECURITY TAXES</v>
      </c>
    </row>
    <row r="2107" spans="1:8" x14ac:dyDescent="0.25">
      <c r="E2107" t="str">
        <f>""</f>
        <v/>
      </c>
      <c r="F2107" t="str">
        <f>""</f>
        <v/>
      </c>
      <c r="G2107" s="3">
        <v>374.27</v>
      </c>
      <c r="H2107" t="str">
        <f t="shared" si="41"/>
        <v>SOCIAL SECURITY TAXES</v>
      </c>
    </row>
    <row r="2108" spans="1:8" x14ac:dyDescent="0.25">
      <c r="E2108" t="str">
        <f>""</f>
        <v/>
      </c>
      <c r="F2108" t="str">
        <f>""</f>
        <v/>
      </c>
      <c r="G2108" s="3">
        <v>956.19</v>
      </c>
      <c r="H2108" t="str">
        <f t="shared" si="41"/>
        <v>SOCIAL SECURITY TAXES</v>
      </c>
    </row>
    <row r="2109" spans="1:8" x14ac:dyDescent="0.25">
      <c r="E2109" t="str">
        <f>""</f>
        <v/>
      </c>
      <c r="F2109" t="str">
        <f>""</f>
        <v/>
      </c>
      <c r="G2109" s="3">
        <v>403.11</v>
      </c>
      <c r="H2109" t="str">
        <f t="shared" si="41"/>
        <v>SOCIAL SECURITY TAXES</v>
      </c>
    </row>
    <row r="2110" spans="1:8" x14ac:dyDescent="0.25">
      <c r="E2110" t="str">
        <f>""</f>
        <v/>
      </c>
      <c r="F2110" t="str">
        <f>""</f>
        <v/>
      </c>
      <c r="G2110" s="3">
        <v>179.04</v>
      </c>
      <c r="H2110" t="str">
        <f t="shared" si="41"/>
        <v>SOCIAL SECURITY TAXES</v>
      </c>
    </row>
    <row r="2111" spans="1:8" x14ac:dyDescent="0.25">
      <c r="E2111" t="str">
        <f>""</f>
        <v/>
      </c>
      <c r="F2111" t="str">
        <f>""</f>
        <v/>
      </c>
      <c r="G2111" s="3">
        <v>790.57</v>
      </c>
      <c r="H2111" t="str">
        <f t="shared" si="41"/>
        <v>SOCIAL SECURITY TAXES</v>
      </c>
    </row>
    <row r="2112" spans="1:8" x14ac:dyDescent="0.25">
      <c r="E2112" t="str">
        <f>""</f>
        <v/>
      </c>
      <c r="F2112" t="str">
        <f>""</f>
        <v/>
      </c>
      <c r="G2112" s="3">
        <v>2621.33</v>
      </c>
      <c r="H2112" t="str">
        <f t="shared" si="41"/>
        <v>SOCIAL SECURITY TAXES</v>
      </c>
    </row>
    <row r="2113" spans="5:8" x14ac:dyDescent="0.25">
      <c r="E2113" t="str">
        <f>""</f>
        <v/>
      </c>
      <c r="F2113" t="str">
        <f>""</f>
        <v/>
      </c>
      <c r="G2113" s="3">
        <v>96.05</v>
      </c>
      <c r="H2113" t="str">
        <f t="shared" si="41"/>
        <v>SOCIAL SECURITY TAXES</v>
      </c>
    </row>
    <row r="2114" spans="5:8" x14ac:dyDescent="0.25">
      <c r="E2114" t="str">
        <f>""</f>
        <v/>
      </c>
      <c r="F2114" t="str">
        <f>""</f>
        <v/>
      </c>
      <c r="G2114" s="3">
        <v>845.94</v>
      </c>
      <c r="H2114" t="str">
        <f t="shared" si="41"/>
        <v>SOCIAL SECURITY TAXES</v>
      </c>
    </row>
    <row r="2115" spans="5:8" x14ac:dyDescent="0.25">
      <c r="E2115" t="str">
        <f>""</f>
        <v/>
      </c>
      <c r="F2115" t="str">
        <f>""</f>
        <v/>
      </c>
      <c r="G2115" s="3">
        <v>833.88</v>
      </c>
      <c r="H2115" t="str">
        <f t="shared" si="41"/>
        <v>SOCIAL SECURITY TAXES</v>
      </c>
    </row>
    <row r="2116" spans="5:8" x14ac:dyDescent="0.25">
      <c r="E2116" t="str">
        <f>""</f>
        <v/>
      </c>
      <c r="F2116" t="str">
        <f>""</f>
        <v/>
      </c>
      <c r="G2116" s="3">
        <v>1448.72</v>
      </c>
      <c r="H2116" t="str">
        <f t="shared" si="41"/>
        <v>SOCIAL SECURITY TAXES</v>
      </c>
    </row>
    <row r="2117" spans="5:8" x14ac:dyDescent="0.25">
      <c r="E2117" t="str">
        <f>""</f>
        <v/>
      </c>
      <c r="F2117" t="str">
        <f>""</f>
        <v/>
      </c>
      <c r="G2117" s="3">
        <v>443.45</v>
      </c>
      <c r="H2117" t="str">
        <f t="shared" si="41"/>
        <v>SOCIAL SECURITY TAXES</v>
      </c>
    </row>
    <row r="2118" spans="5:8" x14ac:dyDescent="0.25">
      <c r="E2118" t="str">
        <f>""</f>
        <v/>
      </c>
      <c r="F2118" t="str">
        <f>""</f>
        <v/>
      </c>
      <c r="G2118" s="3">
        <v>358.32</v>
      </c>
      <c r="H2118" t="str">
        <f t="shared" si="41"/>
        <v>SOCIAL SECURITY TAXES</v>
      </c>
    </row>
    <row r="2119" spans="5:8" x14ac:dyDescent="0.25">
      <c r="E2119" t="str">
        <f>""</f>
        <v/>
      </c>
      <c r="F2119" t="str">
        <f>""</f>
        <v/>
      </c>
      <c r="G2119" s="3">
        <v>369.94</v>
      </c>
      <c r="H2119" t="str">
        <f t="shared" si="41"/>
        <v>SOCIAL SECURITY TAXES</v>
      </c>
    </row>
    <row r="2120" spans="5:8" x14ac:dyDescent="0.25">
      <c r="E2120" t="str">
        <f>""</f>
        <v/>
      </c>
      <c r="F2120" t="str">
        <f>""</f>
        <v/>
      </c>
      <c r="G2120" s="3">
        <v>398.11</v>
      </c>
      <c r="H2120" t="str">
        <f t="shared" si="41"/>
        <v>SOCIAL SECURITY TAXES</v>
      </c>
    </row>
    <row r="2121" spans="5:8" x14ac:dyDescent="0.25">
      <c r="E2121" t="str">
        <f>""</f>
        <v/>
      </c>
      <c r="F2121" t="str">
        <f>""</f>
        <v/>
      </c>
      <c r="G2121" s="3">
        <v>218.87</v>
      </c>
      <c r="H2121" t="str">
        <f t="shared" si="41"/>
        <v>SOCIAL SECURITY TAXES</v>
      </c>
    </row>
    <row r="2122" spans="5:8" x14ac:dyDescent="0.25">
      <c r="E2122" t="str">
        <f>""</f>
        <v/>
      </c>
      <c r="F2122" t="str">
        <f>""</f>
        <v/>
      </c>
      <c r="G2122" s="3">
        <v>2598.09</v>
      </c>
      <c r="H2122" t="str">
        <f t="shared" si="41"/>
        <v>SOCIAL SECURITY TAXES</v>
      </c>
    </row>
    <row r="2123" spans="5:8" x14ac:dyDescent="0.25">
      <c r="E2123" t="str">
        <f>""</f>
        <v/>
      </c>
      <c r="F2123" t="str">
        <f>""</f>
        <v/>
      </c>
      <c r="G2123" s="3">
        <v>1002.61</v>
      </c>
      <c r="H2123" t="str">
        <f t="shared" si="41"/>
        <v>SOCIAL SECURITY TAXES</v>
      </c>
    </row>
    <row r="2124" spans="5:8" x14ac:dyDescent="0.25">
      <c r="E2124" t="str">
        <f>""</f>
        <v/>
      </c>
      <c r="F2124" t="str">
        <f>""</f>
        <v/>
      </c>
      <c r="G2124" s="3">
        <v>486.5</v>
      </c>
      <c r="H2124" t="str">
        <f t="shared" si="41"/>
        <v>SOCIAL SECURITY TAXES</v>
      </c>
    </row>
    <row r="2125" spans="5:8" x14ac:dyDescent="0.25">
      <c r="E2125" t="str">
        <f>""</f>
        <v/>
      </c>
      <c r="F2125" t="str">
        <f>""</f>
        <v/>
      </c>
      <c r="G2125" s="3">
        <v>480.86</v>
      </c>
      <c r="H2125" t="str">
        <f t="shared" si="41"/>
        <v>SOCIAL SECURITY TAXES</v>
      </c>
    </row>
    <row r="2126" spans="5:8" x14ac:dyDescent="0.25">
      <c r="E2126" t="str">
        <f>""</f>
        <v/>
      </c>
      <c r="F2126" t="str">
        <f>""</f>
        <v/>
      </c>
      <c r="G2126" s="3">
        <v>1299.19</v>
      </c>
      <c r="H2126" t="str">
        <f t="shared" si="41"/>
        <v>SOCIAL SECURITY TAXES</v>
      </c>
    </row>
    <row r="2127" spans="5:8" x14ac:dyDescent="0.25">
      <c r="E2127" t="str">
        <f>""</f>
        <v/>
      </c>
      <c r="F2127" t="str">
        <f>""</f>
        <v/>
      </c>
      <c r="G2127" s="3">
        <v>704.55</v>
      </c>
      <c r="H2127" t="str">
        <f t="shared" si="41"/>
        <v>SOCIAL SECURITY TAXES</v>
      </c>
    </row>
    <row r="2128" spans="5:8" x14ac:dyDescent="0.25">
      <c r="E2128" t="str">
        <f>""</f>
        <v/>
      </c>
      <c r="F2128" t="str">
        <f>""</f>
        <v/>
      </c>
      <c r="G2128" s="3">
        <v>1731.8</v>
      </c>
      <c r="H2128" t="str">
        <f t="shared" si="41"/>
        <v>SOCIAL SECURITY TAXES</v>
      </c>
    </row>
    <row r="2129" spans="5:8" x14ac:dyDescent="0.25">
      <c r="E2129" t="str">
        <f>""</f>
        <v/>
      </c>
      <c r="F2129" t="str">
        <f>""</f>
        <v/>
      </c>
      <c r="G2129" s="3">
        <v>1186.57</v>
      </c>
      <c r="H2129" t="str">
        <f t="shared" si="41"/>
        <v>SOCIAL SECURITY TAXES</v>
      </c>
    </row>
    <row r="2130" spans="5:8" x14ac:dyDescent="0.25">
      <c r="E2130" t="str">
        <f>""</f>
        <v/>
      </c>
      <c r="F2130" t="str">
        <f>""</f>
        <v/>
      </c>
      <c r="G2130" s="3">
        <v>2581.25</v>
      </c>
      <c r="H2130" t="str">
        <f t="shared" si="41"/>
        <v>SOCIAL SECURITY TAXES</v>
      </c>
    </row>
    <row r="2131" spans="5:8" x14ac:dyDescent="0.25">
      <c r="E2131" t="str">
        <f>""</f>
        <v/>
      </c>
      <c r="F2131" t="str">
        <f>""</f>
        <v/>
      </c>
      <c r="G2131" s="3">
        <v>121.76</v>
      </c>
      <c r="H2131" t="str">
        <f t="shared" si="41"/>
        <v>SOCIAL SECURITY TAXES</v>
      </c>
    </row>
    <row r="2132" spans="5:8" x14ac:dyDescent="0.25">
      <c r="E2132" t="str">
        <f>""</f>
        <v/>
      </c>
      <c r="F2132" t="str">
        <f>""</f>
        <v/>
      </c>
      <c r="G2132" s="3">
        <v>133.51</v>
      </c>
      <c r="H2132" t="str">
        <f t="shared" si="41"/>
        <v>SOCIAL SECURITY TAXES</v>
      </c>
    </row>
    <row r="2133" spans="5:8" x14ac:dyDescent="0.25">
      <c r="E2133" t="str">
        <f>""</f>
        <v/>
      </c>
      <c r="F2133" t="str">
        <f>""</f>
        <v/>
      </c>
      <c r="G2133" s="3">
        <v>126.55</v>
      </c>
      <c r="H2133" t="str">
        <f t="shared" si="41"/>
        <v>SOCIAL SECURITY TAXES</v>
      </c>
    </row>
    <row r="2134" spans="5:8" x14ac:dyDescent="0.25">
      <c r="E2134" t="str">
        <f>""</f>
        <v/>
      </c>
      <c r="F2134" t="str">
        <f>""</f>
        <v/>
      </c>
      <c r="G2134" s="3">
        <v>123.37</v>
      </c>
      <c r="H2134" t="str">
        <f t="shared" si="41"/>
        <v>SOCIAL SECURITY TAXES</v>
      </c>
    </row>
    <row r="2135" spans="5:8" x14ac:dyDescent="0.25">
      <c r="E2135" t="str">
        <f>""</f>
        <v/>
      </c>
      <c r="F2135" t="str">
        <f>""</f>
        <v/>
      </c>
      <c r="G2135" s="3">
        <v>13835.3</v>
      </c>
      <c r="H2135" t="str">
        <f t="shared" si="41"/>
        <v>SOCIAL SECURITY TAXES</v>
      </c>
    </row>
    <row r="2136" spans="5:8" x14ac:dyDescent="0.25">
      <c r="E2136" t="str">
        <f>""</f>
        <v/>
      </c>
      <c r="F2136" t="str">
        <f>""</f>
        <v/>
      </c>
      <c r="G2136" s="3">
        <v>596.17999999999995</v>
      </c>
      <c r="H2136" t="str">
        <f t="shared" si="41"/>
        <v>SOCIAL SECURITY TAXES</v>
      </c>
    </row>
    <row r="2137" spans="5:8" x14ac:dyDescent="0.25">
      <c r="E2137" t="str">
        <f>""</f>
        <v/>
      </c>
      <c r="F2137" t="str">
        <f>""</f>
        <v/>
      </c>
      <c r="G2137" s="3">
        <v>10516.34</v>
      </c>
      <c r="H2137" t="str">
        <f t="shared" si="41"/>
        <v>SOCIAL SECURITY TAXES</v>
      </c>
    </row>
    <row r="2138" spans="5:8" x14ac:dyDescent="0.25">
      <c r="E2138" t="str">
        <f>""</f>
        <v/>
      </c>
      <c r="F2138" t="str">
        <f>""</f>
        <v/>
      </c>
      <c r="G2138" s="3">
        <v>1585.49</v>
      </c>
      <c r="H2138" t="str">
        <f t="shared" si="41"/>
        <v>SOCIAL SECURITY TAXES</v>
      </c>
    </row>
    <row r="2139" spans="5:8" x14ac:dyDescent="0.25">
      <c r="E2139" t="str">
        <f>""</f>
        <v/>
      </c>
      <c r="F2139" t="str">
        <f>""</f>
        <v/>
      </c>
      <c r="G2139" s="3">
        <v>119.01</v>
      </c>
      <c r="H2139" t="str">
        <f t="shared" si="41"/>
        <v>SOCIAL SECURITY TAXES</v>
      </c>
    </row>
    <row r="2140" spans="5:8" x14ac:dyDescent="0.25">
      <c r="E2140" t="str">
        <f>""</f>
        <v/>
      </c>
      <c r="F2140" t="str">
        <f>""</f>
        <v/>
      </c>
      <c r="G2140" s="3">
        <v>335.62</v>
      </c>
      <c r="H2140" t="str">
        <f t="shared" si="41"/>
        <v>SOCIAL SECURITY TAXES</v>
      </c>
    </row>
    <row r="2141" spans="5:8" x14ac:dyDescent="0.25">
      <c r="E2141" t="str">
        <f>""</f>
        <v/>
      </c>
      <c r="F2141" t="str">
        <f>""</f>
        <v/>
      </c>
      <c r="G2141" s="3">
        <v>33.409999999999997</v>
      </c>
      <c r="H2141" t="str">
        <f t="shared" si="41"/>
        <v>SOCIAL SECURITY TAXES</v>
      </c>
    </row>
    <row r="2142" spans="5:8" x14ac:dyDescent="0.25">
      <c r="E2142" t="str">
        <f>""</f>
        <v/>
      </c>
      <c r="F2142" t="str">
        <f>""</f>
        <v/>
      </c>
      <c r="G2142" s="3">
        <v>305.39</v>
      </c>
      <c r="H2142" t="str">
        <f t="shared" si="41"/>
        <v>SOCIAL SECURITY TAXES</v>
      </c>
    </row>
    <row r="2143" spans="5:8" x14ac:dyDescent="0.25">
      <c r="E2143" t="str">
        <f>""</f>
        <v/>
      </c>
      <c r="F2143" t="str">
        <f>""</f>
        <v/>
      </c>
      <c r="G2143" s="3">
        <v>115.36</v>
      </c>
      <c r="H2143" t="str">
        <f t="shared" si="41"/>
        <v>SOCIAL SECURITY TAXES</v>
      </c>
    </row>
    <row r="2144" spans="5:8" x14ac:dyDescent="0.25">
      <c r="E2144" t="str">
        <f>""</f>
        <v/>
      </c>
      <c r="F2144" t="str">
        <f>""</f>
        <v/>
      </c>
      <c r="G2144" s="3">
        <v>348.74</v>
      </c>
      <c r="H2144" t="str">
        <f t="shared" si="41"/>
        <v>SOCIAL SECURITY TAXES</v>
      </c>
    </row>
    <row r="2145" spans="5:8" x14ac:dyDescent="0.25">
      <c r="E2145" t="str">
        <f>""</f>
        <v/>
      </c>
      <c r="F2145" t="str">
        <f>""</f>
        <v/>
      </c>
      <c r="G2145" s="3">
        <v>336.6</v>
      </c>
      <c r="H2145" t="str">
        <f t="shared" si="41"/>
        <v>SOCIAL SECURITY TAXES</v>
      </c>
    </row>
    <row r="2146" spans="5:8" x14ac:dyDescent="0.25">
      <c r="E2146" t="str">
        <f>""</f>
        <v/>
      </c>
      <c r="F2146" t="str">
        <f>""</f>
        <v/>
      </c>
      <c r="G2146" s="3">
        <v>109.1</v>
      </c>
      <c r="H2146" t="str">
        <f t="shared" si="41"/>
        <v>SOCIAL SECURITY TAXES</v>
      </c>
    </row>
    <row r="2147" spans="5:8" x14ac:dyDescent="0.25">
      <c r="E2147" t="str">
        <f>""</f>
        <v/>
      </c>
      <c r="F2147" t="str">
        <f>""</f>
        <v/>
      </c>
      <c r="G2147" s="3">
        <v>1576.97</v>
      </c>
      <c r="H2147" t="str">
        <f t="shared" si="41"/>
        <v>SOCIAL SECURITY TAXES</v>
      </c>
    </row>
    <row r="2148" spans="5:8" x14ac:dyDescent="0.25">
      <c r="E2148" t="str">
        <f>""</f>
        <v/>
      </c>
      <c r="F2148" t="str">
        <f>""</f>
        <v/>
      </c>
      <c r="G2148" s="3">
        <v>1721.03</v>
      </c>
      <c r="H2148" t="str">
        <f t="shared" si="41"/>
        <v>SOCIAL SECURITY TAXES</v>
      </c>
    </row>
    <row r="2149" spans="5:8" x14ac:dyDescent="0.25">
      <c r="E2149" t="str">
        <f>""</f>
        <v/>
      </c>
      <c r="F2149" t="str">
        <f>""</f>
        <v/>
      </c>
      <c r="G2149" s="3">
        <v>1732.57</v>
      </c>
      <c r="H2149" t="str">
        <f t="shared" si="41"/>
        <v>SOCIAL SECURITY TAXES</v>
      </c>
    </row>
    <row r="2150" spans="5:8" x14ac:dyDescent="0.25">
      <c r="E2150" t="str">
        <f>""</f>
        <v/>
      </c>
      <c r="F2150" t="str">
        <f>""</f>
        <v/>
      </c>
      <c r="G2150" s="3">
        <v>2182.3200000000002</v>
      </c>
      <c r="H2150" t="str">
        <f t="shared" si="41"/>
        <v>SOCIAL SECURITY TAXES</v>
      </c>
    </row>
    <row r="2151" spans="5:8" x14ac:dyDescent="0.25">
      <c r="E2151" t="str">
        <f>""</f>
        <v/>
      </c>
      <c r="F2151" t="str">
        <f>""</f>
        <v/>
      </c>
      <c r="G2151" s="3">
        <v>297.58</v>
      </c>
      <c r="H2151" t="str">
        <f t="shared" si="41"/>
        <v>SOCIAL SECURITY TAXES</v>
      </c>
    </row>
    <row r="2152" spans="5:8" x14ac:dyDescent="0.25">
      <c r="E2152" t="str">
        <f>""</f>
        <v/>
      </c>
      <c r="F2152" t="str">
        <f>""</f>
        <v/>
      </c>
      <c r="G2152" s="3">
        <v>224.55</v>
      </c>
      <c r="H2152" t="str">
        <f t="shared" si="41"/>
        <v>SOCIAL SECURITY TAXES</v>
      </c>
    </row>
    <row r="2153" spans="5:8" x14ac:dyDescent="0.25">
      <c r="E2153" t="str">
        <f>""</f>
        <v/>
      </c>
      <c r="F2153" t="str">
        <f>""</f>
        <v/>
      </c>
      <c r="G2153" s="3">
        <v>1101.04</v>
      </c>
      <c r="H2153" t="str">
        <f t="shared" si="41"/>
        <v>SOCIAL SECURITY TAXES</v>
      </c>
    </row>
    <row r="2154" spans="5:8" x14ac:dyDescent="0.25">
      <c r="E2154" t="str">
        <f>""</f>
        <v/>
      </c>
      <c r="F2154" t="str">
        <f>""</f>
        <v/>
      </c>
      <c r="G2154" s="3">
        <v>14.46</v>
      </c>
      <c r="H2154" t="str">
        <f t="shared" si="41"/>
        <v>SOCIAL SECURITY TAXES</v>
      </c>
    </row>
    <row r="2155" spans="5:8" x14ac:dyDescent="0.25">
      <c r="E2155" t="str">
        <f>""</f>
        <v/>
      </c>
      <c r="F2155" t="str">
        <f>""</f>
        <v/>
      </c>
      <c r="G2155" s="3">
        <v>27.72</v>
      </c>
      <c r="H2155" t="str">
        <f t="shared" si="41"/>
        <v>SOCIAL SECURITY TAXES</v>
      </c>
    </row>
    <row r="2156" spans="5:8" x14ac:dyDescent="0.25">
      <c r="E2156" t="str">
        <f>""</f>
        <v/>
      </c>
      <c r="F2156" t="str">
        <f>""</f>
        <v/>
      </c>
      <c r="G2156" s="3">
        <v>15.07</v>
      </c>
      <c r="H2156" t="str">
        <f t="shared" si="41"/>
        <v>SOCIAL SECURITY TAXES</v>
      </c>
    </row>
    <row r="2157" spans="5:8" x14ac:dyDescent="0.25">
      <c r="E2157" t="str">
        <f>""</f>
        <v/>
      </c>
      <c r="F2157" t="str">
        <f>""</f>
        <v/>
      </c>
      <c r="G2157" s="3">
        <v>20.23</v>
      </c>
      <c r="H2157" t="str">
        <f t="shared" si="41"/>
        <v>SOCIAL SECURITY TAXES</v>
      </c>
    </row>
    <row r="2158" spans="5:8" x14ac:dyDescent="0.25">
      <c r="E2158" t="str">
        <f>""</f>
        <v/>
      </c>
      <c r="F2158" t="str">
        <f>""</f>
        <v/>
      </c>
      <c r="G2158" s="3">
        <v>370.13</v>
      </c>
      <c r="H2158" t="str">
        <f t="shared" si="41"/>
        <v>SOCIAL SECURITY TAXES</v>
      </c>
    </row>
    <row r="2159" spans="5:8" x14ac:dyDescent="0.25">
      <c r="E2159" t="str">
        <f>""</f>
        <v/>
      </c>
      <c r="F2159" t="str">
        <f>""</f>
        <v/>
      </c>
      <c r="G2159" s="3">
        <v>60953.04</v>
      </c>
      <c r="H2159" t="str">
        <f t="shared" si="41"/>
        <v>SOCIAL SECURITY TAXES</v>
      </c>
    </row>
    <row r="2160" spans="5:8" x14ac:dyDescent="0.25">
      <c r="E2160" t="str">
        <f>"T3 202109015417"</f>
        <v>T3 202109015417</v>
      </c>
      <c r="F2160" t="str">
        <f>"SOCIAL SECURITY TAXES"</f>
        <v>SOCIAL SECURITY TAXES</v>
      </c>
      <c r="G2160" s="3">
        <v>1989.72</v>
      </c>
      <c r="H2160" t="str">
        <f t="shared" si="41"/>
        <v>SOCIAL SECURITY TAXES</v>
      </c>
    </row>
    <row r="2161" spans="5:8" x14ac:dyDescent="0.25">
      <c r="E2161" t="str">
        <f>""</f>
        <v/>
      </c>
      <c r="F2161" t="str">
        <f>""</f>
        <v/>
      </c>
      <c r="G2161" s="3">
        <v>1989.72</v>
      </c>
      <c r="H2161" t="str">
        <f t="shared" si="41"/>
        <v>SOCIAL SECURITY TAXES</v>
      </c>
    </row>
    <row r="2162" spans="5:8" x14ac:dyDescent="0.25">
      <c r="E2162" t="str">
        <f>"T3 202109015418"</f>
        <v>T3 202109015418</v>
      </c>
      <c r="F2162" t="str">
        <f>"SOCIAL SECURITY TAXES"</f>
        <v>SOCIAL SECURITY TAXES</v>
      </c>
      <c r="G2162" s="3">
        <v>2223.75</v>
      </c>
      <c r="H2162" t="str">
        <f t="shared" si="41"/>
        <v>SOCIAL SECURITY TAXES</v>
      </c>
    </row>
    <row r="2163" spans="5:8" x14ac:dyDescent="0.25">
      <c r="E2163" t="str">
        <f>""</f>
        <v/>
      </c>
      <c r="F2163" t="str">
        <f>""</f>
        <v/>
      </c>
      <c r="G2163" s="3">
        <v>2223.75</v>
      </c>
      <c r="H2163" t="str">
        <f t="shared" si="41"/>
        <v>SOCIAL SECURITY TAXES</v>
      </c>
    </row>
    <row r="2164" spans="5:8" x14ac:dyDescent="0.25">
      <c r="E2164" t="str">
        <f>"T4 202109015416"</f>
        <v>T4 202109015416</v>
      </c>
      <c r="F2164" t="str">
        <f>"MEDICARE TAXES"</f>
        <v>MEDICARE TAXES</v>
      </c>
      <c r="G2164" s="3">
        <v>121.24</v>
      </c>
      <c r="H2164" t="str">
        <f t="shared" ref="H2164:H2221" si="42">"MEDICARE TAXES"</f>
        <v>MEDICARE TAXES</v>
      </c>
    </row>
    <row r="2165" spans="5:8" x14ac:dyDescent="0.25">
      <c r="E2165" t="str">
        <f>""</f>
        <v/>
      </c>
      <c r="F2165" t="str">
        <f>""</f>
        <v/>
      </c>
      <c r="G2165" s="3">
        <v>87.53</v>
      </c>
      <c r="H2165" t="str">
        <f t="shared" si="42"/>
        <v>MEDICARE TAXES</v>
      </c>
    </row>
    <row r="2166" spans="5:8" x14ac:dyDescent="0.25">
      <c r="E2166" t="str">
        <f>""</f>
        <v/>
      </c>
      <c r="F2166" t="str">
        <f>""</f>
        <v/>
      </c>
      <c r="G2166" s="3">
        <v>223.63</v>
      </c>
      <c r="H2166" t="str">
        <f t="shared" si="42"/>
        <v>MEDICARE TAXES</v>
      </c>
    </row>
    <row r="2167" spans="5:8" x14ac:dyDescent="0.25">
      <c r="E2167" t="str">
        <f>""</f>
        <v/>
      </c>
      <c r="F2167" t="str">
        <f>""</f>
        <v/>
      </c>
      <c r="G2167" s="3">
        <v>94.28</v>
      </c>
      <c r="H2167" t="str">
        <f t="shared" si="42"/>
        <v>MEDICARE TAXES</v>
      </c>
    </row>
    <row r="2168" spans="5:8" x14ac:dyDescent="0.25">
      <c r="E2168" t="str">
        <f>""</f>
        <v/>
      </c>
      <c r="F2168" t="str">
        <f>""</f>
        <v/>
      </c>
      <c r="G2168" s="3">
        <v>41.88</v>
      </c>
      <c r="H2168" t="str">
        <f t="shared" si="42"/>
        <v>MEDICARE TAXES</v>
      </c>
    </row>
    <row r="2169" spans="5:8" x14ac:dyDescent="0.25">
      <c r="E2169" t="str">
        <f>""</f>
        <v/>
      </c>
      <c r="F2169" t="str">
        <f>""</f>
        <v/>
      </c>
      <c r="G2169" s="3">
        <v>184.89</v>
      </c>
      <c r="H2169" t="str">
        <f t="shared" si="42"/>
        <v>MEDICARE TAXES</v>
      </c>
    </row>
    <row r="2170" spans="5:8" x14ac:dyDescent="0.25">
      <c r="E2170" t="str">
        <f>""</f>
        <v/>
      </c>
      <c r="F2170" t="str">
        <f>""</f>
        <v/>
      </c>
      <c r="G2170" s="3">
        <v>613.02</v>
      </c>
      <c r="H2170" t="str">
        <f t="shared" si="42"/>
        <v>MEDICARE TAXES</v>
      </c>
    </row>
    <row r="2171" spans="5:8" x14ac:dyDescent="0.25">
      <c r="E2171" t="str">
        <f>""</f>
        <v/>
      </c>
      <c r="F2171" t="str">
        <f>""</f>
        <v/>
      </c>
      <c r="G2171" s="3">
        <v>22.46</v>
      </c>
      <c r="H2171" t="str">
        <f t="shared" si="42"/>
        <v>MEDICARE TAXES</v>
      </c>
    </row>
    <row r="2172" spans="5:8" x14ac:dyDescent="0.25">
      <c r="E2172" t="str">
        <f>""</f>
        <v/>
      </c>
      <c r="F2172" t="str">
        <f>""</f>
        <v/>
      </c>
      <c r="G2172" s="3">
        <v>197.83</v>
      </c>
      <c r="H2172" t="str">
        <f t="shared" si="42"/>
        <v>MEDICARE TAXES</v>
      </c>
    </row>
    <row r="2173" spans="5:8" x14ac:dyDescent="0.25">
      <c r="E2173" t="str">
        <f>""</f>
        <v/>
      </c>
      <c r="F2173" t="str">
        <f>""</f>
        <v/>
      </c>
      <c r="G2173" s="3">
        <v>195.03</v>
      </c>
      <c r="H2173" t="str">
        <f t="shared" si="42"/>
        <v>MEDICARE TAXES</v>
      </c>
    </row>
    <row r="2174" spans="5:8" x14ac:dyDescent="0.25">
      <c r="E2174" t="str">
        <f>""</f>
        <v/>
      </c>
      <c r="F2174" t="str">
        <f>""</f>
        <v/>
      </c>
      <c r="G2174" s="3">
        <v>338.81</v>
      </c>
      <c r="H2174" t="str">
        <f t="shared" si="42"/>
        <v>MEDICARE TAXES</v>
      </c>
    </row>
    <row r="2175" spans="5:8" x14ac:dyDescent="0.25">
      <c r="E2175" t="str">
        <f>""</f>
        <v/>
      </c>
      <c r="F2175" t="str">
        <f>""</f>
        <v/>
      </c>
      <c r="G2175" s="3">
        <v>103.71</v>
      </c>
      <c r="H2175" t="str">
        <f t="shared" si="42"/>
        <v>MEDICARE TAXES</v>
      </c>
    </row>
    <row r="2176" spans="5:8" x14ac:dyDescent="0.25">
      <c r="E2176" t="str">
        <f>""</f>
        <v/>
      </c>
      <c r="F2176" t="str">
        <f>""</f>
        <v/>
      </c>
      <c r="G2176" s="3">
        <v>83.8</v>
      </c>
      <c r="H2176" t="str">
        <f t="shared" si="42"/>
        <v>MEDICARE TAXES</v>
      </c>
    </row>
    <row r="2177" spans="5:8" x14ac:dyDescent="0.25">
      <c r="E2177" t="str">
        <f>""</f>
        <v/>
      </c>
      <c r="F2177" t="str">
        <f>""</f>
        <v/>
      </c>
      <c r="G2177" s="3">
        <v>86.53</v>
      </c>
      <c r="H2177" t="str">
        <f t="shared" si="42"/>
        <v>MEDICARE TAXES</v>
      </c>
    </row>
    <row r="2178" spans="5:8" x14ac:dyDescent="0.25">
      <c r="E2178" t="str">
        <f>""</f>
        <v/>
      </c>
      <c r="F2178" t="str">
        <f>""</f>
        <v/>
      </c>
      <c r="G2178" s="3">
        <v>93.1</v>
      </c>
      <c r="H2178" t="str">
        <f t="shared" si="42"/>
        <v>MEDICARE TAXES</v>
      </c>
    </row>
    <row r="2179" spans="5:8" x14ac:dyDescent="0.25">
      <c r="E2179" t="str">
        <f>""</f>
        <v/>
      </c>
      <c r="F2179" t="str">
        <f>""</f>
        <v/>
      </c>
      <c r="G2179" s="3">
        <v>51.19</v>
      </c>
      <c r="H2179" t="str">
        <f t="shared" si="42"/>
        <v>MEDICARE TAXES</v>
      </c>
    </row>
    <row r="2180" spans="5:8" x14ac:dyDescent="0.25">
      <c r="E2180" t="str">
        <f>""</f>
        <v/>
      </c>
      <c r="F2180" t="str">
        <f>""</f>
        <v/>
      </c>
      <c r="G2180" s="3">
        <v>607.61</v>
      </c>
      <c r="H2180" t="str">
        <f t="shared" si="42"/>
        <v>MEDICARE TAXES</v>
      </c>
    </row>
    <row r="2181" spans="5:8" x14ac:dyDescent="0.25">
      <c r="E2181" t="str">
        <f>""</f>
        <v/>
      </c>
      <c r="F2181" t="str">
        <f>""</f>
        <v/>
      </c>
      <c r="G2181" s="3">
        <v>234.48</v>
      </c>
      <c r="H2181" t="str">
        <f t="shared" si="42"/>
        <v>MEDICARE TAXES</v>
      </c>
    </row>
    <row r="2182" spans="5:8" x14ac:dyDescent="0.25">
      <c r="E2182" t="str">
        <f>""</f>
        <v/>
      </c>
      <c r="F2182" t="str">
        <f>""</f>
        <v/>
      </c>
      <c r="G2182" s="3">
        <v>113.79</v>
      </c>
      <c r="H2182" t="str">
        <f t="shared" si="42"/>
        <v>MEDICARE TAXES</v>
      </c>
    </row>
    <row r="2183" spans="5:8" x14ac:dyDescent="0.25">
      <c r="E2183" t="str">
        <f>""</f>
        <v/>
      </c>
      <c r="F2183" t="str">
        <f>""</f>
        <v/>
      </c>
      <c r="G2183" s="3">
        <v>112.46</v>
      </c>
      <c r="H2183" t="str">
        <f t="shared" si="42"/>
        <v>MEDICARE TAXES</v>
      </c>
    </row>
    <row r="2184" spans="5:8" x14ac:dyDescent="0.25">
      <c r="E2184" t="str">
        <f>""</f>
        <v/>
      </c>
      <c r="F2184" t="str">
        <f>""</f>
        <v/>
      </c>
      <c r="G2184" s="3">
        <v>303.86</v>
      </c>
      <c r="H2184" t="str">
        <f t="shared" si="42"/>
        <v>MEDICARE TAXES</v>
      </c>
    </row>
    <row r="2185" spans="5:8" x14ac:dyDescent="0.25">
      <c r="E2185" t="str">
        <f>""</f>
        <v/>
      </c>
      <c r="F2185" t="str">
        <f>""</f>
        <v/>
      </c>
      <c r="G2185" s="3">
        <v>164.77</v>
      </c>
      <c r="H2185" t="str">
        <f t="shared" si="42"/>
        <v>MEDICARE TAXES</v>
      </c>
    </row>
    <row r="2186" spans="5:8" x14ac:dyDescent="0.25">
      <c r="E2186" t="str">
        <f>""</f>
        <v/>
      </c>
      <c r="F2186" t="str">
        <f>""</f>
        <v/>
      </c>
      <c r="G2186" s="3">
        <v>405.03</v>
      </c>
      <c r="H2186" t="str">
        <f t="shared" si="42"/>
        <v>MEDICARE TAXES</v>
      </c>
    </row>
    <row r="2187" spans="5:8" x14ac:dyDescent="0.25">
      <c r="E2187" t="str">
        <f>""</f>
        <v/>
      </c>
      <c r="F2187" t="str">
        <f>""</f>
        <v/>
      </c>
      <c r="G2187" s="3">
        <v>277.51</v>
      </c>
      <c r="H2187" t="str">
        <f t="shared" si="42"/>
        <v>MEDICARE TAXES</v>
      </c>
    </row>
    <row r="2188" spans="5:8" x14ac:dyDescent="0.25">
      <c r="E2188" t="str">
        <f>""</f>
        <v/>
      </c>
      <c r="F2188" t="str">
        <f>""</f>
        <v/>
      </c>
      <c r="G2188" s="3">
        <v>603.70000000000005</v>
      </c>
      <c r="H2188" t="str">
        <f t="shared" si="42"/>
        <v>MEDICARE TAXES</v>
      </c>
    </row>
    <row r="2189" spans="5:8" x14ac:dyDescent="0.25">
      <c r="E2189" t="str">
        <f>""</f>
        <v/>
      </c>
      <c r="F2189" t="str">
        <f>""</f>
        <v/>
      </c>
      <c r="G2189" s="3">
        <v>28.48</v>
      </c>
      <c r="H2189" t="str">
        <f t="shared" si="42"/>
        <v>MEDICARE TAXES</v>
      </c>
    </row>
    <row r="2190" spans="5:8" x14ac:dyDescent="0.25">
      <c r="E2190" t="str">
        <f>""</f>
        <v/>
      </c>
      <c r="F2190" t="str">
        <f>""</f>
        <v/>
      </c>
      <c r="G2190" s="3">
        <v>31.23</v>
      </c>
      <c r="H2190" t="str">
        <f t="shared" si="42"/>
        <v>MEDICARE TAXES</v>
      </c>
    </row>
    <row r="2191" spans="5:8" x14ac:dyDescent="0.25">
      <c r="E2191" t="str">
        <f>""</f>
        <v/>
      </c>
      <c r="F2191" t="str">
        <f>""</f>
        <v/>
      </c>
      <c r="G2191" s="3">
        <v>29.6</v>
      </c>
      <c r="H2191" t="str">
        <f t="shared" si="42"/>
        <v>MEDICARE TAXES</v>
      </c>
    </row>
    <row r="2192" spans="5:8" x14ac:dyDescent="0.25">
      <c r="E2192" t="str">
        <f>""</f>
        <v/>
      </c>
      <c r="F2192" t="str">
        <f>""</f>
        <v/>
      </c>
      <c r="G2192" s="3">
        <v>28.85</v>
      </c>
      <c r="H2192" t="str">
        <f t="shared" si="42"/>
        <v>MEDICARE TAXES</v>
      </c>
    </row>
    <row r="2193" spans="5:8" x14ac:dyDescent="0.25">
      <c r="E2193" t="str">
        <f>""</f>
        <v/>
      </c>
      <c r="F2193" t="str">
        <f>""</f>
        <v/>
      </c>
      <c r="G2193" s="3">
        <v>3235.47</v>
      </c>
      <c r="H2193" t="str">
        <f t="shared" si="42"/>
        <v>MEDICARE TAXES</v>
      </c>
    </row>
    <row r="2194" spans="5:8" x14ac:dyDescent="0.25">
      <c r="E2194" t="str">
        <f>""</f>
        <v/>
      </c>
      <c r="F2194" t="str">
        <f>""</f>
        <v/>
      </c>
      <c r="G2194" s="3">
        <v>139.44</v>
      </c>
      <c r="H2194" t="str">
        <f t="shared" si="42"/>
        <v>MEDICARE TAXES</v>
      </c>
    </row>
    <row r="2195" spans="5:8" x14ac:dyDescent="0.25">
      <c r="E2195" t="str">
        <f>""</f>
        <v/>
      </c>
      <c r="F2195" t="str">
        <f>""</f>
        <v/>
      </c>
      <c r="G2195" s="3">
        <v>2459.5700000000002</v>
      </c>
      <c r="H2195" t="str">
        <f t="shared" si="42"/>
        <v>MEDICARE TAXES</v>
      </c>
    </row>
    <row r="2196" spans="5:8" x14ac:dyDescent="0.25">
      <c r="E2196" t="str">
        <f>""</f>
        <v/>
      </c>
      <c r="F2196" t="str">
        <f>""</f>
        <v/>
      </c>
      <c r="G2196" s="3">
        <v>370.8</v>
      </c>
      <c r="H2196" t="str">
        <f t="shared" si="42"/>
        <v>MEDICARE TAXES</v>
      </c>
    </row>
    <row r="2197" spans="5:8" x14ac:dyDescent="0.25">
      <c r="E2197" t="str">
        <f>""</f>
        <v/>
      </c>
      <c r="F2197" t="str">
        <f>""</f>
        <v/>
      </c>
      <c r="G2197" s="3">
        <v>27.83</v>
      </c>
      <c r="H2197" t="str">
        <f t="shared" si="42"/>
        <v>MEDICARE TAXES</v>
      </c>
    </row>
    <row r="2198" spans="5:8" x14ac:dyDescent="0.25">
      <c r="E2198" t="str">
        <f>""</f>
        <v/>
      </c>
      <c r="F2198" t="str">
        <f>""</f>
        <v/>
      </c>
      <c r="G2198" s="3">
        <v>78.489999999999995</v>
      </c>
      <c r="H2198" t="str">
        <f t="shared" si="42"/>
        <v>MEDICARE TAXES</v>
      </c>
    </row>
    <row r="2199" spans="5:8" x14ac:dyDescent="0.25">
      <c r="E2199" t="str">
        <f>""</f>
        <v/>
      </c>
      <c r="F2199" t="str">
        <f>""</f>
        <v/>
      </c>
      <c r="G2199" s="3">
        <v>7.81</v>
      </c>
      <c r="H2199" t="str">
        <f t="shared" si="42"/>
        <v>MEDICARE TAXES</v>
      </c>
    </row>
    <row r="2200" spans="5:8" x14ac:dyDescent="0.25">
      <c r="E2200" t="str">
        <f>""</f>
        <v/>
      </c>
      <c r="F2200" t="str">
        <f>""</f>
        <v/>
      </c>
      <c r="G2200" s="3">
        <v>71.42</v>
      </c>
      <c r="H2200" t="str">
        <f t="shared" si="42"/>
        <v>MEDICARE TAXES</v>
      </c>
    </row>
    <row r="2201" spans="5:8" x14ac:dyDescent="0.25">
      <c r="E2201" t="str">
        <f>""</f>
        <v/>
      </c>
      <c r="F2201" t="str">
        <f>""</f>
        <v/>
      </c>
      <c r="G2201" s="3">
        <v>26.98</v>
      </c>
      <c r="H2201" t="str">
        <f t="shared" si="42"/>
        <v>MEDICARE TAXES</v>
      </c>
    </row>
    <row r="2202" spans="5:8" x14ac:dyDescent="0.25">
      <c r="E2202" t="str">
        <f>""</f>
        <v/>
      </c>
      <c r="F2202" t="str">
        <f>""</f>
        <v/>
      </c>
      <c r="G2202" s="3">
        <v>81.55</v>
      </c>
      <c r="H2202" t="str">
        <f t="shared" si="42"/>
        <v>MEDICARE TAXES</v>
      </c>
    </row>
    <row r="2203" spans="5:8" x14ac:dyDescent="0.25">
      <c r="E2203" t="str">
        <f>""</f>
        <v/>
      </c>
      <c r="F2203" t="str">
        <f>""</f>
        <v/>
      </c>
      <c r="G2203" s="3">
        <v>78.72</v>
      </c>
      <c r="H2203" t="str">
        <f t="shared" si="42"/>
        <v>MEDICARE TAXES</v>
      </c>
    </row>
    <row r="2204" spans="5:8" x14ac:dyDescent="0.25">
      <c r="E2204" t="str">
        <f>""</f>
        <v/>
      </c>
      <c r="F2204" t="str">
        <f>""</f>
        <v/>
      </c>
      <c r="G2204" s="3">
        <v>25.51</v>
      </c>
      <c r="H2204" t="str">
        <f t="shared" si="42"/>
        <v>MEDICARE TAXES</v>
      </c>
    </row>
    <row r="2205" spans="5:8" x14ac:dyDescent="0.25">
      <c r="E2205" t="str">
        <f>""</f>
        <v/>
      </c>
      <c r="F2205" t="str">
        <f>""</f>
        <v/>
      </c>
      <c r="G2205" s="3">
        <v>368.81</v>
      </c>
      <c r="H2205" t="str">
        <f t="shared" si="42"/>
        <v>MEDICARE TAXES</v>
      </c>
    </row>
    <row r="2206" spans="5:8" x14ac:dyDescent="0.25">
      <c r="E2206" t="str">
        <f>""</f>
        <v/>
      </c>
      <c r="F2206" t="str">
        <f>""</f>
        <v/>
      </c>
      <c r="G2206" s="3">
        <v>402.5</v>
      </c>
      <c r="H2206" t="str">
        <f t="shared" si="42"/>
        <v>MEDICARE TAXES</v>
      </c>
    </row>
    <row r="2207" spans="5:8" x14ac:dyDescent="0.25">
      <c r="E2207" t="str">
        <f>""</f>
        <v/>
      </c>
      <c r="F2207" t="str">
        <f>""</f>
        <v/>
      </c>
      <c r="G2207" s="3">
        <v>405.2</v>
      </c>
      <c r="H2207" t="str">
        <f t="shared" si="42"/>
        <v>MEDICARE TAXES</v>
      </c>
    </row>
    <row r="2208" spans="5:8" x14ac:dyDescent="0.25">
      <c r="E2208" t="str">
        <f>""</f>
        <v/>
      </c>
      <c r="F2208" t="str">
        <f>""</f>
        <v/>
      </c>
      <c r="G2208" s="3">
        <v>510.37</v>
      </c>
      <c r="H2208" t="str">
        <f t="shared" si="42"/>
        <v>MEDICARE TAXES</v>
      </c>
    </row>
    <row r="2209" spans="1:8" x14ac:dyDescent="0.25">
      <c r="E2209" t="str">
        <f>""</f>
        <v/>
      </c>
      <c r="F2209" t="str">
        <f>""</f>
        <v/>
      </c>
      <c r="G2209" s="3">
        <v>69.59</v>
      </c>
      <c r="H2209" t="str">
        <f t="shared" si="42"/>
        <v>MEDICARE TAXES</v>
      </c>
    </row>
    <row r="2210" spans="1:8" x14ac:dyDescent="0.25">
      <c r="E2210" t="str">
        <f>""</f>
        <v/>
      </c>
      <c r="F2210" t="str">
        <f>""</f>
        <v/>
      </c>
      <c r="G2210" s="3">
        <v>52.52</v>
      </c>
      <c r="H2210" t="str">
        <f t="shared" si="42"/>
        <v>MEDICARE TAXES</v>
      </c>
    </row>
    <row r="2211" spans="1:8" x14ac:dyDescent="0.25">
      <c r="E2211" t="str">
        <f>""</f>
        <v/>
      </c>
      <c r="F2211" t="str">
        <f>""</f>
        <v/>
      </c>
      <c r="G2211" s="3">
        <v>257.60000000000002</v>
      </c>
      <c r="H2211" t="str">
        <f t="shared" si="42"/>
        <v>MEDICARE TAXES</v>
      </c>
    </row>
    <row r="2212" spans="1:8" x14ac:dyDescent="0.25">
      <c r="E2212" t="str">
        <f>""</f>
        <v/>
      </c>
      <c r="F2212" t="str">
        <f>""</f>
        <v/>
      </c>
      <c r="G2212" s="3">
        <v>3.38</v>
      </c>
      <c r="H2212" t="str">
        <f t="shared" si="42"/>
        <v>MEDICARE TAXES</v>
      </c>
    </row>
    <row r="2213" spans="1:8" x14ac:dyDescent="0.25">
      <c r="E2213" t="str">
        <f>""</f>
        <v/>
      </c>
      <c r="F2213" t="str">
        <f>""</f>
        <v/>
      </c>
      <c r="G2213" s="3">
        <v>6.48</v>
      </c>
      <c r="H2213" t="str">
        <f t="shared" si="42"/>
        <v>MEDICARE TAXES</v>
      </c>
    </row>
    <row r="2214" spans="1:8" x14ac:dyDescent="0.25">
      <c r="E2214" t="str">
        <f>""</f>
        <v/>
      </c>
      <c r="F2214" t="str">
        <f>""</f>
        <v/>
      </c>
      <c r="G2214" s="3">
        <v>3.53</v>
      </c>
      <c r="H2214" t="str">
        <f t="shared" si="42"/>
        <v>MEDICARE TAXES</v>
      </c>
    </row>
    <row r="2215" spans="1:8" x14ac:dyDescent="0.25">
      <c r="E2215" t="str">
        <f>""</f>
        <v/>
      </c>
      <c r="F2215" t="str">
        <f>""</f>
        <v/>
      </c>
      <c r="G2215" s="3">
        <v>4.74</v>
      </c>
      <c r="H2215" t="str">
        <f t="shared" si="42"/>
        <v>MEDICARE TAXES</v>
      </c>
    </row>
    <row r="2216" spans="1:8" x14ac:dyDescent="0.25">
      <c r="E2216" t="str">
        <f>""</f>
        <v/>
      </c>
      <c r="F2216" t="str">
        <f>""</f>
        <v/>
      </c>
      <c r="G2216" s="3">
        <v>86.57</v>
      </c>
      <c r="H2216" t="str">
        <f t="shared" si="42"/>
        <v>MEDICARE TAXES</v>
      </c>
    </row>
    <row r="2217" spans="1:8" x14ac:dyDescent="0.25">
      <c r="E2217" t="str">
        <f>""</f>
        <v/>
      </c>
      <c r="F2217" t="str">
        <f>""</f>
        <v/>
      </c>
      <c r="G2217" s="3">
        <v>14255.18</v>
      </c>
      <c r="H2217" t="str">
        <f t="shared" si="42"/>
        <v>MEDICARE TAXES</v>
      </c>
    </row>
    <row r="2218" spans="1:8" x14ac:dyDescent="0.25">
      <c r="E2218" t="str">
        <f>"T4 202109015417"</f>
        <v>T4 202109015417</v>
      </c>
      <c r="F2218" t="str">
        <f>"MEDICARE TAXES"</f>
        <v>MEDICARE TAXES</v>
      </c>
      <c r="G2218" s="3">
        <v>465.34</v>
      </c>
      <c r="H2218" t="str">
        <f t="shared" si="42"/>
        <v>MEDICARE TAXES</v>
      </c>
    </row>
    <row r="2219" spans="1:8" x14ac:dyDescent="0.25">
      <c r="E2219" t="str">
        <f>""</f>
        <v/>
      </c>
      <c r="F2219" t="str">
        <f>""</f>
        <v/>
      </c>
      <c r="G2219" s="3">
        <v>465.34</v>
      </c>
      <c r="H2219" t="str">
        <f t="shared" si="42"/>
        <v>MEDICARE TAXES</v>
      </c>
    </row>
    <row r="2220" spans="1:8" x14ac:dyDescent="0.25">
      <c r="E2220" t="str">
        <f>"T4 202109015418"</f>
        <v>T4 202109015418</v>
      </c>
      <c r="F2220" t="str">
        <f>"MEDICARE TAXES"</f>
        <v>MEDICARE TAXES</v>
      </c>
      <c r="G2220" s="3">
        <v>520.09</v>
      </c>
      <c r="H2220" t="str">
        <f t="shared" si="42"/>
        <v>MEDICARE TAXES</v>
      </c>
    </row>
    <row r="2221" spans="1:8" x14ac:dyDescent="0.25">
      <c r="E2221" t="str">
        <f>""</f>
        <v/>
      </c>
      <c r="F2221" t="str">
        <f>""</f>
        <v/>
      </c>
      <c r="G2221" s="3">
        <v>520.09</v>
      </c>
      <c r="H2221" t="str">
        <f t="shared" si="42"/>
        <v>MEDICARE TAXES</v>
      </c>
    </row>
    <row r="2222" spans="1:8" x14ac:dyDescent="0.25">
      <c r="A2222" t="s">
        <v>410</v>
      </c>
      <c r="B2222">
        <v>1326</v>
      </c>
      <c r="C2222" s="3">
        <v>249536.38</v>
      </c>
      <c r="D2222" s="4">
        <v>44456</v>
      </c>
      <c r="E2222" t="str">
        <f>"T1 202109155691"</f>
        <v>T1 202109155691</v>
      </c>
      <c r="F2222" t="str">
        <f>"FEDERAL WITHHOLDING"</f>
        <v>FEDERAL WITHHOLDING</v>
      </c>
      <c r="G2222" s="3">
        <v>84184.55</v>
      </c>
      <c r="H2222" t="str">
        <f>"FEDERAL WITHHOLDING"</f>
        <v>FEDERAL WITHHOLDING</v>
      </c>
    </row>
    <row r="2223" spans="1:8" x14ac:dyDescent="0.25">
      <c r="E2223" t="str">
        <f>"T1 202109155692"</f>
        <v>T1 202109155692</v>
      </c>
      <c r="F2223" t="str">
        <f>"FEDERAL WITHHOLDING"</f>
        <v>FEDERAL WITHHOLDING</v>
      </c>
      <c r="G2223" s="3">
        <v>2825.57</v>
      </c>
      <c r="H2223" t="str">
        <f>"FEDERAL WITHHOLDING"</f>
        <v>FEDERAL WITHHOLDING</v>
      </c>
    </row>
    <row r="2224" spans="1:8" x14ac:dyDescent="0.25">
      <c r="E2224" t="str">
        <f>"T1 202109155693"</f>
        <v>T1 202109155693</v>
      </c>
      <c r="F2224" t="str">
        <f>"FEDERAL WITHHOLDING"</f>
        <v>FEDERAL WITHHOLDING</v>
      </c>
      <c r="G2224" s="3">
        <v>3198.6</v>
      </c>
      <c r="H2224" t="str">
        <f>"FEDERAL WITHHOLDING"</f>
        <v>FEDERAL WITHHOLDING</v>
      </c>
    </row>
    <row r="2225" spans="5:8" x14ac:dyDescent="0.25">
      <c r="E2225" t="str">
        <f>"T3 202109155691"</f>
        <v>T3 202109155691</v>
      </c>
      <c r="F2225" t="str">
        <f>"SOCIAL SECURITY TAXES"</f>
        <v>SOCIAL SECURITY TAXES</v>
      </c>
      <c r="G2225" s="3">
        <v>518.42999999999995</v>
      </c>
      <c r="H2225" t="str">
        <f t="shared" ref="H2225:H2281" si="43">"SOCIAL SECURITY TAXES"</f>
        <v>SOCIAL SECURITY TAXES</v>
      </c>
    </row>
    <row r="2226" spans="5:8" x14ac:dyDescent="0.25">
      <c r="E2226" t="str">
        <f>""</f>
        <v/>
      </c>
      <c r="F2226" t="str">
        <f>""</f>
        <v/>
      </c>
      <c r="G2226" s="3">
        <v>374.27</v>
      </c>
      <c r="H2226" t="str">
        <f t="shared" si="43"/>
        <v>SOCIAL SECURITY TAXES</v>
      </c>
    </row>
    <row r="2227" spans="5:8" x14ac:dyDescent="0.25">
      <c r="E2227" t="str">
        <f>""</f>
        <v/>
      </c>
      <c r="F2227" t="str">
        <f>""</f>
        <v/>
      </c>
      <c r="G2227" s="3">
        <v>938.88</v>
      </c>
      <c r="H2227" t="str">
        <f t="shared" si="43"/>
        <v>SOCIAL SECURITY TAXES</v>
      </c>
    </row>
    <row r="2228" spans="5:8" x14ac:dyDescent="0.25">
      <c r="E2228" t="str">
        <f>""</f>
        <v/>
      </c>
      <c r="F2228" t="str">
        <f>""</f>
        <v/>
      </c>
      <c r="G2228" s="3">
        <v>403.11</v>
      </c>
      <c r="H2228" t="str">
        <f t="shared" si="43"/>
        <v>SOCIAL SECURITY TAXES</v>
      </c>
    </row>
    <row r="2229" spans="5:8" x14ac:dyDescent="0.25">
      <c r="E2229" t="str">
        <f>""</f>
        <v/>
      </c>
      <c r="F2229" t="str">
        <f>""</f>
        <v/>
      </c>
      <c r="G2229" s="3">
        <v>179.04</v>
      </c>
      <c r="H2229" t="str">
        <f t="shared" si="43"/>
        <v>SOCIAL SECURITY TAXES</v>
      </c>
    </row>
    <row r="2230" spans="5:8" x14ac:dyDescent="0.25">
      <c r="E2230" t="str">
        <f>""</f>
        <v/>
      </c>
      <c r="F2230" t="str">
        <f>""</f>
        <v/>
      </c>
      <c r="G2230" s="3">
        <v>790.57</v>
      </c>
      <c r="H2230" t="str">
        <f t="shared" si="43"/>
        <v>SOCIAL SECURITY TAXES</v>
      </c>
    </row>
    <row r="2231" spans="5:8" x14ac:dyDescent="0.25">
      <c r="E2231" t="str">
        <f>""</f>
        <v/>
      </c>
      <c r="F2231" t="str">
        <f>""</f>
        <v/>
      </c>
      <c r="G2231" s="3">
        <v>2585.0100000000002</v>
      </c>
      <c r="H2231" t="str">
        <f t="shared" si="43"/>
        <v>SOCIAL SECURITY TAXES</v>
      </c>
    </row>
    <row r="2232" spans="5:8" x14ac:dyDescent="0.25">
      <c r="E2232" t="str">
        <f>""</f>
        <v/>
      </c>
      <c r="F2232" t="str">
        <f>""</f>
        <v/>
      </c>
      <c r="G2232" s="3">
        <v>96.05</v>
      </c>
      <c r="H2232" t="str">
        <f t="shared" si="43"/>
        <v>SOCIAL SECURITY TAXES</v>
      </c>
    </row>
    <row r="2233" spans="5:8" x14ac:dyDescent="0.25">
      <c r="E2233" t="str">
        <f>""</f>
        <v/>
      </c>
      <c r="F2233" t="str">
        <f>""</f>
        <v/>
      </c>
      <c r="G2233" s="3">
        <v>865.57</v>
      </c>
      <c r="H2233" t="str">
        <f t="shared" si="43"/>
        <v>SOCIAL SECURITY TAXES</v>
      </c>
    </row>
    <row r="2234" spans="5:8" x14ac:dyDescent="0.25">
      <c r="E2234" t="str">
        <f>""</f>
        <v/>
      </c>
      <c r="F2234" t="str">
        <f>""</f>
        <v/>
      </c>
      <c r="G2234" s="3">
        <v>809.2</v>
      </c>
      <c r="H2234" t="str">
        <f t="shared" si="43"/>
        <v>SOCIAL SECURITY TAXES</v>
      </c>
    </row>
    <row r="2235" spans="5:8" x14ac:dyDescent="0.25">
      <c r="E2235" t="str">
        <f>""</f>
        <v/>
      </c>
      <c r="F2235" t="str">
        <f>""</f>
        <v/>
      </c>
      <c r="G2235" s="3">
        <v>1448.72</v>
      </c>
      <c r="H2235" t="str">
        <f t="shared" si="43"/>
        <v>SOCIAL SECURITY TAXES</v>
      </c>
    </row>
    <row r="2236" spans="5:8" x14ac:dyDescent="0.25">
      <c r="E2236" t="str">
        <f>""</f>
        <v/>
      </c>
      <c r="F2236" t="str">
        <f>""</f>
        <v/>
      </c>
      <c r="G2236" s="3">
        <v>443.45</v>
      </c>
      <c r="H2236" t="str">
        <f t="shared" si="43"/>
        <v>SOCIAL SECURITY TAXES</v>
      </c>
    </row>
    <row r="2237" spans="5:8" x14ac:dyDescent="0.25">
      <c r="E2237" t="str">
        <f>""</f>
        <v/>
      </c>
      <c r="F2237" t="str">
        <f>""</f>
        <v/>
      </c>
      <c r="G2237" s="3">
        <v>358.32</v>
      </c>
      <c r="H2237" t="str">
        <f t="shared" si="43"/>
        <v>SOCIAL SECURITY TAXES</v>
      </c>
    </row>
    <row r="2238" spans="5:8" x14ac:dyDescent="0.25">
      <c r="E2238" t="str">
        <f>""</f>
        <v/>
      </c>
      <c r="F2238" t="str">
        <f>""</f>
        <v/>
      </c>
      <c r="G2238" s="3">
        <v>369.94</v>
      </c>
      <c r="H2238" t="str">
        <f t="shared" si="43"/>
        <v>SOCIAL SECURITY TAXES</v>
      </c>
    </row>
    <row r="2239" spans="5:8" x14ac:dyDescent="0.25">
      <c r="E2239" t="str">
        <f>""</f>
        <v/>
      </c>
      <c r="F2239" t="str">
        <f>""</f>
        <v/>
      </c>
      <c r="G2239" s="3">
        <v>398.11</v>
      </c>
      <c r="H2239" t="str">
        <f t="shared" si="43"/>
        <v>SOCIAL SECURITY TAXES</v>
      </c>
    </row>
    <row r="2240" spans="5:8" x14ac:dyDescent="0.25">
      <c r="E2240" t="str">
        <f>""</f>
        <v/>
      </c>
      <c r="F2240" t="str">
        <f>""</f>
        <v/>
      </c>
      <c r="G2240" s="3">
        <v>218.87</v>
      </c>
      <c r="H2240" t="str">
        <f t="shared" si="43"/>
        <v>SOCIAL SECURITY TAXES</v>
      </c>
    </row>
    <row r="2241" spans="5:8" x14ac:dyDescent="0.25">
      <c r="E2241" t="str">
        <f>""</f>
        <v/>
      </c>
      <c r="F2241" t="str">
        <f>""</f>
        <v/>
      </c>
      <c r="G2241" s="3">
        <v>2598.09</v>
      </c>
      <c r="H2241" t="str">
        <f t="shared" si="43"/>
        <v>SOCIAL SECURITY TAXES</v>
      </c>
    </row>
    <row r="2242" spans="5:8" x14ac:dyDescent="0.25">
      <c r="E2242" t="str">
        <f>""</f>
        <v/>
      </c>
      <c r="F2242" t="str">
        <f>""</f>
        <v/>
      </c>
      <c r="G2242" s="3">
        <v>1002.61</v>
      </c>
      <c r="H2242" t="str">
        <f t="shared" si="43"/>
        <v>SOCIAL SECURITY TAXES</v>
      </c>
    </row>
    <row r="2243" spans="5:8" x14ac:dyDescent="0.25">
      <c r="E2243" t="str">
        <f>""</f>
        <v/>
      </c>
      <c r="F2243" t="str">
        <f>""</f>
        <v/>
      </c>
      <c r="G2243" s="3">
        <v>486.5</v>
      </c>
      <c r="H2243" t="str">
        <f t="shared" si="43"/>
        <v>SOCIAL SECURITY TAXES</v>
      </c>
    </row>
    <row r="2244" spans="5:8" x14ac:dyDescent="0.25">
      <c r="E2244" t="str">
        <f>""</f>
        <v/>
      </c>
      <c r="F2244" t="str">
        <f>""</f>
        <v/>
      </c>
      <c r="G2244" s="3">
        <v>480.86</v>
      </c>
      <c r="H2244" t="str">
        <f t="shared" si="43"/>
        <v>SOCIAL SECURITY TAXES</v>
      </c>
    </row>
    <row r="2245" spans="5:8" x14ac:dyDescent="0.25">
      <c r="E2245" t="str">
        <f>""</f>
        <v/>
      </c>
      <c r="F2245" t="str">
        <f>""</f>
        <v/>
      </c>
      <c r="G2245" s="3">
        <v>1298.95</v>
      </c>
      <c r="H2245" t="str">
        <f t="shared" si="43"/>
        <v>SOCIAL SECURITY TAXES</v>
      </c>
    </row>
    <row r="2246" spans="5:8" x14ac:dyDescent="0.25">
      <c r="E2246" t="str">
        <f>""</f>
        <v/>
      </c>
      <c r="F2246" t="str">
        <f>""</f>
        <v/>
      </c>
      <c r="G2246" s="3">
        <v>704.54</v>
      </c>
      <c r="H2246" t="str">
        <f t="shared" si="43"/>
        <v>SOCIAL SECURITY TAXES</v>
      </c>
    </row>
    <row r="2247" spans="5:8" x14ac:dyDescent="0.25">
      <c r="E2247" t="str">
        <f>""</f>
        <v/>
      </c>
      <c r="F2247" t="str">
        <f>""</f>
        <v/>
      </c>
      <c r="G2247" s="3">
        <v>1731.61</v>
      </c>
      <c r="H2247" t="str">
        <f t="shared" si="43"/>
        <v>SOCIAL SECURITY TAXES</v>
      </c>
    </row>
    <row r="2248" spans="5:8" x14ac:dyDescent="0.25">
      <c r="E2248" t="str">
        <f>""</f>
        <v/>
      </c>
      <c r="F2248" t="str">
        <f>""</f>
        <v/>
      </c>
      <c r="G2248" s="3">
        <v>1184.52</v>
      </c>
      <c r="H2248" t="str">
        <f t="shared" si="43"/>
        <v>SOCIAL SECURITY TAXES</v>
      </c>
    </row>
    <row r="2249" spans="5:8" x14ac:dyDescent="0.25">
      <c r="E2249" t="str">
        <f>""</f>
        <v/>
      </c>
      <c r="F2249" t="str">
        <f>""</f>
        <v/>
      </c>
      <c r="G2249" s="3">
        <v>2476.8200000000002</v>
      </c>
      <c r="H2249" t="str">
        <f t="shared" si="43"/>
        <v>SOCIAL SECURITY TAXES</v>
      </c>
    </row>
    <row r="2250" spans="5:8" x14ac:dyDescent="0.25">
      <c r="E2250" t="str">
        <f>""</f>
        <v/>
      </c>
      <c r="F2250" t="str">
        <f>""</f>
        <v/>
      </c>
      <c r="G2250" s="3">
        <v>121.76</v>
      </c>
      <c r="H2250" t="str">
        <f t="shared" si="43"/>
        <v>SOCIAL SECURITY TAXES</v>
      </c>
    </row>
    <row r="2251" spans="5:8" x14ac:dyDescent="0.25">
      <c r="E2251" t="str">
        <f>""</f>
        <v/>
      </c>
      <c r="F2251" t="str">
        <f>""</f>
        <v/>
      </c>
      <c r="G2251" s="3">
        <v>133.51</v>
      </c>
      <c r="H2251" t="str">
        <f t="shared" si="43"/>
        <v>SOCIAL SECURITY TAXES</v>
      </c>
    </row>
    <row r="2252" spans="5:8" x14ac:dyDescent="0.25">
      <c r="E2252" t="str">
        <f>""</f>
        <v/>
      </c>
      <c r="F2252" t="str">
        <f>""</f>
        <v/>
      </c>
      <c r="G2252" s="3">
        <v>126.55</v>
      </c>
      <c r="H2252" t="str">
        <f t="shared" si="43"/>
        <v>SOCIAL SECURITY TAXES</v>
      </c>
    </row>
    <row r="2253" spans="5:8" x14ac:dyDescent="0.25">
      <c r="E2253" t="str">
        <f>""</f>
        <v/>
      </c>
      <c r="F2253" t="str">
        <f>""</f>
        <v/>
      </c>
      <c r="G2253" s="3">
        <v>123.37</v>
      </c>
      <c r="H2253" t="str">
        <f t="shared" si="43"/>
        <v>SOCIAL SECURITY TAXES</v>
      </c>
    </row>
    <row r="2254" spans="5:8" x14ac:dyDescent="0.25">
      <c r="E2254" t="str">
        <f>""</f>
        <v/>
      </c>
      <c r="F2254" t="str">
        <f>""</f>
        <v/>
      </c>
      <c r="G2254" s="3">
        <v>13365.41</v>
      </c>
      <c r="H2254" t="str">
        <f t="shared" si="43"/>
        <v>SOCIAL SECURITY TAXES</v>
      </c>
    </row>
    <row r="2255" spans="5:8" x14ac:dyDescent="0.25">
      <c r="E2255" t="str">
        <f>""</f>
        <v/>
      </c>
      <c r="F2255" t="str">
        <f>""</f>
        <v/>
      </c>
      <c r="G2255" s="3">
        <v>595.55999999999995</v>
      </c>
      <c r="H2255" t="str">
        <f t="shared" si="43"/>
        <v>SOCIAL SECURITY TAXES</v>
      </c>
    </row>
    <row r="2256" spans="5:8" x14ac:dyDescent="0.25">
      <c r="E2256" t="str">
        <f>""</f>
        <v/>
      </c>
      <c r="F2256" t="str">
        <f>""</f>
        <v/>
      </c>
      <c r="G2256" s="3">
        <v>12187.59</v>
      </c>
      <c r="H2256" t="str">
        <f t="shared" si="43"/>
        <v>SOCIAL SECURITY TAXES</v>
      </c>
    </row>
    <row r="2257" spans="5:8" x14ac:dyDescent="0.25">
      <c r="E2257" t="str">
        <f>""</f>
        <v/>
      </c>
      <c r="F2257" t="str">
        <f>""</f>
        <v/>
      </c>
      <c r="G2257" s="3">
        <v>1625.89</v>
      </c>
      <c r="H2257" t="str">
        <f t="shared" si="43"/>
        <v>SOCIAL SECURITY TAXES</v>
      </c>
    </row>
    <row r="2258" spans="5:8" x14ac:dyDescent="0.25">
      <c r="E2258" t="str">
        <f>""</f>
        <v/>
      </c>
      <c r="F2258" t="str">
        <f>""</f>
        <v/>
      </c>
      <c r="G2258" s="3">
        <v>119.01</v>
      </c>
      <c r="H2258" t="str">
        <f t="shared" si="43"/>
        <v>SOCIAL SECURITY TAXES</v>
      </c>
    </row>
    <row r="2259" spans="5:8" x14ac:dyDescent="0.25">
      <c r="E2259" t="str">
        <f>""</f>
        <v/>
      </c>
      <c r="F2259" t="str">
        <f>""</f>
        <v/>
      </c>
      <c r="G2259" s="3">
        <v>335.62</v>
      </c>
      <c r="H2259" t="str">
        <f t="shared" si="43"/>
        <v>SOCIAL SECURITY TAXES</v>
      </c>
    </row>
    <row r="2260" spans="5:8" x14ac:dyDescent="0.25">
      <c r="E2260" t="str">
        <f>""</f>
        <v/>
      </c>
      <c r="F2260" t="str">
        <f>""</f>
        <v/>
      </c>
      <c r="G2260" s="3">
        <v>33.409999999999997</v>
      </c>
      <c r="H2260" t="str">
        <f t="shared" si="43"/>
        <v>SOCIAL SECURITY TAXES</v>
      </c>
    </row>
    <row r="2261" spans="5:8" x14ac:dyDescent="0.25">
      <c r="E2261" t="str">
        <f>""</f>
        <v/>
      </c>
      <c r="F2261" t="str">
        <f>""</f>
        <v/>
      </c>
      <c r="G2261" s="3">
        <v>305.39</v>
      </c>
      <c r="H2261" t="str">
        <f t="shared" si="43"/>
        <v>SOCIAL SECURITY TAXES</v>
      </c>
    </row>
    <row r="2262" spans="5:8" x14ac:dyDescent="0.25">
      <c r="E2262" t="str">
        <f>""</f>
        <v/>
      </c>
      <c r="F2262" t="str">
        <f>""</f>
        <v/>
      </c>
      <c r="G2262" s="3">
        <v>115.36</v>
      </c>
      <c r="H2262" t="str">
        <f t="shared" si="43"/>
        <v>SOCIAL SECURITY TAXES</v>
      </c>
    </row>
    <row r="2263" spans="5:8" x14ac:dyDescent="0.25">
      <c r="E2263" t="str">
        <f>""</f>
        <v/>
      </c>
      <c r="F2263" t="str">
        <f>""</f>
        <v/>
      </c>
      <c r="G2263" s="3">
        <v>348.74</v>
      </c>
      <c r="H2263" t="str">
        <f t="shared" si="43"/>
        <v>SOCIAL SECURITY TAXES</v>
      </c>
    </row>
    <row r="2264" spans="5:8" x14ac:dyDescent="0.25">
      <c r="E2264" t="str">
        <f>""</f>
        <v/>
      </c>
      <c r="F2264" t="str">
        <f>""</f>
        <v/>
      </c>
      <c r="G2264" s="3">
        <v>292.98</v>
      </c>
      <c r="H2264" t="str">
        <f t="shared" si="43"/>
        <v>SOCIAL SECURITY TAXES</v>
      </c>
    </row>
    <row r="2265" spans="5:8" x14ac:dyDescent="0.25">
      <c r="E2265" t="str">
        <f>""</f>
        <v/>
      </c>
      <c r="F2265" t="str">
        <f>""</f>
        <v/>
      </c>
      <c r="G2265" s="3">
        <v>109.06</v>
      </c>
      <c r="H2265" t="str">
        <f t="shared" si="43"/>
        <v>SOCIAL SECURITY TAXES</v>
      </c>
    </row>
    <row r="2266" spans="5:8" x14ac:dyDescent="0.25">
      <c r="E2266" t="str">
        <f>""</f>
        <v/>
      </c>
      <c r="F2266" t="str">
        <f>""</f>
        <v/>
      </c>
      <c r="G2266" s="3">
        <v>1457.26</v>
      </c>
      <c r="H2266" t="str">
        <f t="shared" si="43"/>
        <v>SOCIAL SECURITY TAXES</v>
      </c>
    </row>
    <row r="2267" spans="5:8" x14ac:dyDescent="0.25">
      <c r="E2267" t="str">
        <f>""</f>
        <v/>
      </c>
      <c r="F2267" t="str">
        <f>""</f>
        <v/>
      </c>
      <c r="G2267" s="3">
        <v>1716.14</v>
      </c>
      <c r="H2267" t="str">
        <f t="shared" si="43"/>
        <v>SOCIAL SECURITY TAXES</v>
      </c>
    </row>
    <row r="2268" spans="5:8" x14ac:dyDescent="0.25">
      <c r="E2268" t="str">
        <f>""</f>
        <v/>
      </c>
      <c r="F2268" t="str">
        <f>""</f>
        <v/>
      </c>
      <c r="G2268" s="3">
        <v>1649.43</v>
      </c>
      <c r="H2268" t="str">
        <f t="shared" si="43"/>
        <v>SOCIAL SECURITY TAXES</v>
      </c>
    </row>
    <row r="2269" spans="5:8" x14ac:dyDescent="0.25">
      <c r="E2269" t="str">
        <f>""</f>
        <v/>
      </c>
      <c r="F2269" t="str">
        <f>""</f>
        <v/>
      </c>
      <c r="G2269" s="3">
        <v>1874.19</v>
      </c>
      <c r="H2269" t="str">
        <f t="shared" si="43"/>
        <v>SOCIAL SECURITY TAXES</v>
      </c>
    </row>
    <row r="2270" spans="5:8" x14ac:dyDescent="0.25">
      <c r="E2270" t="str">
        <f>""</f>
        <v/>
      </c>
      <c r="F2270" t="str">
        <f>""</f>
        <v/>
      </c>
      <c r="G2270" s="3">
        <v>205.13</v>
      </c>
      <c r="H2270" t="str">
        <f t="shared" si="43"/>
        <v>SOCIAL SECURITY TAXES</v>
      </c>
    </row>
    <row r="2271" spans="5:8" x14ac:dyDescent="0.25">
      <c r="E2271" t="str">
        <f>""</f>
        <v/>
      </c>
      <c r="F2271" t="str">
        <f>""</f>
        <v/>
      </c>
      <c r="G2271" s="3">
        <v>224.55</v>
      </c>
      <c r="H2271" t="str">
        <f t="shared" si="43"/>
        <v>SOCIAL SECURITY TAXES</v>
      </c>
    </row>
    <row r="2272" spans="5:8" x14ac:dyDescent="0.25">
      <c r="E2272" t="str">
        <f>""</f>
        <v/>
      </c>
      <c r="F2272" t="str">
        <f>""</f>
        <v/>
      </c>
      <c r="G2272" s="3">
        <v>14.46</v>
      </c>
      <c r="H2272" t="str">
        <f t="shared" si="43"/>
        <v>SOCIAL SECURITY TAXES</v>
      </c>
    </row>
    <row r="2273" spans="5:8" x14ac:dyDescent="0.25">
      <c r="E2273" t="str">
        <f>""</f>
        <v/>
      </c>
      <c r="F2273" t="str">
        <f>""</f>
        <v/>
      </c>
      <c r="G2273" s="3">
        <v>27.72</v>
      </c>
      <c r="H2273" t="str">
        <f t="shared" si="43"/>
        <v>SOCIAL SECURITY TAXES</v>
      </c>
    </row>
    <row r="2274" spans="5:8" x14ac:dyDescent="0.25">
      <c r="E2274" t="str">
        <f>""</f>
        <v/>
      </c>
      <c r="F2274" t="str">
        <f>""</f>
        <v/>
      </c>
      <c r="G2274" s="3">
        <v>15.07</v>
      </c>
      <c r="H2274" t="str">
        <f t="shared" si="43"/>
        <v>SOCIAL SECURITY TAXES</v>
      </c>
    </row>
    <row r="2275" spans="5:8" x14ac:dyDescent="0.25">
      <c r="E2275" t="str">
        <f>""</f>
        <v/>
      </c>
      <c r="F2275" t="str">
        <f>""</f>
        <v/>
      </c>
      <c r="G2275" s="3">
        <v>20.23</v>
      </c>
      <c r="H2275" t="str">
        <f t="shared" si="43"/>
        <v>SOCIAL SECURITY TAXES</v>
      </c>
    </row>
    <row r="2276" spans="5:8" x14ac:dyDescent="0.25">
      <c r="E2276" t="str">
        <f>""</f>
        <v/>
      </c>
      <c r="F2276" t="str">
        <f>""</f>
        <v/>
      </c>
      <c r="G2276" s="3">
        <v>370.13</v>
      </c>
      <c r="H2276" t="str">
        <f t="shared" si="43"/>
        <v>SOCIAL SECURITY TAXES</v>
      </c>
    </row>
    <row r="2277" spans="5:8" x14ac:dyDescent="0.25">
      <c r="E2277" t="str">
        <f>""</f>
        <v/>
      </c>
      <c r="F2277" t="str">
        <f>""</f>
        <v/>
      </c>
      <c r="G2277" s="3">
        <v>60275.56</v>
      </c>
      <c r="H2277" t="str">
        <f t="shared" si="43"/>
        <v>SOCIAL SECURITY TAXES</v>
      </c>
    </row>
    <row r="2278" spans="5:8" x14ac:dyDescent="0.25">
      <c r="E2278" t="str">
        <f>"T3 202109155692"</f>
        <v>T3 202109155692</v>
      </c>
      <c r="F2278" t="str">
        <f>"SOCIAL SECURITY TAXES"</f>
        <v>SOCIAL SECURITY TAXES</v>
      </c>
      <c r="G2278" s="3">
        <v>2024.42</v>
      </c>
      <c r="H2278" t="str">
        <f t="shared" si="43"/>
        <v>SOCIAL SECURITY TAXES</v>
      </c>
    </row>
    <row r="2279" spans="5:8" x14ac:dyDescent="0.25">
      <c r="E2279" t="str">
        <f>""</f>
        <v/>
      </c>
      <c r="F2279" t="str">
        <f>""</f>
        <v/>
      </c>
      <c r="G2279" s="3">
        <v>2024.42</v>
      </c>
      <c r="H2279" t="str">
        <f t="shared" si="43"/>
        <v>SOCIAL SECURITY TAXES</v>
      </c>
    </row>
    <row r="2280" spans="5:8" x14ac:dyDescent="0.25">
      <c r="E2280" t="str">
        <f>"T3 202109155693"</f>
        <v>T3 202109155693</v>
      </c>
      <c r="F2280" t="str">
        <f>"SOCIAL SECURITY TAXES"</f>
        <v>SOCIAL SECURITY TAXES</v>
      </c>
      <c r="G2280" s="3">
        <v>2264.12</v>
      </c>
      <c r="H2280" t="str">
        <f t="shared" si="43"/>
        <v>SOCIAL SECURITY TAXES</v>
      </c>
    </row>
    <row r="2281" spans="5:8" x14ac:dyDescent="0.25">
      <c r="E2281" t="str">
        <f>""</f>
        <v/>
      </c>
      <c r="F2281" t="str">
        <f>""</f>
        <v/>
      </c>
      <c r="G2281" s="3">
        <v>2264.12</v>
      </c>
      <c r="H2281" t="str">
        <f t="shared" si="43"/>
        <v>SOCIAL SECURITY TAXES</v>
      </c>
    </row>
    <row r="2282" spans="5:8" x14ac:dyDescent="0.25">
      <c r="E2282" t="str">
        <f>"T4 202109155691"</f>
        <v>T4 202109155691</v>
      </c>
      <c r="F2282" t="str">
        <f>"MEDICARE TAXES"</f>
        <v>MEDICARE TAXES</v>
      </c>
      <c r="G2282" s="3">
        <v>121.24</v>
      </c>
      <c r="H2282" t="str">
        <f t="shared" ref="H2282:H2338" si="44">"MEDICARE TAXES"</f>
        <v>MEDICARE TAXES</v>
      </c>
    </row>
    <row r="2283" spans="5:8" x14ac:dyDescent="0.25">
      <c r="E2283" t="str">
        <f>""</f>
        <v/>
      </c>
      <c r="F2283" t="str">
        <f>""</f>
        <v/>
      </c>
      <c r="G2283" s="3">
        <v>87.53</v>
      </c>
      <c r="H2283" t="str">
        <f t="shared" si="44"/>
        <v>MEDICARE TAXES</v>
      </c>
    </row>
    <row r="2284" spans="5:8" x14ac:dyDescent="0.25">
      <c r="E2284" t="str">
        <f>""</f>
        <v/>
      </c>
      <c r="F2284" t="str">
        <f>""</f>
        <v/>
      </c>
      <c r="G2284" s="3">
        <v>219.58</v>
      </c>
      <c r="H2284" t="str">
        <f t="shared" si="44"/>
        <v>MEDICARE TAXES</v>
      </c>
    </row>
    <row r="2285" spans="5:8" x14ac:dyDescent="0.25">
      <c r="E2285" t="str">
        <f>""</f>
        <v/>
      </c>
      <c r="F2285" t="str">
        <f>""</f>
        <v/>
      </c>
      <c r="G2285" s="3">
        <v>94.29</v>
      </c>
      <c r="H2285" t="str">
        <f t="shared" si="44"/>
        <v>MEDICARE TAXES</v>
      </c>
    </row>
    <row r="2286" spans="5:8" x14ac:dyDescent="0.25">
      <c r="E2286" t="str">
        <f>""</f>
        <v/>
      </c>
      <c r="F2286" t="str">
        <f>""</f>
        <v/>
      </c>
      <c r="G2286" s="3">
        <v>41.88</v>
      </c>
      <c r="H2286" t="str">
        <f t="shared" si="44"/>
        <v>MEDICARE TAXES</v>
      </c>
    </row>
    <row r="2287" spans="5:8" x14ac:dyDescent="0.25">
      <c r="E2287" t="str">
        <f>""</f>
        <v/>
      </c>
      <c r="F2287" t="str">
        <f>""</f>
        <v/>
      </c>
      <c r="G2287" s="3">
        <v>184.89</v>
      </c>
      <c r="H2287" t="str">
        <f t="shared" si="44"/>
        <v>MEDICARE TAXES</v>
      </c>
    </row>
    <row r="2288" spans="5:8" x14ac:dyDescent="0.25">
      <c r="E2288" t="str">
        <f>""</f>
        <v/>
      </c>
      <c r="F2288" t="str">
        <f>""</f>
        <v/>
      </c>
      <c r="G2288" s="3">
        <v>604.54999999999995</v>
      </c>
      <c r="H2288" t="str">
        <f t="shared" si="44"/>
        <v>MEDICARE TAXES</v>
      </c>
    </row>
    <row r="2289" spans="5:8" x14ac:dyDescent="0.25">
      <c r="E2289" t="str">
        <f>""</f>
        <v/>
      </c>
      <c r="F2289" t="str">
        <f>""</f>
        <v/>
      </c>
      <c r="G2289" s="3">
        <v>22.46</v>
      </c>
      <c r="H2289" t="str">
        <f t="shared" si="44"/>
        <v>MEDICARE TAXES</v>
      </c>
    </row>
    <row r="2290" spans="5:8" x14ac:dyDescent="0.25">
      <c r="E2290" t="str">
        <f>""</f>
        <v/>
      </c>
      <c r="F2290" t="str">
        <f>""</f>
        <v/>
      </c>
      <c r="G2290" s="3">
        <v>202.42</v>
      </c>
      <c r="H2290" t="str">
        <f t="shared" si="44"/>
        <v>MEDICARE TAXES</v>
      </c>
    </row>
    <row r="2291" spans="5:8" x14ac:dyDescent="0.25">
      <c r="E2291" t="str">
        <f>""</f>
        <v/>
      </c>
      <c r="F2291" t="str">
        <f>""</f>
        <v/>
      </c>
      <c r="G2291" s="3">
        <v>189.26</v>
      </c>
      <c r="H2291" t="str">
        <f t="shared" si="44"/>
        <v>MEDICARE TAXES</v>
      </c>
    </row>
    <row r="2292" spans="5:8" x14ac:dyDescent="0.25">
      <c r="E2292" t="str">
        <f>""</f>
        <v/>
      </c>
      <c r="F2292" t="str">
        <f>""</f>
        <v/>
      </c>
      <c r="G2292" s="3">
        <v>338.81</v>
      </c>
      <c r="H2292" t="str">
        <f t="shared" si="44"/>
        <v>MEDICARE TAXES</v>
      </c>
    </row>
    <row r="2293" spans="5:8" x14ac:dyDescent="0.25">
      <c r="E2293" t="str">
        <f>""</f>
        <v/>
      </c>
      <c r="F2293" t="str">
        <f>""</f>
        <v/>
      </c>
      <c r="G2293" s="3">
        <v>103.71</v>
      </c>
      <c r="H2293" t="str">
        <f t="shared" si="44"/>
        <v>MEDICARE TAXES</v>
      </c>
    </row>
    <row r="2294" spans="5:8" x14ac:dyDescent="0.25">
      <c r="E2294" t="str">
        <f>""</f>
        <v/>
      </c>
      <c r="F2294" t="str">
        <f>""</f>
        <v/>
      </c>
      <c r="G2294" s="3">
        <v>83.8</v>
      </c>
      <c r="H2294" t="str">
        <f t="shared" si="44"/>
        <v>MEDICARE TAXES</v>
      </c>
    </row>
    <row r="2295" spans="5:8" x14ac:dyDescent="0.25">
      <c r="E2295" t="str">
        <f>""</f>
        <v/>
      </c>
      <c r="F2295" t="str">
        <f>""</f>
        <v/>
      </c>
      <c r="G2295" s="3">
        <v>86.53</v>
      </c>
      <c r="H2295" t="str">
        <f t="shared" si="44"/>
        <v>MEDICARE TAXES</v>
      </c>
    </row>
    <row r="2296" spans="5:8" x14ac:dyDescent="0.25">
      <c r="E2296" t="str">
        <f>""</f>
        <v/>
      </c>
      <c r="F2296" t="str">
        <f>""</f>
        <v/>
      </c>
      <c r="G2296" s="3">
        <v>93.1</v>
      </c>
      <c r="H2296" t="str">
        <f t="shared" si="44"/>
        <v>MEDICARE TAXES</v>
      </c>
    </row>
    <row r="2297" spans="5:8" x14ac:dyDescent="0.25">
      <c r="E2297" t="str">
        <f>""</f>
        <v/>
      </c>
      <c r="F2297" t="str">
        <f>""</f>
        <v/>
      </c>
      <c r="G2297" s="3">
        <v>51.19</v>
      </c>
      <c r="H2297" t="str">
        <f t="shared" si="44"/>
        <v>MEDICARE TAXES</v>
      </c>
    </row>
    <row r="2298" spans="5:8" x14ac:dyDescent="0.25">
      <c r="E2298" t="str">
        <f>""</f>
        <v/>
      </c>
      <c r="F2298" t="str">
        <f>""</f>
        <v/>
      </c>
      <c r="G2298" s="3">
        <v>607.61</v>
      </c>
      <c r="H2298" t="str">
        <f t="shared" si="44"/>
        <v>MEDICARE TAXES</v>
      </c>
    </row>
    <row r="2299" spans="5:8" x14ac:dyDescent="0.25">
      <c r="E2299" t="str">
        <f>""</f>
        <v/>
      </c>
      <c r="F2299" t="str">
        <f>""</f>
        <v/>
      </c>
      <c r="G2299" s="3">
        <v>234.48</v>
      </c>
      <c r="H2299" t="str">
        <f t="shared" si="44"/>
        <v>MEDICARE TAXES</v>
      </c>
    </row>
    <row r="2300" spans="5:8" x14ac:dyDescent="0.25">
      <c r="E2300" t="str">
        <f>""</f>
        <v/>
      </c>
      <c r="F2300" t="str">
        <f>""</f>
        <v/>
      </c>
      <c r="G2300" s="3">
        <v>113.79</v>
      </c>
      <c r="H2300" t="str">
        <f t="shared" si="44"/>
        <v>MEDICARE TAXES</v>
      </c>
    </row>
    <row r="2301" spans="5:8" x14ac:dyDescent="0.25">
      <c r="E2301" t="str">
        <f>""</f>
        <v/>
      </c>
      <c r="F2301" t="str">
        <f>""</f>
        <v/>
      </c>
      <c r="G2301" s="3">
        <v>112.46</v>
      </c>
      <c r="H2301" t="str">
        <f t="shared" si="44"/>
        <v>MEDICARE TAXES</v>
      </c>
    </row>
    <row r="2302" spans="5:8" x14ac:dyDescent="0.25">
      <c r="E2302" t="str">
        <f>""</f>
        <v/>
      </c>
      <c r="F2302" t="str">
        <f>""</f>
        <v/>
      </c>
      <c r="G2302" s="3">
        <v>303.8</v>
      </c>
      <c r="H2302" t="str">
        <f t="shared" si="44"/>
        <v>MEDICARE TAXES</v>
      </c>
    </row>
    <row r="2303" spans="5:8" x14ac:dyDescent="0.25">
      <c r="E2303" t="str">
        <f>""</f>
        <v/>
      </c>
      <c r="F2303" t="str">
        <f>""</f>
        <v/>
      </c>
      <c r="G2303" s="3">
        <v>164.77</v>
      </c>
      <c r="H2303" t="str">
        <f t="shared" si="44"/>
        <v>MEDICARE TAXES</v>
      </c>
    </row>
    <row r="2304" spans="5:8" x14ac:dyDescent="0.25">
      <c r="E2304" t="str">
        <f>""</f>
        <v/>
      </c>
      <c r="F2304" t="str">
        <f>""</f>
        <v/>
      </c>
      <c r="G2304" s="3">
        <v>404.99</v>
      </c>
      <c r="H2304" t="str">
        <f t="shared" si="44"/>
        <v>MEDICARE TAXES</v>
      </c>
    </row>
    <row r="2305" spans="5:8" x14ac:dyDescent="0.25">
      <c r="E2305" t="str">
        <f>""</f>
        <v/>
      </c>
      <c r="F2305" t="str">
        <f>""</f>
        <v/>
      </c>
      <c r="G2305" s="3">
        <v>277.02999999999997</v>
      </c>
      <c r="H2305" t="str">
        <f t="shared" si="44"/>
        <v>MEDICARE TAXES</v>
      </c>
    </row>
    <row r="2306" spans="5:8" x14ac:dyDescent="0.25">
      <c r="E2306" t="str">
        <f>""</f>
        <v/>
      </c>
      <c r="F2306" t="str">
        <f>""</f>
        <v/>
      </c>
      <c r="G2306" s="3">
        <v>579.28</v>
      </c>
      <c r="H2306" t="str">
        <f t="shared" si="44"/>
        <v>MEDICARE TAXES</v>
      </c>
    </row>
    <row r="2307" spans="5:8" x14ac:dyDescent="0.25">
      <c r="E2307" t="str">
        <f>""</f>
        <v/>
      </c>
      <c r="F2307" t="str">
        <f>""</f>
        <v/>
      </c>
      <c r="G2307" s="3">
        <v>28.48</v>
      </c>
      <c r="H2307" t="str">
        <f t="shared" si="44"/>
        <v>MEDICARE TAXES</v>
      </c>
    </row>
    <row r="2308" spans="5:8" x14ac:dyDescent="0.25">
      <c r="E2308" t="str">
        <f>""</f>
        <v/>
      </c>
      <c r="F2308" t="str">
        <f>""</f>
        <v/>
      </c>
      <c r="G2308" s="3">
        <v>31.23</v>
      </c>
      <c r="H2308" t="str">
        <f t="shared" si="44"/>
        <v>MEDICARE TAXES</v>
      </c>
    </row>
    <row r="2309" spans="5:8" x14ac:dyDescent="0.25">
      <c r="E2309" t="str">
        <f>""</f>
        <v/>
      </c>
      <c r="F2309" t="str">
        <f>""</f>
        <v/>
      </c>
      <c r="G2309" s="3">
        <v>29.6</v>
      </c>
      <c r="H2309" t="str">
        <f t="shared" si="44"/>
        <v>MEDICARE TAXES</v>
      </c>
    </row>
    <row r="2310" spans="5:8" x14ac:dyDescent="0.25">
      <c r="E2310" t="str">
        <f>""</f>
        <v/>
      </c>
      <c r="F2310" t="str">
        <f>""</f>
        <v/>
      </c>
      <c r="G2310" s="3">
        <v>28.85</v>
      </c>
      <c r="H2310" t="str">
        <f t="shared" si="44"/>
        <v>MEDICARE TAXES</v>
      </c>
    </row>
    <row r="2311" spans="5:8" x14ac:dyDescent="0.25">
      <c r="E2311" t="str">
        <f>""</f>
        <v/>
      </c>
      <c r="F2311" t="str">
        <f>""</f>
        <v/>
      </c>
      <c r="G2311" s="3">
        <v>3125.68</v>
      </c>
      <c r="H2311" t="str">
        <f t="shared" si="44"/>
        <v>MEDICARE TAXES</v>
      </c>
    </row>
    <row r="2312" spans="5:8" x14ac:dyDescent="0.25">
      <c r="E2312" t="str">
        <f>""</f>
        <v/>
      </c>
      <c r="F2312" t="str">
        <f>""</f>
        <v/>
      </c>
      <c r="G2312" s="3">
        <v>139.28</v>
      </c>
      <c r="H2312" t="str">
        <f t="shared" si="44"/>
        <v>MEDICARE TAXES</v>
      </c>
    </row>
    <row r="2313" spans="5:8" x14ac:dyDescent="0.25">
      <c r="E2313" t="str">
        <f>""</f>
        <v/>
      </c>
      <c r="F2313" t="str">
        <f>""</f>
        <v/>
      </c>
      <c r="G2313" s="3">
        <v>2850.44</v>
      </c>
      <c r="H2313" t="str">
        <f t="shared" si="44"/>
        <v>MEDICARE TAXES</v>
      </c>
    </row>
    <row r="2314" spans="5:8" x14ac:dyDescent="0.25">
      <c r="E2314" t="str">
        <f>""</f>
        <v/>
      </c>
      <c r="F2314" t="str">
        <f>""</f>
        <v/>
      </c>
      <c r="G2314" s="3">
        <v>380.24</v>
      </c>
      <c r="H2314" t="str">
        <f t="shared" si="44"/>
        <v>MEDICARE TAXES</v>
      </c>
    </row>
    <row r="2315" spans="5:8" x14ac:dyDescent="0.25">
      <c r="E2315" t="str">
        <f>""</f>
        <v/>
      </c>
      <c r="F2315" t="str">
        <f>""</f>
        <v/>
      </c>
      <c r="G2315" s="3">
        <v>27.83</v>
      </c>
      <c r="H2315" t="str">
        <f t="shared" si="44"/>
        <v>MEDICARE TAXES</v>
      </c>
    </row>
    <row r="2316" spans="5:8" x14ac:dyDescent="0.25">
      <c r="E2316" t="str">
        <f>""</f>
        <v/>
      </c>
      <c r="F2316" t="str">
        <f>""</f>
        <v/>
      </c>
      <c r="G2316" s="3">
        <v>78.489999999999995</v>
      </c>
      <c r="H2316" t="str">
        <f t="shared" si="44"/>
        <v>MEDICARE TAXES</v>
      </c>
    </row>
    <row r="2317" spans="5:8" x14ac:dyDescent="0.25">
      <c r="E2317" t="str">
        <f>""</f>
        <v/>
      </c>
      <c r="F2317" t="str">
        <f>""</f>
        <v/>
      </c>
      <c r="G2317" s="3">
        <v>7.81</v>
      </c>
      <c r="H2317" t="str">
        <f t="shared" si="44"/>
        <v>MEDICARE TAXES</v>
      </c>
    </row>
    <row r="2318" spans="5:8" x14ac:dyDescent="0.25">
      <c r="E2318" t="str">
        <f>""</f>
        <v/>
      </c>
      <c r="F2318" t="str">
        <f>""</f>
        <v/>
      </c>
      <c r="G2318" s="3">
        <v>71.42</v>
      </c>
      <c r="H2318" t="str">
        <f t="shared" si="44"/>
        <v>MEDICARE TAXES</v>
      </c>
    </row>
    <row r="2319" spans="5:8" x14ac:dyDescent="0.25">
      <c r="E2319" t="str">
        <f>""</f>
        <v/>
      </c>
      <c r="F2319" t="str">
        <f>""</f>
        <v/>
      </c>
      <c r="G2319" s="3">
        <v>26.98</v>
      </c>
      <c r="H2319" t="str">
        <f t="shared" si="44"/>
        <v>MEDICARE TAXES</v>
      </c>
    </row>
    <row r="2320" spans="5:8" x14ac:dyDescent="0.25">
      <c r="E2320" t="str">
        <f>""</f>
        <v/>
      </c>
      <c r="F2320" t="str">
        <f>""</f>
        <v/>
      </c>
      <c r="G2320" s="3">
        <v>81.55</v>
      </c>
      <c r="H2320" t="str">
        <f t="shared" si="44"/>
        <v>MEDICARE TAXES</v>
      </c>
    </row>
    <row r="2321" spans="5:8" x14ac:dyDescent="0.25">
      <c r="E2321" t="str">
        <f>""</f>
        <v/>
      </c>
      <c r="F2321" t="str">
        <f>""</f>
        <v/>
      </c>
      <c r="G2321" s="3">
        <v>68.52</v>
      </c>
      <c r="H2321" t="str">
        <f t="shared" si="44"/>
        <v>MEDICARE TAXES</v>
      </c>
    </row>
    <row r="2322" spans="5:8" x14ac:dyDescent="0.25">
      <c r="E2322" t="str">
        <f>""</f>
        <v/>
      </c>
      <c r="F2322" t="str">
        <f>""</f>
        <v/>
      </c>
      <c r="G2322" s="3">
        <v>25.5</v>
      </c>
      <c r="H2322" t="str">
        <f t="shared" si="44"/>
        <v>MEDICARE TAXES</v>
      </c>
    </row>
    <row r="2323" spans="5:8" x14ac:dyDescent="0.25">
      <c r="E2323" t="str">
        <f>""</f>
        <v/>
      </c>
      <c r="F2323" t="str">
        <f>""</f>
        <v/>
      </c>
      <c r="G2323" s="3">
        <v>340.81</v>
      </c>
      <c r="H2323" t="str">
        <f t="shared" si="44"/>
        <v>MEDICARE TAXES</v>
      </c>
    </row>
    <row r="2324" spans="5:8" x14ac:dyDescent="0.25">
      <c r="E2324" t="str">
        <f>""</f>
        <v/>
      </c>
      <c r="F2324" t="str">
        <f>""</f>
        <v/>
      </c>
      <c r="G2324" s="3">
        <v>401.36</v>
      </c>
      <c r="H2324" t="str">
        <f t="shared" si="44"/>
        <v>MEDICARE TAXES</v>
      </c>
    </row>
    <row r="2325" spans="5:8" x14ac:dyDescent="0.25">
      <c r="E2325" t="str">
        <f>""</f>
        <v/>
      </c>
      <c r="F2325" t="str">
        <f>""</f>
        <v/>
      </c>
      <c r="G2325" s="3">
        <v>385.75</v>
      </c>
      <c r="H2325" t="str">
        <f t="shared" si="44"/>
        <v>MEDICARE TAXES</v>
      </c>
    </row>
    <row r="2326" spans="5:8" x14ac:dyDescent="0.25">
      <c r="E2326" t="str">
        <f>""</f>
        <v/>
      </c>
      <c r="F2326" t="str">
        <f>""</f>
        <v/>
      </c>
      <c r="G2326" s="3">
        <v>438.3</v>
      </c>
      <c r="H2326" t="str">
        <f t="shared" si="44"/>
        <v>MEDICARE TAXES</v>
      </c>
    </row>
    <row r="2327" spans="5:8" x14ac:dyDescent="0.25">
      <c r="E2327" t="str">
        <f>""</f>
        <v/>
      </c>
      <c r="F2327" t="str">
        <f>""</f>
        <v/>
      </c>
      <c r="G2327" s="3">
        <v>47.97</v>
      </c>
      <c r="H2327" t="str">
        <f t="shared" si="44"/>
        <v>MEDICARE TAXES</v>
      </c>
    </row>
    <row r="2328" spans="5:8" x14ac:dyDescent="0.25">
      <c r="E2328" t="str">
        <f>""</f>
        <v/>
      </c>
      <c r="F2328" t="str">
        <f>""</f>
        <v/>
      </c>
      <c r="G2328" s="3">
        <v>52.52</v>
      </c>
      <c r="H2328" t="str">
        <f t="shared" si="44"/>
        <v>MEDICARE TAXES</v>
      </c>
    </row>
    <row r="2329" spans="5:8" x14ac:dyDescent="0.25">
      <c r="E2329" t="str">
        <f>""</f>
        <v/>
      </c>
      <c r="F2329" t="str">
        <f>""</f>
        <v/>
      </c>
      <c r="G2329" s="3">
        <v>3.38</v>
      </c>
      <c r="H2329" t="str">
        <f t="shared" si="44"/>
        <v>MEDICARE TAXES</v>
      </c>
    </row>
    <row r="2330" spans="5:8" x14ac:dyDescent="0.25">
      <c r="E2330" t="str">
        <f>""</f>
        <v/>
      </c>
      <c r="F2330" t="str">
        <f>""</f>
        <v/>
      </c>
      <c r="G2330" s="3">
        <v>6.48</v>
      </c>
      <c r="H2330" t="str">
        <f t="shared" si="44"/>
        <v>MEDICARE TAXES</v>
      </c>
    </row>
    <row r="2331" spans="5:8" x14ac:dyDescent="0.25">
      <c r="E2331" t="str">
        <f>""</f>
        <v/>
      </c>
      <c r="F2331" t="str">
        <f>""</f>
        <v/>
      </c>
      <c r="G2331" s="3">
        <v>3.53</v>
      </c>
      <c r="H2331" t="str">
        <f t="shared" si="44"/>
        <v>MEDICARE TAXES</v>
      </c>
    </row>
    <row r="2332" spans="5:8" x14ac:dyDescent="0.25">
      <c r="E2332" t="str">
        <f>""</f>
        <v/>
      </c>
      <c r="F2332" t="str">
        <f>""</f>
        <v/>
      </c>
      <c r="G2332" s="3">
        <v>4.74</v>
      </c>
      <c r="H2332" t="str">
        <f t="shared" si="44"/>
        <v>MEDICARE TAXES</v>
      </c>
    </row>
    <row r="2333" spans="5:8" x14ac:dyDescent="0.25">
      <c r="E2333" t="str">
        <f>""</f>
        <v/>
      </c>
      <c r="F2333" t="str">
        <f>""</f>
        <v/>
      </c>
      <c r="G2333" s="3">
        <v>86.57</v>
      </c>
      <c r="H2333" t="str">
        <f t="shared" si="44"/>
        <v>MEDICARE TAXES</v>
      </c>
    </row>
    <row r="2334" spans="5:8" x14ac:dyDescent="0.25">
      <c r="E2334" t="str">
        <f>""</f>
        <v/>
      </c>
      <c r="F2334" t="str">
        <f>""</f>
        <v/>
      </c>
      <c r="G2334" s="3">
        <v>14096.76</v>
      </c>
      <c r="H2334" t="str">
        <f t="shared" si="44"/>
        <v>MEDICARE TAXES</v>
      </c>
    </row>
    <row r="2335" spans="5:8" x14ac:dyDescent="0.25">
      <c r="E2335" t="str">
        <f>"T4 202109155692"</f>
        <v>T4 202109155692</v>
      </c>
      <c r="F2335" t="str">
        <f>"MEDICARE TAXES"</f>
        <v>MEDICARE TAXES</v>
      </c>
      <c r="G2335" s="3">
        <v>473.45</v>
      </c>
      <c r="H2335" t="str">
        <f t="shared" si="44"/>
        <v>MEDICARE TAXES</v>
      </c>
    </row>
    <row r="2336" spans="5:8" x14ac:dyDescent="0.25">
      <c r="E2336" t="str">
        <f>""</f>
        <v/>
      </c>
      <c r="F2336" t="str">
        <f>""</f>
        <v/>
      </c>
      <c r="G2336" s="3">
        <v>473.45</v>
      </c>
      <c r="H2336" t="str">
        <f t="shared" si="44"/>
        <v>MEDICARE TAXES</v>
      </c>
    </row>
    <row r="2337" spans="1:8" x14ac:dyDescent="0.25">
      <c r="E2337" t="str">
        <f>"T4 202109155693"</f>
        <v>T4 202109155693</v>
      </c>
      <c r="F2337" t="str">
        <f>"MEDICARE TAXES"</f>
        <v>MEDICARE TAXES</v>
      </c>
      <c r="G2337" s="3">
        <v>529.52</v>
      </c>
      <c r="H2337" t="str">
        <f t="shared" si="44"/>
        <v>MEDICARE TAXES</v>
      </c>
    </row>
    <row r="2338" spans="1:8" x14ac:dyDescent="0.25">
      <c r="E2338" t="str">
        <f>""</f>
        <v/>
      </c>
      <c r="F2338" t="str">
        <f>""</f>
        <v/>
      </c>
      <c r="G2338" s="3">
        <v>529.52</v>
      </c>
      <c r="H2338" t="str">
        <f t="shared" si="44"/>
        <v>MEDICARE TAXES</v>
      </c>
    </row>
    <row r="2339" spans="1:8" x14ac:dyDescent="0.25">
      <c r="A2339" t="s">
        <v>410</v>
      </c>
      <c r="B2339">
        <v>1332</v>
      </c>
      <c r="C2339" s="3">
        <v>5017.93</v>
      </c>
      <c r="D2339" s="4">
        <v>44459</v>
      </c>
      <c r="E2339" t="str">
        <f>"T1 202109155727"</f>
        <v>T1 202109155727</v>
      </c>
      <c r="F2339" t="str">
        <f>"FEDERAL WITHHOLDING"</f>
        <v>FEDERAL WITHHOLDING</v>
      </c>
      <c r="G2339" s="3">
        <v>1540.15</v>
      </c>
      <c r="H2339" t="str">
        <f>"FEDERAL WITHHOLDING"</f>
        <v>FEDERAL WITHHOLDING</v>
      </c>
    </row>
    <row r="2340" spans="1:8" x14ac:dyDescent="0.25">
      <c r="E2340" t="str">
        <f>"T3 202109155727"</f>
        <v>T3 202109155727</v>
      </c>
      <c r="F2340" t="str">
        <f>"SOCIAL SECURITY TAXES"</f>
        <v>SOCIAL SECURITY TAXES</v>
      </c>
      <c r="G2340" s="3">
        <v>1409.31</v>
      </c>
      <c r="H2340" t="str">
        <f>"SOCIAL SECURITY TAXES"</f>
        <v>SOCIAL SECURITY TAXES</v>
      </c>
    </row>
    <row r="2341" spans="1:8" x14ac:dyDescent="0.25">
      <c r="E2341" t="str">
        <f>""</f>
        <v/>
      </c>
      <c r="F2341" t="str">
        <f>""</f>
        <v/>
      </c>
      <c r="G2341" s="3">
        <v>1409.31</v>
      </c>
      <c r="H2341" t="str">
        <f>"SOCIAL SECURITY TAXES"</f>
        <v>SOCIAL SECURITY TAXES</v>
      </c>
    </row>
    <row r="2342" spans="1:8" x14ac:dyDescent="0.25">
      <c r="E2342" t="str">
        <f>"T4 202109155727"</f>
        <v>T4 202109155727</v>
      </c>
      <c r="F2342" t="str">
        <f>"MEDICARE TAXES"</f>
        <v>MEDICARE TAXES</v>
      </c>
      <c r="G2342" s="3">
        <v>329.58</v>
      </c>
      <c r="H2342" t="str">
        <f>"MEDICARE TAXES"</f>
        <v>MEDICARE TAXES</v>
      </c>
    </row>
    <row r="2343" spans="1:8" x14ac:dyDescent="0.25">
      <c r="E2343" t="str">
        <f>""</f>
        <v/>
      </c>
      <c r="F2343" t="str">
        <f>""</f>
        <v/>
      </c>
      <c r="G2343" s="3">
        <v>329.58</v>
      </c>
      <c r="H2343" t="str">
        <f>"MEDICARE TAXES"</f>
        <v>MEDICARE TAXES</v>
      </c>
    </row>
    <row r="2344" spans="1:8" x14ac:dyDescent="0.25">
      <c r="A2344" t="s">
        <v>410</v>
      </c>
      <c r="B2344">
        <v>1334</v>
      </c>
      <c r="C2344" s="3">
        <v>45937.26</v>
      </c>
      <c r="D2344" s="4">
        <v>44460</v>
      </c>
      <c r="E2344" t="str">
        <f>"T1 202109175774"</f>
        <v>T1 202109175774</v>
      </c>
      <c r="F2344" t="str">
        <f>"FEDERAL WITHHOLDING"</f>
        <v>FEDERAL WITHHOLDING</v>
      </c>
      <c r="G2344" s="3">
        <v>19797.68</v>
      </c>
      <c r="H2344" t="str">
        <f>"FEDERAL WITHHOLDING"</f>
        <v>FEDERAL WITHHOLDING</v>
      </c>
    </row>
    <row r="2345" spans="1:8" x14ac:dyDescent="0.25">
      <c r="E2345" t="str">
        <f>"T3 202109175774"</f>
        <v>T3 202109175774</v>
      </c>
      <c r="F2345" t="str">
        <f>"SOCIAL SECURITY TAXES"</f>
        <v>SOCIAL SECURITY TAXES</v>
      </c>
      <c r="G2345" s="3">
        <v>10592.5</v>
      </c>
      <c r="H2345" t="str">
        <f>"SOCIAL SECURITY TAXES"</f>
        <v>SOCIAL SECURITY TAXES</v>
      </c>
    </row>
    <row r="2346" spans="1:8" x14ac:dyDescent="0.25">
      <c r="E2346" t="str">
        <f>""</f>
        <v/>
      </c>
      <c r="F2346" t="str">
        <f>""</f>
        <v/>
      </c>
      <c r="G2346" s="3">
        <v>10592.5</v>
      </c>
      <c r="H2346" t="str">
        <f>"SOCIAL SECURITY TAXES"</f>
        <v>SOCIAL SECURITY TAXES</v>
      </c>
    </row>
    <row r="2347" spans="1:8" x14ac:dyDescent="0.25">
      <c r="E2347" t="str">
        <f>"T4 202109175774"</f>
        <v>T4 202109175774</v>
      </c>
      <c r="F2347" t="str">
        <f>"MEDICARE TAXES"</f>
        <v>MEDICARE TAXES</v>
      </c>
      <c r="G2347" s="3">
        <v>2477.29</v>
      </c>
      <c r="H2347" t="str">
        <f>"MEDICARE TAXES"</f>
        <v>MEDICARE TAXES</v>
      </c>
    </row>
    <row r="2348" spans="1:8" x14ac:dyDescent="0.25">
      <c r="E2348" t="str">
        <f>""</f>
        <v/>
      </c>
      <c r="F2348" t="str">
        <f>""</f>
        <v/>
      </c>
      <c r="G2348" s="3">
        <v>2477.29</v>
      </c>
      <c r="H2348" t="str">
        <f>"MEDICARE TAXES"</f>
        <v>MEDICARE TAXES</v>
      </c>
    </row>
    <row r="2349" spans="1:8" x14ac:dyDescent="0.25">
      <c r="A2349" t="s">
        <v>411</v>
      </c>
      <c r="B2349">
        <v>48468</v>
      </c>
      <c r="C2349" s="3">
        <v>20</v>
      </c>
      <c r="D2349" s="4">
        <v>44468</v>
      </c>
      <c r="E2349" t="str">
        <f>"202109295918"</f>
        <v>202109295918</v>
      </c>
      <c r="F2349" t="str">
        <f>"RETIREE INS REFUND EOY 2021"</f>
        <v>RETIREE INS REFUND EOY 2021</v>
      </c>
      <c r="G2349" s="3">
        <v>20</v>
      </c>
      <c r="H2349" t="str">
        <f>"RETIREE INS REFUND EOY 2021"</f>
        <v>RETIREE INS REFUND EOY 2021</v>
      </c>
    </row>
    <row r="2350" spans="1:8" x14ac:dyDescent="0.25">
      <c r="A2350" t="s">
        <v>412</v>
      </c>
      <c r="B2350">
        <v>48470</v>
      </c>
      <c r="C2350" s="3">
        <v>77.66</v>
      </c>
      <c r="D2350" s="4">
        <v>44468</v>
      </c>
      <c r="E2350" t="str">
        <f>"202109295915"</f>
        <v>202109295915</v>
      </c>
      <c r="F2350" t="str">
        <f>"RETIREE INS REFUND EOY 2021"</f>
        <v>RETIREE INS REFUND EOY 2021</v>
      </c>
      <c r="G2350" s="3">
        <v>77.66</v>
      </c>
      <c r="H2350" t="str">
        <f>"RETIREE INS REFUND EOY 2021"</f>
        <v>RETIREE INS REFUND EOY 2021</v>
      </c>
    </row>
    <row r="2351" spans="1:8" x14ac:dyDescent="0.25">
      <c r="A2351" t="s">
        <v>413</v>
      </c>
      <c r="B2351">
        <v>48473</v>
      </c>
      <c r="C2351" s="3">
        <v>5.16</v>
      </c>
      <c r="D2351" s="4">
        <v>44468</v>
      </c>
      <c r="E2351" t="str">
        <f>"202109295911"</f>
        <v>202109295911</v>
      </c>
      <c r="F2351" t="str">
        <f>"RETIREE INS REFUND EOY 2021"</f>
        <v>RETIREE INS REFUND EOY 2021</v>
      </c>
      <c r="G2351" s="3">
        <v>5.16</v>
      </c>
      <c r="H2351" t="str">
        <f>"RETIREE INS REFUND EOY 2021"</f>
        <v>RETIREE INS REFUND EOY 2021</v>
      </c>
    </row>
    <row r="2352" spans="1:8" x14ac:dyDescent="0.25">
      <c r="A2352" t="s">
        <v>414</v>
      </c>
      <c r="B2352">
        <v>1341</v>
      </c>
      <c r="C2352" s="3">
        <v>425.32</v>
      </c>
      <c r="D2352" s="4">
        <v>44466</v>
      </c>
      <c r="E2352" t="str">
        <f>"LIX202109015416"</f>
        <v>LIX202109015416</v>
      </c>
      <c r="F2352" t="str">
        <f>"TEXAS LIFE/OLIVO GROUP"</f>
        <v>TEXAS LIFE/OLIVO GROUP</v>
      </c>
      <c r="G2352" s="3">
        <v>212.66</v>
      </c>
      <c r="H2352" t="str">
        <f>"TEXAS LIFE/OLIVO GROUP"</f>
        <v>TEXAS LIFE/OLIVO GROUP</v>
      </c>
    </row>
    <row r="2353" spans="1:8" x14ac:dyDescent="0.25">
      <c r="E2353" t="str">
        <f>"LIX202109155691"</f>
        <v>LIX202109155691</v>
      </c>
      <c r="F2353" t="str">
        <f>"TEXAS LIFE/OLIVO GROUP"</f>
        <v>TEXAS LIFE/OLIVO GROUP</v>
      </c>
      <c r="G2353" s="3">
        <v>212.66</v>
      </c>
      <c r="H2353" t="str">
        <f>"TEXAS LIFE/OLIVO GROUP"</f>
        <v>TEXAS LIFE/OLIVO GROUP</v>
      </c>
    </row>
    <row r="2354" spans="1:8" x14ac:dyDescent="0.25">
      <c r="A2354" t="s">
        <v>415</v>
      </c>
      <c r="B2354">
        <v>48466</v>
      </c>
      <c r="C2354" s="3">
        <v>10.32</v>
      </c>
      <c r="D2354" s="4">
        <v>44468</v>
      </c>
      <c r="E2354" t="str">
        <f>"202109295916"</f>
        <v>202109295916</v>
      </c>
      <c r="F2354" t="str">
        <f>"RETIREE INS REFUND EOY 2021"</f>
        <v>RETIREE INS REFUND EOY 2021</v>
      </c>
      <c r="G2354" s="3">
        <v>10.32</v>
      </c>
      <c r="H2354" t="str">
        <f>"RETIREE INS REFUND EOY 2021"</f>
        <v>RETIREE INS REFUND EOY 2021</v>
      </c>
    </row>
    <row r="2355" spans="1:8" x14ac:dyDescent="0.25">
      <c r="A2355" t="s">
        <v>416</v>
      </c>
      <c r="B2355">
        <v>48465</v>
      </c>
      <c r="C2355" s="3">
        <v>380333.52</v>
      </c>
      <c r="D2355" s="4">
        <v>44466</v>
      </c>
      <c r="E2355" t="str">
        <f>"202109275907"</f>
        <v>202109275907</v>
      </c>
      <c r="F2355" t="str">
        <f>"RETIREE INS - SEPTEMBER 2021"</f>
        <v>RETIREE INS - SEPTEMBER 2021</v>
      </c>
      <c r="G2355" s="3">
        <v>16919.560000000001</v>
      </c>
      <c r="H2355" t="str">
        <f>"RETIREE INS - SEPTEMBER 2021"</f>
        <v>RETIREE INS - SEPTEMBER 2021</v>
      </c>
    </row>
    <row r="2356" spans="1:8" x14ac:dyDescent="0.25">
      <c r="E2356" t="str">
        <f>"2EC202109015416"</f>
        <v>2EC202109015416</v>
      </c>
      <c r="F2356" t="str">
        <f>"BCBS PAYABLE"</f>
        <v>BCBS PAYABLE</v>
      </c>
      <c r="G2356" s="3">
        <v>341.83</v>
      </c>
      <c r="H2356" t="str">
        <f t="shared" ref="H2356:H2419" si="45">"BCBS PAYABLE"</f>
        <v>BCBS PAYABLE</v>
      </c>
    </row>
    <row r="2357" spans="1:8" x14ac:dyDescent="0.25">
      <c r="E2357" t="str">
        <f>""</f>
        <v/>
      </c>
      <c r="F2357" t="str">
        <f>""</f>
        <v/>
      </c>
      <c r="G2357" s="3">
        <v>683.66</v>
      </c>
      <c r="H2357" t="str">
        <f t="shared" si="45"/>
        <v>BCBS PAYABLE</v>
      </c>
    </row>
    <row r="2358" spans="1:8" x14ac:dyDescent="0.25">
      <c r="E2358" t="str">
        <f>""</f>
        <v/>
      </c>
      <c r="F2358" t="str">
        <f>""</f>
        <v/>
      </c>
      <c r="G2358" s="3">
        <v>1709.15</v>
      </c>
      <c r="H2358" t="str">
        <f t="shared" si="45"/>
        <v>BCBS PAYABLE</v>
      </c>
    </row>
    <row r="2359" spans="1:8" x14ac:dyDescent="0.25">
      <c r="E2359" t="str">
        <f>""</f>
        <v/>
      </c>
      <c r="F2359" t="str">
        <f>""</f>
        <v/>
      </c>
      <c r="G2359" s="3">
        <v>1709.15</v>
      </c>
      <c r="H2359" t="str">
        <f t="shared" si="45"/>
        <v>BCBS PAYABLE</v>
      </c>
    </row>
    <row r="2360" spans="1:8" x14ac:dyDescent="0.25">
      <c r="E2360" t="str">
        <f>""</f>
        <v/>
      </c>
      <c r="F2360" t="str">
        <f>""</f>
        <v/>
      </c>
      <c r="G2360" s="3">
        <v>341.83</v>
      </c>
      <c r="H2360" t="str">
        <f t="shared" si="45"/>
        <v>BCBS PAYABLE</v>
      </c>
    </row>
    <row r="2361" spans="1:8" x14ac:dyDescent="0.25">
      <c r="E2361" t="str">
        <f>""</f>
        <v/>
      </c>
      <c r="F2361" t="str">
        <f>""</f>
        <v/>
      </c>
      <c r="G2361" s="3">
        <v>293.43</v>
      </c>
      <c r="H2361" t="str">
        <f t="shared" si="45"/>
        <v>BCBS PAYABLE</v>
      </c>
    </row>
    <row r="2362" spans="1:8" x14ac:dyDescent="0.25">
      <c r="E2362" t="str">
        <f>""</f>
        <v/>
      </c>
      <c r="F2362" t="str">
        <f>""</f>
        <v/>
      </c>
      <c r="G2362" s="3">
        <v>341.83</v>
      </c>
      <c r="H2362" t="str">
        <f t="shared" si="45"/>
        <v>BCBS PAYABLE</v>
      </c>
    </row>
    <row r="2363" spans="1:8" x14ac:dyDescent="0.25">
      <c r="E2363" t="str">
        <f>""</f>
        <v/>
      </c>
      <c r="F2363" t="str">
        <f>""</f>
        <v/>
      </c>
      <c r="G2363" s="3">
        <v>1367.32</v>
      </c>
      <c r="H2363" t="str">
        <f t="shared" si="45"/>
        <v>BCBS PAYABLE</v>
      </c>
    </row>
    <row r="2364" spans="1:8" x14ac:dyDescent="0.25">
      <c r="E2364" t="str">
        <f>""</f>
        <v/>
      </c>
      <c r="F2364" t="str">
        <f>""</f>
        <v/>
      </c>
      <c r="G2364" s="3">
        <v>683.66</v>
      </c>
      <c r="H2364" t="str">
        <f t="shared" si="45"/>
        <v>BCBS PAYABLE</v>
      </c>
    </row>
    <row r="2365" spans="1:8" x14ac:dyDescent="0.25">
      <c r="E2365" t="str">
        <f>""</f>
        <v/>
      </c>
      <c r="F2365" t="str">
        <f>""</f>
        <v/>
      </c>
      <c r="G2365" s="3">
        <v>683.66</v>
      </c>
      <c r="H2365" t="str">
        <f t="shared" si="45"/>
        <v>BCBS PAYABLE</v>
      </c>
    </row>
    <row r="2366" spans="1:8" x14ac:dyDescent="0.25">
      <c r="E2366" t="str">
        <f>""</f>
        <v/>
      </c>
      <c r="F2366" t="str">
        <f>""</f>
        <v/>
      </c>
      <c r="G2366" s="3">
        <v>1350.34</v>
      </c>
      <c r="H2366" t="str">
        <f t="shared" si="45"/>
        <v>BCBS PAYABLE</v>
      </c>
    </row>
    <row r="2367" spans="1:8" x14ac:dyDescent="0.25">
      <c r="E2367" t="str">
        <f>""</f>
        <v/>
      </c>
      <c r="F2367" t="str">
        <f>""</f>
        <v/>
      </c>
      <c r="G2367" s="3">
        <v>1025.49</v>
      </c>
      <c r="H2367" t="str">
        <f t="shared" si="45"/>
        <v>BCBS PAYABLE</v>
      </c>
    </row>
    <row r="2368" spans="1:8" x14ac:dyDescent="0.25">
      <c r="E2368" t="str">
        <f>""</f>
        <v/>
      </c>
      <c r="F2368" t="str">
        <f>""</f>
        <v/>
      </c>
      <c r="G2368" s="3">
        <v>341.83</v>
      </c>
      <c r="H2368" t="str">
        <f t="shared" si="45"/>
        <v>BCBS PAYABLE</v>
      </c>
    </row>
    <row r="2369" spans="5:8" x14ac:dyDescent="0.25">
      <c r="E2369" t="str">
        <f>""</f>
        <v/>
      </c>
      <c r="F2369" t="str">
        <f>""</f>
        <v/>
      </c>
      <c r="G2369" s="3">
        <v>341.83</v>
      </c>
      <c r="H2369" t="str">
        <f t="shared" si="45"/>
        <v>BCBS PAYABLE</v>
      </c>
    </row>
    <row r="2370" spans="5:8" x14ac:dyDescent="0.25">
      <c r="E2370" t="str">
        <f>""</f>
        <v/>
      </c>
      <c r="F2370" t="str">
        <f>""</f>
        <v/>
      </c>
      <c r="G2370" s="3">
        <v>683.66</v>
      </c>
      <c r="H2370" t="str">
        <f t="shared" si="45"/>
        <v>BCBS PAYABLE</v>
      </c>
    </row>
    <row r="2371" spans="5:8" x14ac:dyDescent="0.25">
      <c r="E2371" t="str">
        <f>""</f>
        <v/>
      </c>
      <c r="F2371" t="str">
        <f>""</f>
        <v/>
      </c>
      <c r="G2371" s="3">
        <v>1025.49</v>
      </c>
      <c r="H2371" t="str">
        <f t="shared" si="45"/>
        <v>BCBS PAYABLE</v>
      </c>
    </row>
    <row r="2372" spans="5:8" x14ac:dyDescent="0.25">
      <c r="E2372" t="str">
        <f>""</f>
        <v/>
      </c>
      <c r="F2372" t="str">
        <f>""</f>
        <v/>
      </c>
      <c r="G2372" s="3">
        <v>1025.49</v>
      </c>
      <c r="H2372" t="str">
        <f t="shared" si="45"/>
        <v>BCBS PAYABLE</v>
      </c>
    </row>
    <row r="2373" spans="5:8" x14ac:dyDescent="0.25">
      <c r="E2373" t="str">
        <f>""</f>
        <v/>
      </c>
      <c r="F2373" t="str">
        <f>""</f>
        <v/>
      </c>
      <c r="G2373" s="3">
        <v>1025.49</v>
      </c>
      <c r="H2373" t="str">
        <f t="shared" si="45"/>
        <v>BCBS PAYABLE</v>
      </c>
    </row>
    <row r="2374" spans="5:8" x14ac:dyDescent="0.25">
      <c r="E2374" t="str">
        <f>""</f>
        <v/>
      </c>
      <c r="F2374" t="str">
        <f>""</f>
        <v/>
      </c>
      <c r="G2374" s="3">
        <v>2050.98</v>
      </c>
      <c r="H2374" t="str">
        <f t="shared" si="45"/>
        <v>BCBS PAYABLE</v>
      </c>
    </row>
    <row r="2375" spans="5:8" x14ac:dyDescent="0.25">
      <c r="E2375" t="str">
        <f>""</f>
        <v/>
      </c>
      <c r="F2375" t="str">
        <f>""</f>
        <v/>
      </c>
      <c r="G2375" s="3">
        <v>341.83</v>
      </c>
      <c r="H2375" t="str">
        <f t="shared" si="45"/>
        <v>BCBS PAYABLE</v>
      </c>
    </row>
    <row r="2376" spans="5:8" x14ac:dyDescent="0.25">
      <c r="E2376" t="str">
        <f>""</f>
        <v/>
      </c>
      <c r="F2376" t="str">
        <f>""</f>
        <v/>
      </c>
      <c r="G2376" s="3">
        <v>341.83</v>
      </c>
      <c r="H2376" t="str">
        <f t="shared" si="45"/>
        <v>BCBS PAYABLE</v>
      </c>
    </row>
    <row r="2377" spans="5:8" x14ac:dyDescent="0.25">
      <c r="E2377" t="str">
        <f>""</f>
        <v/>
      </c>
      <c r="F2377" t="str">
        <f>""</f>
        <v/>
      </c>
      <c r="G2377" s="3">
        <v>8045.01</v>
      </c>
      <c r="H2377" t="str">
        <f t="shared" si="45"/>
        <v>BCBS PAYABLE</v>
      </c>
    </row>
    <row r="2378" spans="5:8" x14ac:dyDescent="0.25">
      <c r="E2378" t="str">
        <f>""</f>
        <v/>
      </c>
      <c r="F2378" t="str">
        <f>""</f>
        <v/>
      </c>
      <c r="G2378" s="3">
        <v>313.08</v>
      </c>
      <c r="H2378" t="str">
        <f t="shared" si="45"/>
        <v>BCBS PAYABLE</v>
      </c>
    </row>
    <row r="2379" spans="5:8" x14ac:dyDescent="0.25">
      <c r="E2379" t="str">
        <f>""</f>
        <v/>
      </c>
      <c r="F2379" t="str">
        <f>""</f>
        <v/>
      </c>
      <c r="G2379" s="3">
        <v>6746.33</v>
      </c>
      <c r="H2379" t="str">
        <f t="shared" si="45"/>
        <v>BCBS PAYABLE</v>
      </c>
    </row>
    <row r="2380" spans="5:8" x14ac:dyDescent="0.25">
      <c r="E2380" t="str">
        <f>""</f>
        <v/>
      </c>
      <c r="F2380" t="str">
        <f>""</f>
        <v/>
      </c>
      <c r="G2380" s="3">
        <v>1367.32</v>
      </c>
      <c r="H2380" t="str">
        <f t="shared" si="45"/>
        <v>BCBS PAYABLE</v>
      </c>
    </row>
    <row r="2381" spans="5:8" x14ac:dyDescent="0.25">
      <c r="E2381" t="str">
        <f>""</f>
        <v/>
      </c>
      <c r="F2381" t="str">
        <f>""</f>
        <v/>
      </c>
      <c r="G2381" s="3">
        <v>341.83</v>
      </c>
      <c r="H2381" t="str">
        <f t="shared" si="45"/>
        <v>BCBS PAYABLE</v>
      </c>
    </row>
    <row r="2382" spans="5:8" x14ac:dyDescent="0.25">
      <c r="E2382" t="str">
        <f>""</f>
        <v/>
      </c>
      <c r="F2382" t="str">
        <f>""</f>
        <v/>
      </c>
      <c r="G2382" s="3">
        <v>341.83</v>
      </c>
      <c r="H2382" t="str">
        <f t="shared" si="45"/>
        <v>BCBS PAYABLE</v>
      </c>
    </row>
    <row r="2383" spans="5:8" x14ac:dyDescent="0.25">
      <c r="E2383" t="str">
        <f>""</f>
        <v/>
      </c>
      <c r="F2383" t="str">
        <f>""</f>
        <v/>
      </c>
      <c r="G2383" s="3">
        <v>379.49</v>
      </c>
      <c r="H2383" t="str">
        <f t="shared" si="45"/>
        <v>BCBS PAYABLE</v>
      </c>
    </row>
    <row r="2384" spans="5:8" x14ac:dyDescent="0.25">
      <c r="E2384" t="str">
        <f>""</f>
        <v/>
      </c>
      <c r="F2384" t="str">
        <f>""</f>
        <v/>
      </c>
      <c r="G2384" s="3">
        <v>1367.32</v>
      </c>
      <c r="H2384" t="str">
        <f t="shared" si="45"/>
        <v>BCBS PAYABLE</v>
      </c>
    </row>
    <row r="2385" spans="5:8" x14ac:dyDescent="0.25">
      <c r="E2385" t="str">
        <f>""</f>
        <v/>
      </c>
      <c r="F2385" t="str">
        <f>""</f>
        <v/>
      </c>
      <c r="G2385" s="3">
        <v>683.66</v>
      </c>
      <c r="H2385" t="str">
        <f t="shared" si="45"/>
        <v>BCBS PAYABLE</v>
      </c>
    </row>
    <row r="2386" spans="5:8" x14ac:dyDescent="0.25">
      <c r="E2386" t="str">
        <f>""</f>
        <v/>
      </c>
      <c r="F2386" t="str">
        <f>""</f>
        <v/>
      </c>
      <c r="G2386" s="3">
        <v>582.1</v>
      </c>
      <c r="H2386" t="str">
        <f t="shared" si="45"/>
        <v>BCBS PAYABLE</v>
      </c>
    </row>
    <row r="2387" spans="5:8" x14ac:dyDescent="0.25">
      <c r="E2387" t="str">
        <f>""</f>
        <v/>
      </c>
      <c r="F2387" t="str">
        <f>""</f>
        <v/>
      </c>
      <c r="G2387" s="3">
        <v>4.57</v>
      </c>
      <c r="H2387" t="str">
        <f t="shared" si="45"/>
        <v>BCBS PAYABLE</v>
      </c>
    </row>
    <row r="2388" spans="5:8" x14ac:dyDescent="0.25">
      <c r="E2388" t="str">
        <f>""</f>
        <v/>
      </c>
      <c r="F2388" t="str">
        <f>""</f>
        <v/>
      </c>
      <c r="G2388" s="3">
        <v>12.41</v>
      </c>
      <c r="H2388" t="str">
        <f t="shared" si="45"/>
        <v>BCBS PAYABLE</v>
      </c>
    </row>
    <row r="2389" spans="5:8" x14ac:dyDescent="0.25">
      <c r="E2389" t="str">
        <f>""</f>
        <v/>
      </c>
      <c r="F2389" t="str">
        <f>""</f>
        <v/>
      </c>
      <c r="G2389" s="3">
        <v>48.4</v>
      </c>
      <c r="H2389" t="str">
        <f t="shared" si="45"/>
        <v>BCBS PAYABLE</v>
      </c>
    </row>
    <row r="2390" spans="5:8" x14ac:dyDescent="0.25">
      <c r="E2390" t="str">
        <f>""</f>
        <v/>
      </c>
      <c r="F2390" t="str">
        <f>""</f>
        <v/>
      </c>
      <c r="G2390" s="3">
        <v>14200.23</v>
      </c>
      <c r="H2390" t="str">
        <f t="shared" si="45"/>
        <v>BCBS PAYABLE</v>
      </c>
    </row>
    <row r="2391" spans="5:8" x14ac:dyDescent="0.25">
      <c r="E2391" t="str">
        <f>"2EC202109015417"</f>
        <v>2EC202109015417</v>
      </c>
      <c r="F2391" t="str">
        <f>"BCBS PAYABLE"</f>
        <v>BCBS PAYABLE</v>
      </c>
      <c r="G2391" s="3">
        <v>1367.32</v>
      </c>
      <c r="H2391" t="str">
        <f t="shared" si="45"/>
        <v>BCBS PAYABLE</v>
      </c>
    </row>
    <row r="2392" spans="5:8" x14ac:dyDescent="0.25">
      <c r="E2392" t="str">
        <f>""</f>
        <v/>
      </c>
      <c r="F2392" t="str">
        <f>""</f>
        <v/>
      </c>
      <c r="G2392" s="3">
        <v>511.72</v>
      </c>
      <c r="H2392" t="str">
        <f t="shared" si="45"/>
        <v>BCBS PAYABLE</v>
      </c>
    </row>
    <row r="2393" spans="5:8" x14ac:dyDescent="0.25">
      <c r="E2393" t="str">
        <f>"2EC202109155691"</f>
        <v>2EC202109155691</v>
      </c>
      <c r="F2393" t="str">
        <f>"BCBS PAYABLE"</f>
        <v>BCBS PAYABLE</v>
      </c>
      <c r="G2393" s="3">
        <v>341.83</v>
      </c>
      <c r="H2393" t="str">
        <f t="shared" si="45"/>
        <v>BCBS PAYABLE</v>
      </c>
    </row>
    <row r="2394" spans="5:8" x14ac:dyDescent="0.25">
      <c r="E2394" t="str">
        <f>""</f>
        <v/>
      </c>
      <c r="F2394" t="str">
        <f>""</f>
        <v/>
      </c>
      <c r="G2394" s="3">
        <v>683.66</v>
      </c>
      <c r="H2394" t="str">
        <f t="shared" si="45"/>
        <v>BCBS PAYABLE</v>
      </c>
    </row>
    <row r="2395" spans="5:8" x14ac:dyDescent="0.25">
      <c r="E2395" t="str">
        <f>""</f>
        <v/>
      </c>
      <c r="F2395" t="str">
        <f>""</f>
        <v/>
      </c>
      <c r="G2395" s="3">
        <v>1709.15</v>
      </c>
      <c r="H2395" t="str">
        <f t="shared" si="45"/>
        <v>BCBS PAYABLE</v>
      </c>
    </row>
    <row r="2396" spans="5:8" x14ac:dyDescent="0.25">
      <c r="E2396" t="str">
        <f>""</f>
        <v/>
      </c>
      <c r="F2396" t="str">
        <f>""</f>
        <v/>
      </c>
      <c r="G2396" s="3">
        <v>1709.15</v>
      </c>
      <c r="H2396" t="str">
        <f t="shared" si="45"/>
        <v>BCBS PAYABLE</v>
      </c>
    </row>
    <row r="2397" spans="5:8" x14ac:dyDescent="0.25">
      <c r="E2397" t="str">
        <f>""</f>
        <v/>
      </c>
      <c r="F2397" t="str">
        <f>""</f>
        <v/>
      </c>
      <c r="G2397" s="3">
        <v>341.83</v>
      </c>
      <c r="H2397" t="str">
        <f t="shared" si="45"/>
        <v>BCBS PAYABLE</v>
      </c>
    </row>
    <row r="2398" spans="5:8" x14ac:dyDescent="0.25">
      <c r="E2398" t="str">
        <f>""</f>
        <v/>
      </c>
      <c r="F2398" t="str">
        <f>""</f>
        <v/>
      </c>
      <c r="G2398" s="3">
        <v>293.43</v>
      </c>
      <c r="H2398" t="str">
        <f t="shared" si="45"/>
        <v>BCBS PAYABLE</v>
      </c>
    </row>
    <row r="2399" spans="5:8" x14ac:dyDescent="0.25">
      <c r="E2399" t="str">
        <f>""</f>
        <v/>
      </c>
      <c r="F2399" t="str">
        <f>""</f>
        <v/>
      </c>
      <c r="G2399" s="3">
        <v>341.83</v>
      </c>
      <c r="H2399" t="str">
        <f t="shared" si="45"/>
        <v>BCBS PAYABLE</v>
      </c>
    </row>
    <row r="2400" spans="5:8" x14ac:dyDescent="0.25">
      <c r="E2400" t="str">
        <f>""</f>
        <v/>
      </c>
      <c r="F2400" t="str">
        <f>""</f>
        <v/>
      </c>
      <c r="G2400" s="3">
        <v>1367.32</v>
      </c>
      <c r="H2400" t="str">
        <f t="shared" si="45"/>
        <v>BCBS PAYABLE</v>
      </c>
    </row>
    <row r="2401" spans="5:8" x14ac:dyDescent="0.25">
      <c r="E2401" t="str">
        <f>""</f>
        <v/>
      </c>
      <c r="F2401" t="str">
        <f>""</f>
        <v/>
      </c>
      <c r="G2401" s="3">
        <v>683.66</v>
      </c>
      <c r="H2401" t="str">
        <f t="shared" si="45"/>
        <v>BCBS PAYABLE</v>
      </c>
    </row>
    <row r="2402" spans="5:8" x14ac:dyDescent="0.25">
      <c r="E2402" t="str">
        <f>""</f>
        <v/>
      </c>
      <c r="F2402" t="str">
        <f>""</f>
        <v/>
      </c>
      <c r="G2402" s="3">
        <v>683.66</v>
      </c>
      <c r="H2402" t="str">
        <f t="shared" si="45"/>
        <v>BCBS PAYABLE</v>
      </c>
    </row>
    <row r="2403" spans="5:8" x14ac:dyDescent="0.25">
      <c r="E2403" t="str">
        <f>""</f>
        <v/>
      </c>
      <c r="F2403" t="str">
        <f>""</f>
        <v/>
      </c>
      <c r="G2403" s="3">
        <v>1350.34</v>
      </c>
      <c r="H2403" t="str">
        <f t="shared" si="45"/>
        <v>BCBS PAYABLE</v>
      </c>
    </row>
    <row r="2404" spans="5:8" x14ac:dyDescent="0.25">
      <c r="E2404" t="str">
        <f>""</f>
        <v/>
      </c>
      <c r="F2404" t="str">
        <f>""</f>
        <v/>
      </c>
      <c r="G2404" s="3">
        <v>1025.49</v>
      </c>
      <c r="H2404" t="str">
        <f t="shared" si="45"/>
        <v>BCBS PAYABLE</v>
      </c>
    </row>
    <row r="2405" spans="5:8" x14ac:dyDescent="0.25">
      <c r="E2405" t="str">
        <f>""</f>
        <v/>
      </c>
      <c r="F2405" t="str">
        <f>""</f>
        <v/>
      </c>
      <c r="G2405" s="3">
        <v>341.83</v>
      </c>
      <c r="H2405" t="str">
        <f t="shared" si="45"/>
        <v>BCBS PAYABLE</v>
      </c>
    </row>
    <row r="2406" spans="5:8" x14ac:dyDescent="0.25">
      <c r="E2406" t="str">
        <f>""</f>
        <v/>
      </c>
      <c r="F2406" t="str">
        <f>""</f>
        <v/>
      </c>
      <c r="G2406" s="3">
        <v>341.83</v>
      </c>
      <c r="H2406" t="str">
        <f t="shared" si="45"/>
        <v>BCBS PAYABLE</v>
      </c>
    </row>
    <row r="2407" spans="5:8" x14ac:dyDescent="0.25">
      <c r="E2407" t="str">
        <f>""</f>
        <v/>
      </c>
      <c r="F2407" t="str">
        <f>""</f>
        <v/>
      </c>
      <c r="G2407" s="3">
        <v>683.66</v>
      </c>
      <c r="H2407" t="str">
        <f t="shared" si="45"/>
        <v>BCBS PAYABLE</v>
      </c>
    </row>
    <row r="2408" spans="5:8" x14ac:dyDescent="0.25">
      <c r="E2408" t="str">
        <f>""</f>
        <v/>
      </c>
      <c r="F2408" t="str">
        <f>""</f>
        <v/>
      </c>
      <c r="G2408" s="3">
        <v>1025.49</v>
      </c>
      <c r="H2408" t="str">
        <f t="shared" si="45"/>
        <v>BCBS PAYABLE</v>
      </c>
    </row>
    <row r="2409" spans="5:8" x14ac:dyDescent="0.25">
      <c r="E2409" t="str">
        <f>""</f>
        <v/>
      </c>
      <c r="F2409" t="str">
        <f>""</f>
        <v/>
      </c>
      <c r="G2409" s="3">
        <v>1025.49</v>
      </c>
      <c r="H2409" t="str">
        <f t="shared" si="45"/>
        <v>BCBS PAYABLE</v>
      </c>
    </row>
    <row r="2410" spans="5:8" x14ac:dyDescent="0.25">
      <c r="E2410" t="str">
        <f>""</f>
        <v/>
      </c>
      <c r="F2410" t="str">
        <f>""</f>
        <v/>
      </c>
      <c r="G2410" s="3">
        <v>1025.49</v>
      </c>
      <c r="H2410" t="str">
        <f t="shared" si="45"/>
        <v>BCBS PAYABLE</v>
      </c>
    </row>
    <row r="2411" spans="5:8" x14ac:dyDescent="0.25">
      <c r="E2411" t="str">
        <f>""</f>
        <v/>
      </c>
      <c r="F2411" t="str">
        <f>""</f>
        <v/>
      </c>
      <c r="G2411" s="3">
        <v>2050.98</v>
      </c>
      <c r="H2411" t="str">
        <f t="shared" si="45"/>
        <v>BCBS PAYABLE</v>
      </c>
    </row>
    <row r="2412" spans="5:8" x14ac:dyDescent="0.25">
      <c r="E2412" t="str">
        <f>""</f>
        <v/>
      </c>
      <c r="F2412" t="str">
        <f>""</f>
        <v/>
      </c>
      <c r="G2412" s="3">
        <v>341.83</v>
      </c>
      <c r="H2412" t="str">
        <f t="shared" si="45"/>
        <v>BCBS PAYABLE</v>
      </c>
    </row>
    <row r="2413" spans="5:8" x14ac:dyDescent="0.25">
      <c r="E2413" t="str">
        <f>""</f>
        <v/>
      </c>
      <c r="F2413" t="str">
        <f>""</f>
        <v/>
      </c>
      <c r="G2413" s="3">
        <v>341.83</v>
      </c>
      <c r="H2413" t="str">
        <f t="shared" si="45"/>
        <v>BCBS PAYABLE</v>
      </c>
    </row>
    <row r="2414" spans="5:8" x14ac:dyDescent="0.25">
      <c r="E2414" t="str">
        <f>""</f>
        <v/>
      </c>
      <c r="F2414" t="str">
        <f>""</f>
        <v/>
      </c>
      <c r="G2414" s="3">
        <v>8643.9599999999991</v>
      </c>
      <c r="H2414" t="str">
        <f t="shared" si="45"/>
        <v>BCBS PAYABLE</v>
      </c>
    </row>
    <row r="2415" spans="5:8" x14ac:dyDescent="0.25">
      <c r="E2415" t="str">
        <f>""</f>
        <v/>
      </c>
      <c r="F2415" t="str">
        <f>""</f>
        <v/>
      </c>
      <c r="G2415" s="3">
        <v>331.42</v>
      </c>
      <c r="H2415" t="str">
        <f t="shared" si="45"/>
        <v>BCBS PAYABLE</v>
      </c>
    </row>
    <row r="2416" spans="5:8" x14ac:dyDescent="0.25">
      <c r="E2416" t="str">
        <f>""</f>
        <v/>
      </c>
      <c r="F2416" t="str">
        <f>""</f>
        <v/>
      </c>
      <c r="G2416" s="3">
        <v>6748.8</v>
      </c>
      <c r="H2416" t="str">
        <f t="shared" si="45"/>
        <v>BCBS PAYABLE</v>
      </c>
    </row>
    <row r="2417" spans="5:8" x14ac:dyDescent="0.25">
      <c r="E2417" t="str">
        <f>""</f>
        <v/>
      </c>
      <c r="F2417" t="str">
        <f>""</f>
        <v/>
      </c>
      <c r="G2417" s="3">
        <v>1367.32</v>
      </c>
      <c r="H2417" t="str">
        <f t="shared" si="45"/>
        <v>BCBS PAYABLE</v>
      </c>
    </row>
    <row r="2418" spans="5:8" x14ac:dyDescent="0.25">
      <c r="E2418" t="str">
        <f>""</f>
        <v/>
      </c>
      <c r="F2418" t="str">
        <f>""</f>
        <v/>
      </c>
      <c r="G2418" s="3">
        <v>341.83</v>
      </c>
      <c r="H2418" t="str">
        <f t="shared" si="45"/>
        <v>BCBS PAYABLE</v>
      </c>
    </row>
    <row r="2419" spans="5:8" x14ac:dyDescent="0.25">
      <c r="E2419" t="str">
        <f>""</f>
        <v/>
      </c>
      <c r="F2419" t="str">
        <f>""</f>
        <v/>
      </c>
      <c r="G2419" s="3">
        <v>341.83</v>
      </c>
      <c r="H2419" t="str">
        <f t="shared" si="45"/>
        <v>BCBS PAYABLE</v>
      </c>
    </row>
    <row r="2420" spans="5:8" x14ac:dyDescent="0.25">
      <c r="E2420" t="str">
        <f>""</f>
        <v/>
      </c>
      <c r="F2420" t="str">
        <f>""</f>
        <v/>
      </c>
      <c r="G2420" s="3">
        <v>341.83</v>
      </c>
      <c r="H2420" t="str">
        <f t="shared" ref="H2420:H2483" si="46">"BCBS PAYABLE"</f>
        <v>BCBS PAYABLE</v>
      </c>
    </row>
    <row r="2421" spans="5:8" x14ac:dyDescent="0.25">
      <c r="E2421" t="str">
        <f>""</f>
        <v/>
      </c>
      <c r="F2421" t="str">
        <f>""</f>
        <v/>
      </c>
      <c r="G2421" s="3">
        <v>1367.32</v>
      </c>
      <c r="H2421" t="str">
        <f t="shared" si="46"/>
        <v>BCBS PAYABLE</v>
      </c>
    </row>
    <row r="2422" spans="5:8" x14ac:dyDescent="0.25">
      <c r="E2422" t="str">
        <f>""</f>
        <v/>
      </c>
      <c r="F2422" t="str">
        <f>""</f>
        <v/>
      </c>
      <c r="G2422" s="3">
        <v>683.66</v>
      </c>
      <c r="H2422" t="str">
        <f t="shared" si="46"/>
        <v>BCBS PAYABLE</v>
      </c>
    </row>
    <row r="2423" spans="5:8" x14ac:dyDescent="0.25">
      <c r="E2423" t="str">
        <f>""</f>
        <v/>
      </c>
      <c r="F2423" t="str">
        <f>""</f>
        <v/>
      </c>
      <c r="G2423" s="3">
        <v>4.57</v>
      </c>
      <c r="H2423" t="str">
        <f t="shared" si="46"/>
        <v>BCBS PAYABLE</v>
      </c>
    </row>
    <row r="2424" spans="5:8" x14ac:dyDescent="0.25">
      <c r="E2424" t="str">
        <f>""</f>
        <v/>
      </c>
      <c r="F2424" t="str">
        <f>""</f>
        <v/>
      </c>
      <c r="G2424" s="3">
        <v>12.41</v>
      </c>
      <c r="H2424" t="str">
        <f t="shared" si="46"/>
        <v>BCBS PAYABLE</v>
      </c>
    </row>
    <row r="2425" spans="5:8" x14ac:dyDescent="0.25">
      <c r="E2425" t="str">
        <f>""</f>
        <v/>
      </c>
      <c r="F2425" t="str">
        <f>""</f>
        <v/>
      </c>
      <c r="G2425" s="3">
        <v>48.4</v>
      </c>
      <c r="H2425" t="str">
        <f t="shared" si="46"/>
        <v>BCBS PAYABLE</v>
      </c>
    </row>
    <row r="2426" spans="5:8" x14ac:dyDescent="0.25">
      <c r="E2426" t="str">
        <f>""</f>
        <v/>
      </c>
      <c r="F2426" t="str">
        <f>""</f>
        <v/>
      </c>
      <c r="G2426" s="3">
        <v>14200.23</v>
      </c>
      <c r="H2426" t="str">
        <f t="shared" si="46"/>
        <v>BCBS PAYABLE</v>
      </c>
    </row>
    <row r="2427" spans="5:8" x14ac:dyDescent="0.25">
      <c r="E2427" t="str">
        <f>"2EC202109155692"</f>
        <v>2EC202109155692</v>
      </c>
      <c r="F2427" t="str">
        <f>"BCBS PAYABLE"</f>
        <v>BCBS PAYABLE</v>
      </c>
      <c r="G2427" s="3">
        <v>1367.32</v>
      </c>
      <c r="H2427" t="str">
        <f t="shared" si="46"/>
        <v>BCBS PAYABLE</v>
      </c>
    </row>
    <row r="2428" spans="5:8" x14ac:dyDescent="0.25">
      <c r="E2428" t="str">
        <f>""</f>
        <v/>
      </c>
      <c r="F2428" t="str">
        <f>""</f>
        <v/>
      </c>
      <c r="G2428" s="3">
        <v>511.72</v>
      </c>
      <c r="H2428" t="str">
        <f t="shared" si="46"/>
        <v>BCBS PAYABLE</v>
      </c>
    </row>
    <row r="2429" spans="5:8" x14ac:dyDescent="0.25">
      <c r="E2429" t="str">
        <f>"2EF202109015416"</f>
        <v>2EF202109015416</v>
      </c>
      <c r="F2429" t="str">
        <f>"BCBS PAYABLE"</f>
        <v>BCBS PAYABLE</v>
      </c>
      <c r="G2429" s="3">
        <v>341.83</v>
      </c>
      <c r="H2429" t="str">
        <f t="shared" si="46"/>
        <v>BCBS PAYABLE</v>
      </c>
    </row>
    <row r="2430" spans="5:8" x14ac:dyDescent="0.25">
      <c r="E2430" t="str">
        <f>""</f>
        <v/>
      </c>
      <c r="F2430" t="str">
        <f>""</f>
        <v/>
      </c>
      <c r="G2430" s="3">
        <v>4.0599999999999996</v>
      </c>
      <c r="H2430" t="str">
        <f t="shared" si="46"/>
        <v>BCBS PAYABLE</v>
      </c>
    </row>
    <row r="2431" spans="5:8" x14ac:dyDescent="0.25">
      <c r="E2431" t="str">
        <f>""</f>
        <v/>
      </c>
      <c r="F2431" t="str">
        <f>""</f>
        <v/>
      </c>
      <c r="G2431" s="3">
        <v>337.77</v>
      </c>
      <c r="H2431" t="str">
        <f t="shared" si="46"/>
        <v>BCBS PAYABLE</v>
      </c>
    </row>
    <row r="2432" spans="5:8" x14ac:dyDescent="0.25">
      <c r="E2432" t="str">
        <f>""</f>
        <v/>
      </c>
      <c r="F2432" t="str">
        <f>""</f>
        <v/>
      </c>
      <c r="G2432" s="3">
        <v>1182.8800000000001</v>
      </c>
      <c r="H2432" t="str">
        <f t="shared" si="46"/>
        <v>BCBS PAYABLE</v>
      </c>
    </row>
    <row r="2433" spans="5:8" x14ac:dyDescent="0.25">
      <c r="E2433" t="str">
        <f>"2EF202109155691"</f>
        <v>2EF202109155691</v>
      </c>
      <c r="F2433" t="str">
        <f>"BCBS PAYABLE"</f>
        <v>BCBS PAYABLE</v>
      </c>
      <c r="G2433" s="3">
        <v>341.83</v>
      </c>
      <c r="H2433" t="str">
        <f t="shared" si="46"/>
        <v>BCBS PAYABLE</v>
      </c>
    </row>
    <row r="2434" spans="5:8" x14ac:dyDescent="0.25">
      <c r="E2434" t="str">
        <f>""</f>
        <v/>
      </c>
      <c r="F2434" t="str">
        <f>""</f>
        <v/>
      </c>
      <c r="G2434" s="3">
        <v>4.0599999999999996</v>
      </c>
      <c r="H2434" t="str">
        <f t="shared" si="46"/>
        <v>BCBS PAYABLE</v>
      </c>
    </row>
    <row r="2435" spans="5:8" x14ac:dyDescent="0.25">
      <c r="E2435" t="str">
        <f>""</f>
        <v/>
      </c>
      <c r="F2435" t="str">
        <f>""</f>
        <v/>
      </c>
      <c r="G2435" s="3">
        <v>337.77</v>
      </c>
      <c r="H2435" t="str">
        <f t="shared" si="46"/>
        <v>BCBS PAYABLE</v>
      </c>
    </row>
    <row r="2436" spans="5:8" x14ac:dyDescent="0.25">
      <c r="E2436" t="str">
        <f>""</f>
        <v/>
      </c>
      <c r="F2436" t="str">
        <f>""</f>
        <v/>
      </c>
      <c r="G2436" s="3">
        <v>1182.8800000000001</v>
      </c>
      <c r="H2436" t="str">
        <f t="shared" si="46"/>
        <v>BCBS PAYABLE</v>
      </c>
    </row>
    <row r="2437" spans="5:8" x14ac:dyDescent="0.25">
      <c r="E2437" t="str">
        <f>"2EO202109015416"</f>
        <v>2EO202109015416</v>
      </c>
      <c r="F2437" t="str">
        <f>"BCBS PAYABLE"</f>
        <v>BCBS PAYABLE</v>
      </c>
      <c r="G2437" s="3">
        <v>683.66</v>
      </c>
      <c r="H2437" t="str">
        <f t="shared" si="46"/>
        <v>BCBS PAYABLE</v>
      </c>
    </row>
    <row r="2438" spans="5:8" x14ac:dyDescent="0.25">
      <c r="E2438" t="str">
        <f>""</f>
        <v/>
      </c>
      <c r="F2438" t="str">
        <f>""</f>
        <v/>
      </c>
      <c r="G2438" s="3">
        <v>444.27</v>
      </c>
      <c r="H2438" t="str">
        <f t="shared" si="46"/>
        <v>BCBS PAYABLE</v>
      </c>
    </row>
    <row r="2439" spans="5:8" x14ac:dyDescent="0.25">
      <c r="E2439" t="str">
        <f>""</f>
        <v/>
      </c>
      <c r="F2439" t="str">
        <f>""</f>
        <v/>
      </c>
      <c r="G2439" s="3">
        <v>2354.44</v>
      </c>
      <c r="H2439" t="str">
        <f t="shared" si="46"/>
        <v>BCBS PAYABLE</v>
      </c>
    </row>
    <row r="2440" spans="5:8" x14ac:dyDescent="0.25">
      <c r="E2440" t="str">
        <f>""</f>
        <v/>
      </c>
      <c r="F2440" t="str">
        <f>""</f>
        <v/>
      </c>
      <c r="G2440" s="3">
        <v>683.66</v>
      </c>
      <c r="H2440" t="str">
        <f t="shared" si="46"/>
        <v>BCBS PAYABLE</v>
      </c>
    </row>
    <row r="2441" spans="5:8" x14ac:dyDescent="0.25">
      <c r="E2441" t="str">
        <f>""</f>
        <v/>
      </c>
      <c r="F2441" t="str">
        <f>""</f>
        <v/>
      </c>
      <c r="G2441" s="3">
        <v>683.66</v>
      </c>
      <c r="H2441" t="str">
        <f t="shared" si="46"/>
        <v>BCBS PAYABLE</v>
      </c>
    </row>
    <row r="2442" spans="5:8" x14ac:dyDescent="0.25">
      <c r="E2442" t="str">
        <f>""</f>
        <v/>
      </c>
      <c r="F2442" t="str">
        <f>""</f>
        <v/>
      </c>
      <c r="G2442" s="3">
        <v>341.83</v>
      </c>
      <c r="H2442" t="str">
        <f t="shared" si="46"/>
        <v>BCBS PAYABLE</v>
      </c>
    </row>
    <row r="2443" spans="5:8" x14ac:dyDescent="0.25">
      <c r="E2443" t="str">
        <f>""</f>
        <v/>
      </c>
      <c r="F2443" t="str">
        <f>""</f>
        <v/>
      </c>
      <c r="G2443" s="3">
        <v>4785.62</v>
      </c>
      <c r="H2443" t="str">
        <f t="shared" si="46"/>
        <v>BCBS PAYABLE</v>
      </c>
    </row>
    <row r="2444" spans="5:8" x14ac:dyDescent="0.25">
      <c r="E2444" t="str">
        <f>""</f>
        <v/>
      </c>
      <c r="F2444" t="str">
        <f>""</f>
        <v/>
      </c>
      <c r="G2444" s="3">
        <v>683.66</v>
      </c>
      <c r="H2444" t="str">
        <f t="shared" si="46"/>
        <v>BCBS PAYABLE</v>
      </c>
    </row>
    <row r="2445" spans="5:8" x14ac:dyDescent="0.25">
      <c r="E2445" t="str">
        <f>""</f>
        <v/>
      </c>
      <c r="F2445" t="str">
        <f>""</f>
        <v/>
      </c>
      <c r="G2445" s="3">
        <v>1367.32</v>
      </c>
      <c r="H2445" t="str">
        <f t="shared" si="46"/>
        <v>BCBS PAYABLE</v>
      </c>
    </row>
    <row r="2446" spans="5:8" x14ac:dyDescent="0.25">
      <c r="E2446" t="str">
        <f>""</f>
        <v/>
      </c>
      <c r="F2446" t="str">
        <f>""</f>
        <v/>
      </c>
      <c r="G2446" s="3">
        <v>3418.3</v>
      </c>
      <c r="H2446" t="str">
        <f t="shared" si="46"/>
        <v>BCBS PAYABLE</v>
      </c>
    </row>
    <row r="2447" spans="5:8" x14ac:dyDescent="0.25">
      <c r="E2447" t="str">
        <f>""</f>
        <v/>
      </c>
      <c r="F2447" t="str">
        <f>""</f>
        <v/>
      </c>
      <c r="G2447" s="3">
        <v>683.66</v>
      </c>
      <c r="H2447" t="str">
        <f t="shared" si="46"/>
        <v>BCBS PAYABLE</v>
      </c>
    </row>
    <row r="2448" spans="5:8" x14ac:dyDescent="0.25">
      <c r="E2448" t="str">
        <f>""</f>
        <v/>
      </c>
      <c r="F2448" t="str">
        <f>""</f>
        <v/>
      </c>
      <c r="G2448" s="3">
        <v>683.66</v>
      </c>
      <c r="H2448" t="str">
        <f t="shared" si="46"/>
        <v>BCBS PAYABLE</v>
      </c>
    </row>
    <row r="2449" spans="5:8" x14ac:dyDescent="0.25">
      <c r="E2449" t="str">
        <f>""</f>
        <v/>
      </c>
      <c r="F2449" t="str">
        <f>""</f>
        <v/>
      </c>
      <c r="G2449" s="3">
        <v>341.83</v>
      </c>
      <c r="H2449" t="str">
        <f t="shared" si="46"/>
        <v>BCBS PAYABLE</v>
      </c>
    </row>
    <row r="2450" spans="5:8" x14ac:dyDescent="0.25">
      <c r="E2450" t="str">
        <f>""</f>
        <v/>
      </c>
      <c r="F2450" t="str">
        <f>""</f>
        <v/>
      </c>
      <c r="G2450" s="3">
        <v>1025.49</v>
      </c>
      <c r="H2450" t="str">
        <f t="shared" si="46"/>
        <v>BCBS PAYABLE</v>
      </c>
    </row>
    <row r="2451" spans="5:8" x14ac:dyDescent="0.25">
      <c r="E2451" t="str">
        <f>""</f>
        <v/>
      </c>
      <c r="F2451" t="str">
        <f>""</f>
        <v/>
      </c>
      <c r="G2451" s="3">
        <v>683.66</v>
      </c>
      <c r="H2451" t="str">
        <f t="shared" si="46"/>
        <v>BCBS PAYABLE</v>
      </c>
    </row>
    <row r="2452" spans="5:8" x14ac:dyDescent="0.25">
      <c r="E2452" t="str">
        <f>""</f>
        <v/>
      </c>
      <c r="F2452" t="str">
        <f>""</f>
        <v/>
      </c>
      <c r="G2452" s="3">
        <v>3288.06</v>
      </c>
      <c r="H2452" t="str">
        <f t="shared" si="46"/>
        <v>BCBS PAYABLE</v>
      </c>
    </row>
    <row r="2453" spans="5:8" x14ac:dyDescent="0.25">
      <c r="E2453" t="str">
        <f>""</f>
        <v/>
      </c>
      <c r="F2453" t="str">
        <f>""</f>
        <v/>
      </c>
      <c r="G2453" s="3">
        <v>1025.49</v>
      </c>
      <c r="H2453" t="str">
        <f t="shared" si="46"/>
        <v>BCBS PAYABLE</v>
      </c>
    </row>
    <row r="2454" spans="5:8" x14ac:dyDescent="0.25">
      <c r="E2454" t="str">
        <f>""</f>
        <v/>
      </c>
      <c r="F2454" t="str">
        <f>""</f>
        <v/>
      </c>
      <c r="G2454" s="3">
        <v>683.66</v>
      </c>
      <c r="H2454" t="str">
        <f t="shared" si="46"/>
        <v>BCBS PAYABLE</v>
      </c>
    </row>
    <row r="2455" spans="5:8" x14ac:dyDescent="0.25">
      <c r="E2455" t="str">
        <f>""</f>
        <v/>
      </c>
      <c r="F2455" t="str">
        <f>""</f>
        <v/>
      </c>
      <c r="G2455" s="3">
        <v>683.66</v>
      </c>
      <c r="H2455" t="str">
        <f t="shared" si="46"/>
        <v>BCBS PAYABLE</v>
      </c>
    </row>
    <row r="2456" spans="5:8" x14ac:dyDescent="0.25">
      <c r="E2456" t="str">
        <f>""</f>
        <v/>
      </c>
      <c r="F2456" t="str">
        <f>""</f>
        <v/>
      </c>
      <c r="G2456" s="3">
        <v>3076.47</v>
      </c>
      <c r="H2456" t="str">
        <f t="shared" si="46"/>
        <v>BCBS PAYABLE</v>
      </c>
    </row>
    <row r="2457" spans="5:8" x14ac:dyDescent="0.25">
      <c r="E2457" t="str">
        <f>""</f>
        <v/>
      </c>
      <c r="F2457" t="str">
        <f>""</f>
        <v/>
      </c>
      <c r="G2457" s="3">
        <v>1367.32</v>
      </c>
      <c r="H2457" t="str">
        <f t="shared" si="46"/>
        <v>BCBS PAYABLE</v>
      </c>
    </row>
    <row r="2458" spans="5:8" x14ac:dyDescent="0.25">
      <c r="E2458" t="str">
        <f>""</f>
        <v/>
      </c>
      <c r="F2458" t="str">
        <f>""</f>
        <v/>
      </c>
      <c r="G2458" s="3">
        <v>2392.81</v>
      </c>
      <c r="H2458" t="str">
        <f t="shared" si="46"/>
        <v>BCBS PAYABLE</v>
      </c>
    </row>
    <row r="2459" spans="5:8" x14ac:dyDescent="0.25">
      <c r="E2459" t="str">
        <f>""</f>
        <v/>
      </c>
      <c r="F2459" t="str">
        <f>""</f>
        <v/>
      </c>
      <c r="G2459" s="3">
        <v>3418.3</v>
      </c>
      <c r="H2459" t="str">
        <f t="shared" si="46"/>
        <v>BCBS PAYABLE</v>
      </c>
    </row>
    <row r="2460" spans="5:8" x14ac:dyDescent="0.25">
      <c r="E2460" t="str">
        <f>""</f>
        <v/>
      </c>
      <c r="F2460" t="str">
        <f>""</f>
        <v/>
      </c>
      <c r="G2460" s="3">
        <v>5474.82</v>
      </c>
      <c r="H2460" t="str">
        <f t="shared" si="46"/>
        <v>BCBS PAYABLE</v>
      </c>
    </row>
    <row r="2461" spans="5:8" x14ac:dyDescent="0.25">
      <c r="E2461" t="str">
        <f>""</f>
        <v/>
      </c>
      <c r="F2461" t="str">
        <f>""</f>
        <v/>
      </c>
      <c r="G2461" s="3">
        <v>341.83</v>
      </c>
      <c r="H2461" t="str">
        <f t="shared" si="46"/>
        <v>BCBS PAYABLE</v>
      </c>
    </row>
    <row r="2462" spans="5:8" x14ac:dyDescent="0.25">
      <c r="E2462" t="str">
        <f>""</f>
        <v/>
      </c>
      <c r="F2462" t="str">
        <f>""</f>
        <v/>
      </c>
      <c r="G2462" s="3">
        <v>341.83</v>
      </c>
      <c r="H2462" t="str">
        <f t="shared" si="46"/>
        <v>BCBS PAYABLE</v>
      </c>
    </row>
    <row r="2463" spans="5:8" x14ac:dyDescent="0.25">
      <c r="E2463" t="str">
        <f>""</f>
        <v/>
      </c>
      <c r="F2463" t="str">
        <f>""</f>
        <v/>
      </c>
      <c r="G2463" s="3">
        <v>17882.64</v>
      </c>
      <c r="H2463" t="str">
        <f t="shared" si="46"/>
        <v>BCBS PAYABLE</v>
      </c>
    </row>
    <row r="2464" spans="5:8" x14ac:dyDescent="0.25">
      <c r="E2464" t="str">
        <f>""</f>
        <v/>
      </c>
      <c r="F2464" t="str">
        <f>""</f>
        <v/>
      </c>
      <c r="G2464" s="3">
        <v>1309.7</v>
      </c>
      <c r="H2464" t="str">
        <f t="shared" si="46"/>
        <v>BCBS PAYABLE</v>
      </c>
    </row>
    <row r="2465" spans="5:8" x14ac:dyDescent="0.25">
      <c r="E2465" t="str">
        <f>""</f>
        <v/>
      </c>
      <c r="F2465" t="str">
        <f>""</f>
        <v/>
      </c>
      <c r="G2465" s="3">
        <v>20839.599999999999</v>
      </c>
      <c r="H2465" t="str">
        <f t="shared" si="46"/>
        <v>BCBS PAYABLE</v>
      </c>
    </row>
    <row r="2466" spans="5:8" x14ac:dyDescent="0.25">
      <c r="E2466" t="str">
        <f>""</f>
        <v/>
      </c>
      <c r="F2466" t="str">
        <f>""</f>
        <v/>
      </c>
      <c r="G2466" s="3">
        <v>4443.79</v>
      </c>
      <c r="H2466" t="str">
        <f t="shared" si="46"/>
        <v>BCBS PAYABLE</v>
      </c>
    </row>
    <row r="2467" spans="5:8" x14ac:dyDescent="0.25">
      <c r="E2467" t="str">
        <f>""</f>
        <v/>
      </c>
      <c r="F2467" t="str">
        <f>""</f>
        <v/>
      </c>
      <c r="G2467" s="3">
        <v>341.83</v>
      </c>
      <c r="H2467" t="str">
        <f t="shared" si="46"/>
        <v>BCBS PAYABLE</v>
      </c>
    </row>
    <row r="2468" spans="5:8" x14ac:dyDescent="0.25">
      <c r="E2468" t="str">
        <f>""</f>
        <v/>
      </c>
      <c r="F2468" t="str">
        <f>""</f>
        <v/>
      </c>
      <c r="G2468" s="3">
        <v>683.66</v>
      </c>
      <c r="H2468" t="str">
        <f t="shared" si="46"/>
        <v>BCBS PAYABLE</v>
      </c>
    </row>
    <row r="2469" spans="5:8" x14ac:dyDescent="0.25">
      <c r="E2469" t="str">
        <f>""</f>
        <v/>
      </c>
      <c r="F2469" t="str">
        <f>""</f>
        <v/>
      </c>
      <c r="G2469" s="3">
        <v>87.59</v>
      </c>
      <c r="H2469" t="str">
        <f t="shared" si="46"/>
        <v>BCBS PAYABLE</v>
      </c>
    </row>
    <row r="2470" spans="5:8" x14ac:dyDescent="0.25">
      <c r="E2470" t="str">
        <f>""</f>
        <v/>
      </c>
      <c r="F2470" t="str">
        <f>""</f>
        <v/>
      </c>
      <c r="G2470" s="3">
        <v>683.66</v>
      </c>
      <c r="H2470" t="str">
        <f t="shared" si="46"/>
        <v>BCBS PAYABLE</v>
      </c>
    </row>
    <row r="2471" spans="5:8" x14ac:dyDescent="0.25">
      <c r="E2471" t="str">
        <f>""</f>
        <v/>
      </c>
      <c r="F2471" t="str">
        <f>""</f>
        <v/>
      </c>
      <c r="G2471" s="3">
        <v>341.83</v>
      </c>
      <c r="H2471" t="str">
        <f t="shared" si="46"/>
        <v>BCBS PAYABLE</v>
      </c>
    </row>
    <row r="2472" spans="5:8" x14ac:dyDescent="0.25">
      <c r="E2472" t="str">
        <f>""</f>
        <v/>
      </c>
      <c r="F2472" t="str">
        <f>""</f>
        <v/>
      </c>
      <c r="G2472" s="3">
        <v>683.66</v>
      </c>
      <c r="H2472" t="str">
        <f t="shared" si="46"/>
        <v>BCBS PAYABLE</v>
      </c>
    </row>
    <row r="2473" spans="5:8" x14ac:dyDescent="0.25">
      <c r="E2473" t="str">
        <f>""</f>
        <v/>
      </c>
      <c r="F2473" t="str">
        <f>""</f>
        <v/>
      </c>
      <c r="G2473" s="3">
        <v>683.66</v>
      </c>
      <c r="H2473" t="str">
        <f t="shared" si="46"/>
        <v>BCBS PAYABLE</v>
      </c>
    </row>
    <row r="2474" spans="5:8" x14ac:dyDescent="0.25">
      <c r="E2474" t="str">
        <f>""</f>
        <v/>
      </c>
      <c r="F2474" t="str">
        <f>""</f>
        <v/>
      </c>
      <c r="G2474" s="3">
        <v>38.369999999999997</v>
      </c>
      <c r="H2474" t="str">
        <f t="shared" si="46"/>
        <v>BCBS PAYABLE</v>
      </c>
    </row>
    <row r="2475" spans="5:8" x14ac:dyDescent="0.25">
      <c r="E2475" t="str">
        <f>""</f>
        <v/>
      </c>
      <c r="F2475" t="str">
        <f>""</f>
        <v/>
      </c>
      <c r="G2475" s="3">
        <v>2474.83</v>
      </c>
      <c r="H2475" t="str">
        <f t="shared" si="46"/>
        <v>BCBS PAYABLE</v>
      </c>
    </row>
    <row r="2476" spans="5:8" x14ac:dyDescent="0.25">
      <c r="E2476" t="str">
        <f>""</f>
        <v/>
      </c>
      <c r="F2476" t="str">
        <f>""</f>
        <v/>
      </c>
      <c r="G2476" s="3">
        <v>2671.68</v>
      </c>
      <c r="H2476" t="str">
        <f t="shared" si="46"/>
        <v>BCBS PAYABLE</v>
      </c>
    </row>
    <row r="2477" spans="5:8" x14ac:dyDescent="0.25">
      <c r="E2477" t="str">
        <f>""</f>
        <v/>
      </c>
      <c r="F2477" t="str">
        <f>""</f>
        <v/>
      </c>
      <c r="G2477" s="3">
        <v>4035.89</v>
      </c>
      <c r="H2477" t="str">
        <f t="shared" si="46"/>
        <v>BCBS PAYABLE</v>
      </c>
    </row>
    <row r="2478" spans="5:8" x14ac:dyDescent="0.25">
      <c r="E2478" t="str">
        <f>""</f>
        <v/>
      </c>
      <c r="F2478" t="str">
        <f>""</f>
        <v/>
      </c>
      <c r="G2478" s="3">
        <v>3699.16</v>
      </c>
      <c r="H2478" t="str">
        <f t="shared" si="46"/>
        <v>BCBS PAYABLE</v>
      </c>
    </row>
    <row r="2479" spans="5:8" x14ac:dyDescent="0.25">
      <c r="E2479" t="str">
        <f>""</f>
        <v/>
      </c>
      <c r="F2479" t="str">
        <f>""</f>
        <v/>
      </c>
      <c r="G2479" s="3">
        <v>341.83</v>
      </c>
      <c r="H2479" t="str">
        <f t="shared" si="46"/>
        <v>BCBS PAYABLE</v>
      </c>
    </row>
    <row r="2480" spans="5:8" x14ac:dyDescent="0.25">
      <c r="E2480" t="str">
        <f>""</f>
        <v/>
      </c>
      <c r="F2480" t="str">
        <f>""</f>
        <v/>
      </c>
      <c r="G2480" s="3">
        <v>596.07000000000005</v>
      </c>
      <c r="H2480" t="str">
        <f t="shared" si="46"/>
        <v>BCBS PAYABLE</v>
      </c>
    </row>
    <row r="2481" spans="5:8" x14ac:dyDescent="0.25">
      <c r="E2481" t="str">
        <f>""</f>
        <v/>
      </c>
      <c r="F2481" t="str">
        <f>""</f>
        <v/>
      </c>
      <c r="G2481" s="3">
        <v>1330.92</v>
      </c>
      <c r="H2481" t="str">
        <f t="shared" si="46"/>
        <v>BCBS PAYABLE</v>
      </c>
    </row>
    <row r="2482" spans="5:8" x14ac:dyDescent="0.25">
      <c r="E2482" t="str">
        <f>""</f>
        <v/>
      </c>
      <c r="F2482" t="str">
        <f>""</f>
        <v/>
      </c>
      <c r="G2482" s="3">
        <v>117.17</v>
      </c>
      <c r="H2482" t="str">
        <f t="shared" si="46"/>
        <v>BCBS PAYABLE</v>
      </c>
    </row>
    <row r="2483" spans="5:8" x14ac:dyDescent="0.25">
      <c r="E2483" t="str">
        <f>""</f>
        <v/>
      </c>
      <c r="F2483" t="str">
        <f>""</f>
        <v/>
      </c>
      <c r="G2483" s="3">
        <v>13.07</v>
      </c>
      <c r="H2483" t="str">
        <f t="shared" si="46"/>
        <v>BCBS PAYABLE</v>
      </c>
    </row>
    <row r="2484" spans="5:8" x14ac:dyDescent="0.25">
      <c r="E2484" t="str">
        <f>""</f>
        <v/>
      </c>
      <c r="F2484" t="str">
        <f>""</f>
        <v/>
      </c>
      <c r="G2484" s="3">
        <v>340.4</v>
      </c>
      <c r="H2484" t="str">
        <f t="shared" ref="H2484:H2547" si="47">"BCBS PAYABLE"</f>
        <v>BCBS PAYABLE</v>
      </c>
    </row>
    <row r="2485" spans="5:8" x14ac:dyDescent="0.25">
      <c r="E2485" t="str">
        <f>"2EO202109015417"</f>
        <v>2EO202109015417</v>
      </c>
      <c r="F2485" t="str">
        <f>"BCBS PAYABLE"</f>
        <v>BCBS PAYABLE</v>
      </c>
      <c r="G2485" s="3">
        <v>3076.47</v>
      </c>
      <c r="H2485" t="str">
        <f t="shared" si="47"/>
        <v>BCBS PAYABLE</v>
      </c>
    </row>
    <row r="2486" spans="5:8" x14ac:dyDescent="0.25">
      <c r="E2486" t="str">
        <f>"2EO202109155691"</f>
        <v>2EO202109155691</v>
      </c>
      <c r="F2486" t="str">
        <f>"BCBS PAYABLE"</f>
        <v>BCBS PAYABLE</v>
      </c>
      <c r="G2486" s="3">
        <v>683.66</v>
      </c>
      <c r="H2486" t="str">
        <f t="shared" si="47"/>
        <v>BCBS PAYABLE</v>
      </c>
    </row>
    <row r="2487" spans="5:8" x14ac:dyDescent="0.25">
      <c r="E2487" t="str">
        <f>""</f>
        <v/>
      </c>
      <c r="F2487" t="str">
        <f>""</f>
        <v/>
      </c>
      <c r="G2487" s="3">
        <v>444.27</v>
      </c>
      <c r="H2487" t="str">
        <f t="shared" si="47"/>
        <v>BCBS PAYABLE</v>
      </c>
    </row>
    <row r="2488" spans="5:8" x14ac:dyDescent="0.25">
      <c r="E2488" t="str">
        <f>""</f>
        <v/>
      </c>
      <c r="F2488" t="str">
        <f>""</f>
        <v/>
      </c>
      <c r="G2488" s="3">
        <v>2350.59</v>
      </c>
      <c r="H2488" t="str">
        <f t="shared" si="47"/>
        <v>BCBS PAYABLE</v>
      </c>
    </row>
    <row r="2489" spans="5:8" x14ac:dyDescent="0.25">
      <c r="E2489" t="str">
        <f>""</f>
        <v/>
      </c>
      <c r="F2489" t="str">
        <f>""</f>
        <v/>
      </c>
      <c r="G2489" s="3">
        <v>683.66</v>
      </c>
      <c r="H2489" t="str">
        <f t="shared" si="47"/>
        <v>BCBS PAYABLE</v>
      </c>
    </row>
    <row r="2490" spans="5:8" x14ac:dyDescent="0.25">
      <c r="E2490" t="str">
        <f>""</f>
        <v/>
      </c>
      <c r="F2490" t="str">
        <f>""</f>
        <v/>
      </c>
      <c r="G2490" s="3">
        <v>683.66</v>
      </c>
      <c r="H2490" t="str">
        <f t="shared" si="47"/>
        <v>BCBS PAYABLE</v>
      </c>
    </row>
    <row r="2491" spans="5:8" x14ac:dyDescent="0.25">
      <c r="E2491" t="str">
        <f>""</f>
        <v/>
      </c>
      <c r="F2491" t="str">
        <f>""</f>
        <v/>
      </c>
      <c r="G2491" s="3">
        <v>341.83</v>
      </c>
      <c r="H2491" t="str">
        <f t="shared" si="47"/>
        <v>BCBS PAYABLE</v>
      </c>
    </row>
    <row r="2492" spans="5:8" x14ac:dyDescent="0.25">
      <c r="E2492" t="str">
        <f>""</f>
        <v/>
      </c>
      <c r="F2492" t="str">
        <f>""</f>
        <v/>
      </c>
      <c r="G2492" s="3">
        <v>4785.62</v>
      </c>
      <c r="H2492" t="str">
        <f t="shared" si="47"/>
        <v>BCBS PAYABLE</v>
      </c>
    </row>
    <row r="2493" spans="5:8" x14ac:dyDescent="0.25">
      <c r="E2493" t="str">
        <f>""</f>
        <v/>
      </c>
      <c r="F2493" t="str">
        <f>""</f>
        <v/>
      </c>
      <c r="G2493" s="3">
        <v>683.66</v>
      </c>
      <c r="H2493" t="str">
        <f t="shared" si="47"/>
        <v>BCBS PAYABLE</v>
      </c>
    </row>
    <row r="2494" spans="5:8" x14ac:dyDescent="0.25">
      <c r="E2494" t="str">
        <f>""</f>
        <v/>
      </c>
      <c r="F2494" t="str">
        <f>""</f>
        <v/>
      </c>
      <c r="G2494" s="3">
        <v>1367.32</v>
      </c>
      <c r="H2494" t="str">
        <f t="shared" si="47"/>
        <v>BCBS PAYABLE</v>
      </c>
    </row>
    <row r="2495" spans="5:8" x14ac:dyDescent="0.25">
      <c r="E2495" t="str">
        <f>""</f>
        <v/>
      </c>
      <c r="F2495" t="str">
        <f>""</f>
        <v/>
      </c>
      <c r="G2495" s="3">
        <v>3418.3</v>
      </c>
      <c r="H2495" t="str">
        <f t="shared" si="47"/>
        <v>BCBS PAYABLE</v>
      </c>
    </row>
    <row r="2496" spans="5:8" x14ac:dyDescent="0.25">
      <c r="E2496" t="str">
        <f>""</f>
        <v/>
      </c>
      <c r="F2496" t="str">
        <f>""</f>
        <v/>
      </c>
      <c r="G2496" s="3">
        <v>683.66</v>
      </c>
      <c r="H2496" t="str">
        <f t="shared" si="47"/>
        <v>BCBS PAYABLE</v>
      </c>
    </row>
    <row r="2497" spans="5:8" x14ac:dyDescent="0.25">
      <c r="E2497" t="str">
        <f>""</f>
        <v/>
      </c>
      <c r="F2497" t="str">
        <f>""</f>
        <v/>
      </c>
      <c r="G2497" s="3">
        <v>683.66</v>
      </c>
      <c r="H2497" t="str">
        <f t="shared" si="47"/>
        <v>BCBS PAYABLE</v>
      </c>
    </row>
    <row r="2498" spans="5:8" x14ac:dyDescent="0.25">
      <c r="E2498" t="str">
        <f>""</f>
        <v/>
      </c>
      <c r="F2498" t="str">
        <f>""</f>
        <v/>
      </c>
      <c r="G2498" s="3">
        <v>341.83</v>
      </c>
      <c r="H2498" t="str">
        <f t="shared" si="47"/>
        <v>BCBS PAYABLE</v>
      </c>
    </row>
    <row r="2499" spans="5:8" x14ac:dyDescent="0.25">
      <c r="E2499" t="str">
        <f>""</f>
        <v/>
      </c>
      <c r="F2499" t="str">
        <f>""</f>
        <v/>
      </c>
      <c r="G2499" s="3">
        <v>1025.49</v>
      </c>
      <c r="H2499" t="str">
        <f t="shared" si="47"/>
        <v>BCBS PAYABLE</v>
      </c>
    </row>
    <row r="2500" spans="5:8" x14ac:dyDescent="0.25">
      <c r="E2500" t="str">
        <f>""</f>
        <v/>
      </c>
      <c r="F2500" t="str">
        <f>""</f>
        <v/>
      </c>
      <c r="G2500" s="3">
        <v>683.66</v>
      </c>
      <c r="H2500" t="str">
        <f t="shared" si="47"/>
        <v>BCBS PAYABLE</v>
      </c>
    </row>
    <row r="2501" spans="5:8" x14ac:dyDescent="0.25">
      <c r="E2501" t="str">
        <f>""</f>
        <v/>
      </c>
      <c r="F2501" t="str">
        <f>""</f>
        <v/>
      </c>
      <c r="G2501" s="3">
        <v>3288.06</v>
      </c>
      <c r="H2501" t="str">
        <f t="shared" si="47"/>
        <v>BCBS PAYABLE</v>
      </c>
    </row>
    <row r="2502" spans="5:8" x14ac:dyDescent="0.25">
      <c r="E2502" t="str">
        <f>""</f>
        <v/>
      </c>
      <c r="F2502" t="str">
        <f>""</f>
        <v/>
      </c>
      <c r="G2502" s="3">
        <v>1025.49</v>
      </c>
      <c r="H2502" t="str">
        <f t="shared" si="47"/>
        <v>BCBS PAYABLE</v>
      </c>
    </row>
    <row r="2503" spans="5:8" x14ac:dyDescent="0.25">
      <c r="E2503" t="str">
        <f>""</f>
        <v/>
      </c>
      <c r="F2503" t="str">
        <f>""</f>
        <v/>
      </c>
      <c r="G2503" s="3">
        <v>683.66</v>
      </c>
      <c r="H2503" t="str">
        <f t="shared" si="47"/>
        <v>BCBS PAYABLE</v>
      </c>
    </row>
    <row r="2504" spans="5:8" x14ac:dyDescent="0.25">
      <c r="E2504" t="str">
        <f>""</f>
        <v/>
      </c>
      <c r="F2504" t="str">
        <f>""</f>
        <v/>
      </c>
      <c r="G2504" s="3">
        <v>683.66</v>
      </c>
      <c r="H2504" t="str">
        <f t="shared" si="47"/>
        <v>BCBS PAYABLE</v>
      </c>
    </row>
    <row r="2505" spans="5:8" x14ac:dyDescent="0.25">
      <c r="E2505" t="str">
        <f>""</f>
        <v/>
      </c>
      <c r="F2505" t="str">
        <f>""</f>
        <v/>
      </c>
      <c r="G2505" s="3">
        <v>3076.47</v>
      </c>
      <c r="H2505" t="str">
        <f t="shared" si="47"/>
        <v>BCBS PAYABLE</v>
      </c>
    </row>
    <row r="2506" spans="5:8" x14ac:dyDescent="0.25">
      <c r="E2506" t="str">
        <f>""</f>
        <v/>
      </c>
      <c r="F2506" t="str">
        <f>""</f>
        <v/>
      </c>
      <c r="G2506" s="3">
        <v>1367.32</v>
      </c>
      <c r="H2506" t="str">
        <f t="shared" si="47"/>
        <v>BCBS PAYABLE</v>
      </c>
    </row>
    <row r="2507" spans="5:8" x14ac:dyDescent="0.25">
      <c r="E2507" t="str">
        <f>""</f>
        <v/>
      </c>
      <c r="F2507" t="str">
        <f>""</f>
        <v/>
      </c>
      <c r="G2507" s="3">
        <v>2392.81</v>
      </c>
      <c r="H2507" t="str">
        <f t="shared" si="47"/>
        <v>BCBS PAYABLE</v>
      </c>
    </row>
    <row r="2508" spans="5:8" x14ac:dyDescent="0.25">
      <c r="E2508" t="str">
        <f>""</f>
        <v/>
      </c>
      <c r="F2508" t="str">
        <f>""</f>
        <v/>
      </c>
      <c r="G2508" s="3">
        <v>3418.3</v>
      </c>
      <c r="H2508" t="str">
        <f t="shared" si="47"/>
        <v>BCBS PAYABLE</v>
      </c>
    </row>
    <row r="2509" spans="5:8" x14ac:dyDescent="0.25">
      <c r="E2509" t="str">
        <f>""</f>
        <v/>
      </c>
      <c r="F2509" t="str">
        <f>""</f>
        <v/>
      </c>
      <c r="G2509" s="3">
        <v>5474.82</v>
      </c>
      <c r="H2509" t="str">
        <f t="shared" si="47"/>
        <v>BCBS PAYABLE</v>
      </c>
    </row>
    <row r="2510" spans="5:8" x14ac:dyDescent="0.25">
      <c r="E2510" t="str">
        <f>""</f>
        <v/>
      </c>
      <c r="F2510" t="str">
        <f>""</f>
        <v/>
      </c>
      <c r="G2510" s="3">
        <v>341.83</v>
      </c>
      <c r="H2510" t="str">
        <f t="shared" si="47"/>
        <v>BCBS PAYABLE</v>
      </c>
    </row>
    <row r="2511" spans="5:8" x14ac:dyDescent="0.25">
      <c r="E2511" t="str">
        <f>""</f>
        <v/>
      </c>
      <c r="F2511" t="str">
        <f>""</f>
        <v/>
      </c>
      <c r="G2511" s="3">
        <v>341.83</v>
      </c>
      <c r="H2511" t="str">
        <f t="shared" si="47"/>
        <v>BCBS PAYABLE</v>
      </c>
    </row>
    <row r="2512" spans="5:8" x14ac:dyDescent="0.25">
      <c r="E2512" t="str">
        <f>""</f>
        <v/>
      </c>
      <c r="F2512" t="str">
        <f>""</f>
        <v/>
      </c>
      <c r="G2512" s="3">
        <v>19127.900000000001</v>
      </c>
      <c r="H2512" t="str">
        <f t="shared" si="47"/>
        <v>BCBS PAYABLE</v>
      </c>
    </row>
    <row r="2513" spans="5:8" x14ac:dyDescent="0.25">
      <c r="E2513" t="str">
        <f>""</f>
        <v/>
      </c>
      <c r="F2513" t="str">
        <f>""</f>
        <v/>
      </c>
      <c r="G2513" s="3">
        <v>1356.99</v>
      </c>
      <c r="H2513" t="str">
        <f t="shared" si="47"/>
        <v>BCBS PAYABLE</v>
      </c>
    </row>
    <row r="2514" spans="5:8" x14ac:dyDescent="0.25">
      <c r="E2514" t="str">
        <f>""</f>
        <v/>
      </c>
      <c r="F2514" t="str">
        <f>""</f>
        <v/>
      </c>
      <c r="G2514" s="3">
        <v>20194.310000000001</v>
      </c>
      <c r="H2514" t="str">
        <f t="shared" si="47"/>
        <v>BCBS PAYABLE</v>
      </c>
    </row>
    <row r="2515" spans="5:8" x14ac:dyDescent="0.25">
      <c r="E2515" t="str">
        <f>""</f>
        <v/>
      </c>
      <c r="F2515" t="str">
        <f>""</f>
        <v/>
      </c>
      <c r="G2515" s="3">
        <v>4443.79</v>
      </c>
      <c r="H2515" t="str">
        <f t="shared" si="47"/>
        <v>BCBS PAYABLE</v>
      </c>
    </row>
    <row r="2516" spans="5:8" x14ac:dyDescent="0.25">
      <c r="E2516" t="str">
        <f>""</f>
        <v/>
      </c>
      <c r="F2516" t="str">
        <f>""</f>
        <v/>
      </c>
      <c r="G2516" s="3">
        <v>341.83</v>
      </c>
      <c r="H2516" t="str">
        <f t="shared" si="47"/>
        <v>BCBS PAYABLE</v>
      </c>
    </row>
    <row r="2517" spans="5:8" x14ac:dyDescent="0.25">
      <c r="E2517" t="str">
        <f>""</f>
        <v/>
      </c>
      <c r="F2517" t="str">
        <f>""</f>
        <v/>
      </c>
      <c r="G2517" s="3">
        <v>683.66</v>
      </c>
      <c r="H2517" t="str">
        <f t="shared" si="47"/>
        <v>BCBS PAYABLE</v>
      </c>
    </row>
    <row r="2518" spans="5:8" x14ac:dyDescent="0.25">
      <c r="E2518" t="str">
        <f>""</f>
        <v/>
      </c>
      <c r="F2518" t="str">
        <f>""</f>
        <v/>
      </c>
      <c r="G2518" s="3">
        <v>87.59</v>
      </c>
      <c r="H2518" t="str">
        <f t="shared" si="47"/>
        <v>BCBS PAYABLE</v>
      </c>
    </row>
    <row r="2519" spans="5:8" x14ac:dyDescent="0.25">
      <c r="E2519" t="str">
        <f>""</f>
        <v/>
      </c>
      <c r="F2519" t="str">
        <f>""</f>
        <v/>
      </c>
      <c r="G2519" s="3">
        <v>683.66</v>
      </c>
      <c r="H2519" t="str">
        <f t="shared" si="47"/>
        <v>BCBS PAYABLE</v>
      </c>
    </row>
    <row r="2520" spans="5:8" x14ac:dyDescent="0.25">
      <c r="E2520" t="str">
        <f>""</f>
        <v/>
      </c>
      <c r="F2520" t="str">
        <f>""</f>
        <v/>
      </c>
      <c r="G2520" s="3">
        <v>341.83</v>
      </c>
      <c r="H2520" t="str">
        <f t="shared" si="47"/>
        <v>BCBS PAYABLE</v>
      </c>
    </row>
    <row r="2521" spans="5:8" x14ac:dyDescent="0.25">
      <c r="E2521" t="str">
        <f>""</f>
        <v/>
      </c>
      <c r="F2521" t="str">
        <f>""</f>
        <v/>
      </c>
      <c r="G2521" s="3">
        <v>683.66</v>
      </c>
      <c r="H2521" t="str">
        <f t="shared" si="47"/>
        <v>BCBS PAYABLE</v>
      </c>
    </row>
    <row r="2522" spans="5:8" x14ac:dyDescent="0.25">
      <c r="E2522" t="str">
        <f>""</f>
        <v/>
      </c>
      <c r="F2522" t="str">
        <f>""</f>
        <v/>
      </c>
      <c r="G2522" s="3">
        <v>683.66</v>
      </c>
      <c r="H2522" t="str">
        <f t="shared" si="47"/>
        <v>BCBS PAYABLE</v>
      </c>
    </row>
    <row r="2523" spans="5:8" x14ac:dyDescent="0.25">
      <c r="E2523" t="str">
        <f>""</f>
        <v/>
      </c>
      <c r="F2523" t="str">
        <f>""</f>
        <v/>
      </c>
      <c r="G2523" s="3">
        <v>42.22</v>
      </c>
      <c r="H2523" t="str">
        <f t="shared" si="47"/>
        <v>BCBS PAYABLE</v>
      </c>
    </row>
    <row r="2524" spans="5:8" x14ac:dyDescent="0.25">
      <c r="E2524" t="str">
        <f>""</f>
        <v/>
      </c>
      <c r="F2524" t="str">
        <f>""</f>
        <v/>
      </c>
      <c r="G2524" s="3">
        <v>2474.83</v>
      </c>
      <c r="H2524" t="str">
        <f t="shared" si="47"/>
        <v>BCBS PAYABLE</v>
      </c>
    </row>
    <row r="2525" spans="5:8" x14ac:dyDescent="0.25">
      <c r="E2525" t="str">
        <f>""</f>
        <v/>
      </c>
      <c r="F2525" t="str">
        <f>""</f>
        <v/>
      </c>
      <c r="G2525" s="3">
        <v>2671.68</v>
      </c>
      <c r="H2525" t="str">
        <f t="shared" si="47"/>
        <v>BCBS PAYABLE</v>
      </c>
    </row>
    <row r="2526" spans="5:8" x14ac:dyDescent="0.25">
      <c r="E2526" t="str">
        <f>""</f>
        <v/>
      </c>
      <c r="F2526" t="str">
        <f>""</f>
        <v/>
      </c>
      <c r="G2526" s="3">
        <v>4035.89</v>
      </c>
      <c r="H2526" t="str">
        <f t="shared" si="47"/>
        <v>BCBS PAYABLE</v>
      </c>
    </row>
    <row r="2527" spans="5:8" x14ac:dyDescent="0.25">
      <c r="E2527" t="str">
        <f>""</f>
        <v/>
      </c>
      <c r="F2527" t="str">
        <f>""</f>
        <v/>
      </c>
      <c r="G2527" s="3">
        <v>3699.16</v>
      </c>
      <c r="H2527" t="str">
        <f t="shared" si="47"/>
        <v>BCBS PAYABLE</v>
      </c>
    </row>
    <row r="2528" spans="5:8" x14ac:dyDescent="0.25">
      <c r="E2528" t="str">
        <f>""</f>
        <v/>
      </c>
      <c r="F2528" t="str">
        <f>""</f>
        <v/>
      </c>
      <c r="G2528" s="3">
        <v>341.83</v>
      </c>
      <c r="H2528" t="str">
        <f t="shared" si="47"/>
        <v>BCBS PAYABLE</v>
      </c>
    </row>
    <row r="2529" spans="5:8" x14ac:dyDescent="0.25">
      <c r="E2529" t="str">
        <f>""</f>
        <v/>
      </c>
      <c r="F2529" t="str">
        <f>""</f>
        <v/>
      </c>
      <c r="G2529" s="3">
        <v>596.07000000000005</v>
      </c>
      <c r="H2529" t="str">
        <f t="shared" si="47"/>
        <v>BCBS PAYABLE</v>
      </c>
    </row>
    <row r="2530" spans="5:8" x14ac:dyDescent="0.25">
      <c r="E2530" t="str">
        <f>""</f>
        <v/>
      </c>
      <c r="F2530" t="str">
        <f>""</f>
        <v/>
      </c>
      <c r="G2530" s="3">
        <v>117.17</v>
      </c>
      <c r="H2530" t="str">
        <f t="shared" si="47"/>
        <v>BCBS PAYABLE</v>
      </c>
    </row>
    <row r="2531" spans="5:8" x14ac:dyDescent="0.25">
      <c r="E2531" t="str">
        <f>""</f>
        <v/>
      </c>
      <c r="F2531" t="str">
        <f>""</f>
        <v/>
      </c>
      <c r="G2531" s="3">
        <v>13.07</v>
      </c>
      <c r="H2531" t="str">
        <f t="shared" si="47"/>
        <v>BCBS PAYABLE</v>
      </c>
    </row>
    <row r="2532" spans="5:8" x14ac:dyDescent="0.25">
      <c r="E2532" t="str">
        <f>""</f>
        <v/>
      </c>
      <c r="F2532" t="str">
        <f>""</f>
        <v/>
      </c>
      <c r="G2532" s="3">
        <v>340.4</v>
      </c>
      <c r="H2532" t="str">
        <f t="shared" si="47"/>
        <v>BCBS PAYABLE</v>
      </c>
    </row>
    <row r="2533" spans="5:8" x14ac:dyDescent="0.25">
      <c r="E2533" t="str">
        <f>"2EO202109155692"</f>
        <v>2EO202109155692</v>
      </c>
      <c r="F2533" t="str">
        <f>"BCBS PAYABLE"</f>
        <v>BCBS PAYABLE</v>
      </c>
      <c r="G2533" s="3">
        <v>3076.47</v>
      </c>
      <c r="H2533" t="str">
        <f t="shared" si="47"/>
        <v>BCBS PAYABLE</v>
      </c>
    </row>
    <row r="2534" spans="5:8" x14ac:dyDescent="0.25">
      <c r="E2534" t="str">
        <f>"2ES202109015416"</f>
        <v>2ES202109015416</v>
      </c>
      <c r="F2534" t="str">
        <f>"BCBS PAYABLE"</f>
        <v>BCBS PAYABLE</v>
      </c>
      <c r="G2534" s="3">
        <v>341.83</v>
      </c>
      <c r="H2534" t="str">
        <f t="shared" si="47"/>
        <v>BCBS PAYABLE</v>
      </c>
    </row>
    <row r="2535" spans="5:8" x14ac:dyDescent="0.25">
      <c r="E2535" t="str">
        <f>""</f>
        <v/>
      </c>
      <c r="F2535" t="str">
        <f>""</f>
        <v/>
      </c>
      <c r="G2535" s="3">
        <v>683.66</v>
      </c>
      <c r="H2535" t="str">
        <f t="shared" si="47"/>
        <v>BCBS PAYABLE</v>
      </c>
    </row>
    <row r="2536" spans="5:8" x14ac:dyDescent="0.25">
      <c r="E2536" t="str">
        <f>""</f>
        <v/>
      </c>
      <c r="F2536" t="str">
        <f>""</f>
        <v/>
      </c>
      <c r="G2536" s="3">
        <v>341.83</v>
      </c>
      <c r="H2536" t="str">
        <f t="shared" si="47"/>
        <v>BCBS PAYABLE</v>
      </c>
    </row>
    <row r="2537" spans="5:8" x14ac:dyDescent="0.25">
      <c r="E2537" t="str">
        <f>""</f>
        <v/>
      </c>
      <c r="F2537" t="str">
        <f>""</f>
        <v/>
      </c>
      <c r="G2537" s="3">
        <v>341.83</v>
      </c>
      <c r="H2537" t="str">
        <f t="shared" si="47"/>
        <v>BCBS PAYABLE</v>
      </c>
    </row>
    <row r="2538" spans="5:8" x14ac:dyDescent="0.25">
      <c r="E2538" t="str">
        <f>""</f>
        <v/>
      </c>
      <c r="F2538" t="str">
        <f>""</f>
        <v/>
      </c>
      <c r="G2538" s="3">
        <v>341.83</v>
      </c>
      <c r="H2538" t="str">
        <f t="shared" si="47"/>
        <v>BCBS PAYABLE</v>
      </c>
    </row>
    <row r="2539" spans="5:8" x14ac:dyDescent="0.25">
      <c r="E2539" t="str">
        <f>""</f>
        <v/>
      </c>
      <c r="F2539" t="str">
        <f>""</f>
        <v/>
      </c>
      <c r="G2539" s="3">
        <v>341.83</v>
      </c>
      <c r="H2539" t="str">
        <f t="shared" si="47"/>
        <v>BCBS PAYABLE</v>
      </c>
    </row>
    <row r="2540" spans="5:8" x14ac:dyDescent="0.25">
      <c r="E2540" t="str">
        <f>""</f>
        <v/>
      </c>
      <c r="F2540" t="str">
        <f>""</f>
        <v/>
      </c>
      <c r="G2540" s="3">
        <v>341.83</v>
      </c>
      <c r="H2540" t="str">
        <f t="shared" si="47"/>
        <v>BCBS PAYABLE</v>
      </c>
    </row>
    <row r="2541" spans="5:8" x14ac:dyDescent="0.25">
      <c r="E2541" t="str">
        <f>""</f>
        <v/>
      </c>
      <c r="F2541" t="str">
        <f>""</f>
        <v/>
      </c>
      <c r="G2541" s="3">
        <v>341.83</v>
      </c>
      <c r="H2541" t="str">
        <f t="shared" si="47"/>
        <v>BCBS PAYABLE</v>
      </c>
    </row>
    <row r="2542" spans="5:8" x14ac:dyDescent="0.25">
      <c r="E2542" t="str">
        <f>""</f>
        <v/>
      </c>
      <c r="F2542" t="str">
        <f>""</f>
        <v/>
      </c>
      <c r="G2542" s="3">
        <v>683.66</v>
      </c>
      <c r="H2542" t="str">
        <f t="shared" si="47"/>
        <v>BCBS PAYABLE</v>
      </c>
    </row>
    <row r="2543" spans="5:8" x14ac:dyDescent="0.25">
      <c r="E2543" t="str">
        <f>""</f>
        <v/>
      </c>
      <c r="F2543" t="str">
        <f>""</f>
        <v/>
      </c>
      <c r="G2543" s="3">
        <v>683.66</v>
      </c>
      <c r="H2543" t="str">
        <f t="shared" si="47"/>
        <v>BCBS PAYABLE</v>
      </c>
    </row>
    <row r="2544" spans="5:8" x14ac:dyDescent="0.25">
      <c r="E2544" t="str">
        <f>""</f>
        <v/>
      </c>
      <c r="F2544" t="str">
        <f>""</f>
        <v/>
      </c>
      <c r="G2544" s="3">
        <v>2620.63</v>
      </c>
      <c r="H2544" t="str">
        <f t="shared" si="47"/>
        <v>BCBS PAYABLE</v>
      </c>
    </row>
    <row r="2545" spans="5:8" x14ac:dyDescent="0.25">
      <c r="E2545" t="str">
        <f>""</f>
        <v/>
      </c>
      <c r="F2545" t="str">
        <f>""</f>
        <v/>
      </c>
      <c r="G2545" s="3">
        <v>1687.2</v>
      </c>
      <c r="H2545" t="str">
        <f t="shared" si="47"/>
        <v>BCBS PAYABLE</v>
      </c>
    </row>
    <row r="2546" spans="5:8" x14ac:dyDescent="0.25">
      <c r="E2546" t="str">
        <f>""</f>
        <v/>
      </c>
      <c r="F2546" t="str">
        <f>""</f>
        <v/>
      </c>
      <c r="G2546" s="3">
        <v>341.83</v>
      </c>
      <c r="H2546" t="str">
        <f t="shared" si="47"/>
        <v>BCBS PAYABLE</v>
      </c>
    </row>
    <row r="2547" spans="5:8" x14ac:dyDescent="0.25">
      <c r="E2547" t="str">
        <f>""</f>
        <v/>
      </c>
      <c r="F2547" t="str">
        <f>""</f>
        <v/>
      </c>
      <c r="G2547" s="3">
        <v>341.83</v>
      </c>
      <c r="H2547" t="str">
        <f t="shared" si="47"/>
        <v>BCBS PAYABLE</v>
      </c>
    </row>
    <row r="2548" spans="5:8" x14ac:dyDescent="0.25">
      <c r="E2548" t="str">
        <f>""</f>
        <v/>
      </c>
      <c r="F2548" t="str">
        <f>""</f>
        <v/>
      </c>
      <c r="G2548" s="3">
        <v>709.81</v>
      </c>
      <c r="H2548" t="str">
        <f t="shared" ref="H2548:H2572" si="48">"BCBS PAYABLE"</f>
        <v>BCBS PAYABLE</v>
      </c>
    </row>
    <row r="2549" spans="5:8" x14ac:dyDescent="0.25">
      <c r="E2549" t="str">
        <f>""</f>
        <v/>
      </c>
      <c r="F2549" t="str">
        <f>""</f>
        <v/>
      </c>
      <c r="G2549" s="3">
        <v>341.83</v>
      </c>
      <c r="H2549" t="str">
        <f t="shared" si="48"/>
        <v>BCBS PAYABLE</v>
      </c>
    </row>
    <row r="2550" spans="5:8" x14ac:dyDescent="0.25">
      <c r="E2550" t="str">
        <f>""</f>
        <v/>
      </c>
      <c r="F2550" t="str">
        <f>""</f>
        <v/>
      </c>
      <c r="G2550" s="3">
        <v>683.66</v>
      </c>
      <c r="H2550" t="str">
        <f t="shared" si="48"/>
        <v>BCBS PAYABLE</v>
      </c>
    </row>
    <row r="2551" spans="5:8" x14ac:dyDescent="0.25">
      <c r="E2551" t="str">
        <f>""</f>
        <v/>
      </c>
      <c r="F2551" t="str">
        <f>""</f>
        <v/>
      </c>
      <c r="G2551" s="3">
        <v>341.83</v>
      </c>
      <c r="H2551" t="str">
        <f t="shared" si="48"/>
        <v>BCBS PAYABLE</v>
      </c>
    </row>
    <row r="2552" spans="5:8" x14ac:dyDescent="0.25">
      <c r="E2552" t="str">
        <f>""</f>
        <v/>
      </c>
      <c r="F2552" t="str">
        <f>""</f>
        <v/>
      </c>
      <c r="G2552" s="3">
        <v>109.81</v>
      </c>
      <c r="H2552" t="str">
        <f t="shared" si="48"/>
        <v>BCBS PAYABLE</v>
      </c>
    </row>
    <row r="2553" spans="5:8" x14ac:dyDescent="0.25">
      <c r="E2553" t="str">
        <f>""</f>
        <v/>
      </c>
      <c r="F2553" t="str">
        <f>""</f>
        <v/>
      </c>
      <c r="G2553" s="3">
        <v>6861.2</v>
      </c>
      <c r="H2553" t="str">
        <f t="shared" si="48"/>
        <v>BCBS PAYABLE</v>
      </c>
    </row>
    <row r="2554" spans="5:8" x14ac:dyDescent="0.25">
      <c r="E2554" t="str">
        <f>"2ES202109155691"</f>
        <v>2ES202109155691</v>
      </c>
      <c r="F2554" t="str">
        <f>"BCBS PAYABLE"</f>
        <v>BCBS PAYABLE</v>
      </c>
      <c r="G2554" s="3">
        <v>341.83</v>
      </c>
      <c r="H2554" t="str">
        <f t="shared" si="48"/>
        <v>BCBS PAYABLE</v>
      </c>
    </row>
    <row r="2555" spans="5:8" x14ac:dyDescent="0.25">
      <c r="E2555" t="str">
        <f>""</f>
        <v/>
      </c>
      <c r="F2555" t="str">
        <f>""</f>
        <v/>
      </c>
      <c r="G2555" s="3">
        <v>683.66</v>
      </c>
      <c r="H2555" t="str">
        <f t="shared" si="48"/>
        <v>BCBS PAYABLE</v>
      </c>
    </row>
    <row r="2556" spans="5:8" x14ac:dyDescent="0.25">
      <c r="E2556" t="str">
        <f>""</f>
        <v/>
      </c>
      <c r="F2556" t="str">
        <f>""</f>
        <v/>
      </c>
      <c r="G2556" s="3">
        <v>341.83</v>
      </c>
      <c r="H2556" t="str">
        <f t="shared" si="48"/>
        <v>BCBS PAYABLE</v>
      </c>
    </row>
    <row r="2557" spans="5:8" x14ac:dyDescent="0.25">
      <c r="E2557" t="str">
        <f>""</f>
        <v/>
      </c>
      <c r="F2557" t="str">
        <f>""</f>
        <v/>
      </c>
      <c r="G2557" s="3">
        <v>341.83</v>
      </c>
      <c r="H2557" t="str">
        <f t="shared" si="48"/>
        <v>BCBS PAYABLE</v>
      </c>
    </row>
    <row r="2558" spans="5:8" x14ac:dyDescent="0.25">
      <c r="E2558" t="str">
        <f>""</f>
        <v/>
      </c>
      <c r="F2558" t="str">
        <f>""</f>
        <v/>
      </c>
      <c r="G2558" s="3">
        <v>341.83</v>
      </c>
      <c r="H2558" t="str">
        <f t="shared" si="48"/>
        <v>BCBS PAYABLE</v>
      </c>
    </row>
    <row r="2559" spans="5:8" x14ac:dyDescent="0.25">
      <c r="E2559" t="str">
        <f>""</f>
        <v/>
      </c>
      <c r="F2559" t="str">
        <f>""</f>
        <v/>
      </c>
      <c r="G2559" s="3">
        <v>341.83</v>
      </c>
      <c r="H2559" t="str">
        <f t="shared" si="48"/>
        <v>BCBS PAYABLE</v>
      </c>
    </row>
    <row r="2560" spans="5:8" x14ac:dyDescent="0.25">
      <c r="E2560" t="str">
        <f>""</f>
        <v/>
      </c>
      <c r="F2560" t="str">
        <f>""</f>
        <v/>
      </c>
      <c r="G2560" s="3">
        <v>341.83</v>
      </c>
      <c r="H2560" t="str">
        <f t="shared" si="48"/>
        <v>BCBS PAYABLE</v>
      </c>
    </row>
    <row r="2561" spans="1:8" x14ac:dyDescent="0.25">
      <c r="E2561" t="str">
        <f>""</f>
        <v/>
      </c>
      <c r="F2561" t="str">
        <f>""</f>
        <v/>
      </c>
      <c r="G2561" s="3">
        <v>341.83</v>
      </c>
      <c r="H2561" t="str">
        <f t="shared" si="48"/>
        <v>BCBS PAYABLE</v>
      </c>
    </row>
    <row r="2562" spans="1:8" x14ac:dyDescent="0.25">
      <c r="E2562" t="str">
        <f>""</f>
        <v/>
      </c>
      <c r="F2562" t="str">
        <f>""</f>
        <v/>
      </c>
      <c r="G2562" s="3">
        <v>683.66</v>
      </c>
      <c r="H2562" t="str">
        <f t="shared" si="48"/>
        <v>BCBS PAYABLE</v>
      </c>
    </row>
    <row r="2563" spans="1:8" x14ac:dyDescent="0.25">
      <c r="E2563" t="str">
        <f>""</f>
        <v/>
      </c>
      <c r="F2563" t="str">
        <f>""</f>
        <v/>
      </c>
      <c r="G2563" s="3">
        <v>683.66</v>
      </c>
      <c r="H2563" t="str">
        <f t="shared" si="48"/>
        <v>BCBS PAYABLE</v>
      </c>
    </row>
    <row r="2564" spans="1:8" x14ac:dyDescent="0.25">
      <c r="E2564" t="str">
        <f>""</f>
        <v/>
      </c>
      <c r="F2564" t="str">
        <f>""</f>
        <v/>
      </c>
      <c r="G2564" s="3">
        <v>2756.59</v>
      </c>
      <c r="H2564" t="str">
        <f t="shared" si="48"/>
        <v>BCBS PAYABLE</v>
      </c>
    </row>
    <row r="2565" spans="1:8" x14ac:dyDescent="0.25">
      <c r="E2565" t="str">
        <f>""</f>
        <v/>
      </c>
      <c r="F2565" t="str">
        <f>""</f>
        <v/>
      </c>
      <c r="G2565" s="3">
        <v>1687.2</v>
      </c>
      <c r="H2565" t="str">
        <f t="shared" si="48"/>
        <v>BCBS PAYABLE</v>
      </c>
    </row>
    <row r="2566" spans="1:8" x14ac:dyDescent="0.25">
      <c r="E2566" t="str">
        <f>""</f>
        <v/>
      </c>
      <c r="F2566" t="str">
        <f>""</f>
        <v/>
      </c>
      <c r="G2566" s="3">
        <v>341.83</v>
      </c>
      <c r="H2566" t="str">
        <f t="shared" si="48"/>
        <v>BCBS PAYABLE</v>
      </c>
    </row>
    <row r="2567" spans="1:8" x14ac:dyDescent="0.25">
      <c r="E2567" t="str">
        <f>""</f>
        <v/>
      </c>
      <c r="F2567" t="str">
        <f>""</f>
        <v/>
      </c>
      <c r="G2567" s="3">
        <v>341.83</v>
      </c>
      <c r="H2567" t="str">
        <f t="shared" si="48"/>
        <v>BCBS PAYABLE</v>
      </c>
    </row>
    <row r="2568" spans="1:8" x14ac:dyDescent="0.25">
      <c r="E2568" t="str">
        <f>""</f>
        <v/>
      </c>
      <c r="F2568" t="str">
        <f>""</f>
        <v/>
      </c>
      <c r="G2568" s="3">
        <v>683.66</v>
      </c>
      <c r="H2568" t="str">
        <f t="shared" si="48"/>
        <v>BCBS PAYABLE</v>
      </c>
    </row>
    <row r="2569" spans="1:8" x14ac:dyDescent="0.25">
      <c r="E2569" t="str">
        <f>""</f>
        <v/>
      </c>
      <c r="F2569" t="str">
        <f>""</f>
        <v/>
      </c>
      <c r="G2569" s="3">
        <v>341.83</v>
      </c>
      <c r="H2569" t="str">
        <f t="shared" si="48"/>
        <v>BCBS PAYABLE</v>
      </c>
    </row>
    <row r="2570" spans="1:8" x14ac:dyDescent="0.25">
      <c r="E2570" t="str">
        <f>""</f>
        <v/>
      </c>
      <c r="F2570" t="str">
        <f>""</f>
        <v/>
      </c>
      <c r="G2570" s="3">
        <v>683.66</v>
      </c>
      <c r="H2570" t="str">
        <f t="shared" si="48"/>
        <v>BCBS PAYABLE</v>
      </c>
    </row>
    <row r="2571" spans="1:8" x14ac:dyDescent="0.25">
      <c r="E2571" t="str">
        <f>""</f>
        <v/>
      </c>
      <c r="F2571" t="str">
        <f>""</f>
        <v/>
      </c>
      <c r="G2571" s="3">
        <v>341.83</v>
      </c>
      <c r="H2571" t="str">
        <f t="shared" si="48"/>
        <v>BCBS PAYABLE</v>
      </c>
    </row>
    <row r="2572" spans="1:8" x14ac:dyDescent="0.25">
      <c r="E2572" t="str">
        <f>""</f>
        <v/>
      </c>
      <c r="F2572" t="str">
        <f>""</f>
        <v/>
      </c>
      <c r="G2572" s="3">
        <v>6861.2</v>
      </c>
      <c r="H2572" t="str">
        <f t="shared" si="48"/>
        <v>BCBS PAYABLE</v>
      </c>
    </row>
    <row r="2573" spans="1:8" x14ac:dyDescent="0.25">
      <c r="A2573" t="s">
        <v>417</v>
      </c>
      <c r="B2573">
        <v>1285</v>
      </c>
      <c r="C2573" s="3">
        <v>8714.3799999999992</v>
      </c>
      <c r="D2573" s="4">
        <v>44442</v>
      </c>
      <c r="E2573" t="str">
        <f>"FSA202109015416"</f>
        <v>FSA202109015416</v>
      </c>
      <c r="F2573" t="str">
        <f>"TASC FSA"</f>
        <v>TASC FSA</v>
      </c>
      <c r="G2573" s="3">
        <v>7165.1</v>
      </c>
      <c r="H2573" t="str">
        <f>"TASC FSA"</f>
        <v>TASC FSA</v>
      </c>
    </row>
    <row r="2574" spans="1:8" x14ac:dyDescent="0.25">
      <c r="E2574" t="str">
        <f>"FSA202109015417"</f>
        <v>FSA202109015417</v>
      </c>
      <c r="F2574" t="str">
        <f>"TASC FSA"</f>
        <v>TASC FSA</v>
      </c>
      <c r="G2574" s="3">
        <v>287.07</v>
      </c>
      <c r="H2574" t="str">
        <f>"TASC FSA"</f>
        <v>TASC FSA</v>
      </c>
    </row>
    <row r="2575" spans="1:8" x14ac:dyDescent="0.25">
      <c r="E2575" t="str">
        <f>"FSC202109015416"</f>
        <v>FSC202109015416</v>
      </c>
      <c r="F2575" t="str">
        <f>"TASC DEPENDENT CARE"</f>
        <v>TASC DEPENDENT CARE</v>
      </c>
      <c r="G2575" s="3">
        <v>50</v>
      </c>
      <c r="H2575" t="str">
        <f>"TASC DEPENDENT CARE"</f>
        <v>TASC DEPENDENT CARE</v>
      </c>
    </row>
    <row r="2576" spans="1:8" x14ac:dyDescent="0.25">
      <c r="E2576" t="str">
        <f>"FSF202109015416"</f>
        <v>FSF202109015416</v>
      </c>
      <c r="F2576" t="str">
        <f>"TASC - FSA  FEES"</f>
        <v>TASC - FSA  FEES</v>
      </c>
      <c r="G2576" s="3">
        <v>12.41</v>
      </c>
      <c r="H2576" t="str">
        <f t="shared" ref="H2576:H2616" si="49">"TASC - FSA  FEES"</f>
        <v>TASC - FSA  FEES</v>
      </c>
    </row>
    <row r="2577" spans="5:8" x14ac:dyDescent="0.25">
      <c r="E2577" t="str">
        <f>""</f>
        <v/>
      </c>
      <c r="F2577" t="str">
        <f>""</f>
        <v/>
      </c>
      <c r="G2577" s="3">
        <v>3.6</v>
      </c>
      <c r="H2577" t="str">
        <f t="shared" si="49"/>
        <v>TASC - FSA  FEES</v>
      </c>
    </row>
    <row r="2578" spans="5:8" x14ac:dyDescent="0.25">
      <c r="E2578" t="str">
        <f>""</f>
        <v/>
      </c>
      <c r="F2578" t="str">
        <f>""</f>
        <v/>
      </c>
      <c r="G2578" s="3">
        <v>9</v>
      </c>
      <c r="H2578" t="str">
        <f t="shared" si="49"/>
        <v>TASC - FSA  FEES</v>
      </c>
    </row>
    <row r="2579" spans="5:8" x14ac:dyDescent="0.25">
      <c r="E2579" t="str">
        <f>""</f>
        <v/>
      </c>
      <c r="F2579" t="str">
        <f>""</f>
        <v/>
      </c>
      <c r="G2579" s="3">
        <v>5.15</v>
      </c>
      <c r="H2579" t="str">
        <f t="shared" si="49"/>
        <v>TASC - FSA  FEES</v>
      </c>
    </row>
    <row r="2580" spans="5:8" x14ac:dyDescent="0.25">
      <c r="E2580" t="str">
        <f>""</f>
        <v/>
      </c>
      <c r="F2580" t="str">
        <f>""</f>
        <v/>
      </c>
      <c r="G2580" s="3">
        <v>3.6</v>
      </c>
      <c r="H2580" t="str">
        <f t="shared" si="49"/>
        <v>TASC - FSA  FEES</v>
      </c>
    </row>
    <row r="2581" spans="5:8" x14ac:dyDescent="0.25">
      <c r="E2581" t="str">
        <f>""</f>
        <v/>
      </c>
      <c r="F2581" t="str">
        <f>""</f>
        <v/>
      </c>
      <c r="G2581" s="3">
        <v>9</v>
      </c>
      <c r="H2581" t="str">
        <f t="shared" si="49"/>
        <v>TASC - FSA  FEES</v>
      </c>
    </row>
    <row r="2582" spans="5:8" x14ac:dyDescent="0.25">
      <c r="E2582" t="str">
        <f>""</f>
        <v/>
      </c>
      <c r="F2582" t="str">
        <f>""</f>
        <v/>
      </c>
      <c r="G2582" s="3">
        <v>5.4</v>
      </c>
      <c r="H2582" t="str">
        <f t="shared" si="49"/>
        <v>TASC - FSA  FEES</v>
      </c>
    </row>
    <row r="2583" spans="5:8" x14ac:dyDescent="0.25">
      <c r="E2583" t="str">
        <f>""</f>
        <v/>
      </c>
      <c r="F2583" t="str">
        <f>""</f>
        <v/>
      </c>
      <c r="G2583" s="3">
        <v>3.6</v>
      </c>
      <c r="H2583" t="str">
        <f t="shared" si="49"/>
        <v>TASC - FSA  FEES</v>
      </c>
    </row>
    <row r="2584" spans="5:8" x14ac:dyDescent="0.25">
      <c r="E2584" t="str">
        <f>""</f>
        <v/>
      </c>
      <c r="F2584" t="str">
        <f>""</f>
        <v/>
      </c>
      <c r="G2584" s="3">
        <v>1.8</v>
      </c>
      <c r="H2584" t="str">
        <f t="shared" si="49"/>
        <v>TASC - FSA  FEES</v>
      </c>
    </row>
    <row r="2585" spans="5:8" x14ac:dyDescent="0.25">
      <c r="E2585" t="str">
        <f>""</f>
        <v/>
      </c>
      <c r="F2585" t="str">
        <f>""</f>
        <v/>
      </c>
      <c r="G2585" s="3">
        <v>15.56</v>
      </c>
      <c r="H2585" t="str">
        <f t="shared" si="49"/>
        <v>TASC - FSA  FEES</v>
      </c>
    </row>
    <row r="2586" spans="5:8" x14ac:dyDescent="0.25">
      <c r="E2586" t="str">
        <f>""</f>
        <v/>
      </c>
      <c r="F2586" t="str">
        <f>""</f>
        <v/>
      </c>
      <c r="G2586" s="3">
        <v>3.6</v>
      </c>
      <c r="H2586" t="str">
        <f t="shared" si="49"/>
        <v>TASC - FSA  FEES</v>
      </c>
    </row>
    <row r="2587" spans="5:8" x14ac:dyDescent="0.25">
      <c r="E2587" t="str">
        <f>""</f>
        <v/>
      </c>
      <c r="F2587" t="str">
        <f>""</f>
        <v/>
      </c>
      <c r="G2587" s="3">
        <v>3.6</v>
      </c>
      <c r="H2587" t="str">
        <f t="shared" si="49"/>
        <v>TASC - FSA  FEES</v>
      </c>
    </row>
    <row r="2588" spans="5:8" x14ac:dyDescent="0.25">
      <c r="E2588" t="str">
        <f>""</f>
        <v/>
      </c>
      <c r="F2588" t="str">
        <f>""</f>
        <v/>
      </c>
      <c r="G2588" s="3">
        <v>1.8</v>
      </c>
      <c r="H2588" t="str">
        <f t="shared" si="49"/>
        <v>TASC - FSA  FEES</v>
      </c>
    </row>
    <row r="2589" spans="5:8" x14ac:dyDescent="0.25">
      <c r="E2589" t="str">
        <f>""</f>
        <v/>
      </c>
      <c r="F2589" t="str">
        <f>""</f>
        <v/>
      </c>
      <c r="G2589" s="3">
        <v>5.4</v>
      </c>
      <c r="H2589" t="str">
        <f t="shared" si="49"/>
        <v>TASC - FSA  FEES</v>
      </c>
    </row>
    <row r="2590" spans="5:8" x14ac:dyDescent="0.25">
      <c r="E2590" t="str">
        <f>""</f>
        <v/>
      </c>
      <c r="F2590" t="str">
        <f>""</f>
        <v/>
      </c>
      <c r="G2590" s="3">
        <v>3.6</v>
      </c>
      <c r="H2590" t="str">
        <f t="shared" si="49"/>
        <v>TASC - FSA  FEES</v>
      </c>
    </row>
    <row r="2591" spans="5:8" x14ac:dyDescent="0.25">
      <c r="E2591" t="str">
        <f>""</f>
        <v/>
      </c>
      <c r="F2591" t="str">
        <f>""</f>
        <v/>
      </c>
      <c r="G2591" s="3">
        <v>14.4</v>
      </c>
      <c r="H2591" t="str">
        <f t="shared" si="49"/>
        <v>TASC - FSA  FEES</v>
      </c>
    </row>
    <row r="2592" spans="5:8" x14ac:dyDescent="0.25">
      <c r="E2592" t="str">
        <f>""</f>
        <v/>
      </c>
      <c r="F2592" t="str">
        <f>""</f>
        <v/>
      </c>
      <c r="G2592" s="3">
        <v>3.6</v>
      </c>
      <c r="H2592" t="str">
        <f t="shared" si="49"/>
        <v>TASC - FSA  FEES</v>
      </c>
    </row>
    <row r="2593" spans="5:8" x14ac:dyDescent="0.25">
      <c r="E2593" t="str">
        <f>""</f>
        <v/>
      </c>
      <c r="F2593" t="str">
        <f>""</f>
        <v/>
      </c>
      <c r="G2593" s="3">
        <v>10.8</v>
      </c>
      <c r="H2593" t="str">
        <f t="shared" si="49"/>
        <v>TASC - FSA  FEES</v>
      </c>
    </row>
    <row r="2594" spans="5:8" x14ac:dyDescent="0.25">
      <c r="E2594" t="str">
        <f>""</f>
        <v/>
      </c>
      <c r="F2594" t="str">
        <f>""</f>
        <v/>
      </c>
      <c r="G2594" s="3">
        <v>1.8</v>
      </c>
      <c r="H2594" t="str">
        <f t="shared" si="49"/>
        <v>TASC - FSA  FEES</v>
      </c>
    </row>
    <row r="2595" spans="5:8" x14ac:dyDescent="0.25">
      <c r="E2595" t="str">
        <f>""</f>
        <v/>
      </c>
      <c r="F2595" t="str">
        <f>""</f>
        <v/>
      </c>
      <c r="G2595" s="3">
        <v>1.8</v>
      </c>
      <c r="H2595" t="str">
        <f t="shared" si="49"/>
        <v>TASC - FSA  FEES</v>
      </c>
    </row>
    <row r="2596" spans="5:8" x14ac:dyDescent="0.25">
      <c r="E2596" t="str">
        <f>""</f>
        <v/>
      </c>
      <c r="F2596" t="str">
        <f>""</f>
        <v/>
      </c>
      <c r="G2596" s="3">
        <v>1.8</v>
      </c>
      <c r="H2596" t="str">
        <f t="shared" si="49"/>
        <v>TASC - FSA  FEES</v>
      </c>
    </row>
    <row r="2597" spans="5:8" x14ac:dyDescent="0.25">
      <c r="E2597" t="str">
        <f>""</f>
        <v/>
      </c>
      <c r="F2597" t="str">
        <f>""</f>
        <v/>
      </c>
      <c r="G2597" s="3">
        <v>35.700000000000003</v>
      </c>
      <c r="H2597" t="str">
        <f t="shared" si="49"/>
        <v>TASC - FSA  FEES</v>
      </c>
    </row>
    <row r="2598" spans="5:8" x14ac:dyDescent="0.25">
      <c r="E2598" t="str">
        <f>""</f>
        <v/>
      </c>
      <c r="F2598" t="str">
        <f>""</f>
        <v/>
      </c>
      <c r="G2598" s="3">
        <v>3.38</v>
      </c>
      <c r="H2598" t="str">
        <f t="shared" si="49"/>
        <v>TASC - FSA  FEES</v>
      </c>
    </row>
    <row r="2599" spans="5:8" x14ac:dyDescent="0.25">
      <c r="E2599" t="str">
        <f>""</f>
        <v/>
      </c>
      <c r="F2599" t="str">
        <f>""</f>
        <v/>
      </c>
      <c r="G2599" s="3">
        <v>37.229999999999997</v>
      </c>
      <c r="H2599" t="str">
        <f t="shared" si="49"/>
        <v>TASC - FSA  FEES</v>
      </c>
    </row>
    <row r="2600" spans="5:8" x14ac:dyDescent="0.25">
      <c r="E2600" t="str">
        <f>""</f>
        <v/>
      </c>
      <c r="F2600" t="str">
        <f>""</f>
        <v/>
      </c>
      <c r="G2600" s="3">
        <v>5.4</v>
      </c>
      <c r="H2600" t="str">
        <f t="shared" si="49"/>
        <v>TASC - FSA  FEES</v>
      </c>
    </row>
    <row r="2601" spans="5:8" x14ac:dyDescent="0.25">
      <c r="E2601" t="str">
        <f>""</f>
        <v/>
      </c>
      <c r="F2601" t="str">
        <f>""</f>
        <v/>
      </c>
      <c r="G2601" s="3">
        <v>1.8</v>
      </c>
      <c r="H2601" t="str">
        <f t="shared" si="49"/>
        <v>TASC - FSA  FEES</v>
      </c>
    </row>
    <row r="2602" spans="5:8" x14ac:dyDescent="0.25">
      <c r="E2602" t="str">
        <f>""</f>
        <v/>
      </c>
      <c r="F2602" t="str">
        <f>""</f>
        <v/>
      </c>
      <c r="G2602" s="3">
        <v>3.6</v>
      </c>
      <c r="H2602" t="str">
        <f t="shared" si="49"/>
        <v>TASC - FSA  FEES</v>
      </c>
    </row>
    <row r="2603" spans="5:8" x14ac:dyDescent="0.25">
      <c r="E2603" t="str">
        <f>""</f>
        <v/>
      </c>
      <c r="F2603" t="str">
        <f>""</f>
        <v/>
      </c>
      <c r="G2603" s="3">
        <v>0.46</v>
      </c>
      <c r="H2603" t="str">
        <f t="shared" si="49"/>
        <v>TASC - FSA  FEES</v>
      </c>
    </row>
    <row r="2604" spans="5:8" x14ac:dyDescent="0.25">
      <c r="E2604" t="str">
        <f>""</f>
        <v/>
      </c>
      <c r="F2604" t="str">
        <f>""</f>
        <v/>
      </c>
      <c r="G2604" s="3">
        <v>3.6</v>
      </c>
      <c r="H2604" t="str">
        <f t="shared" si="49"/>
        <v>TASC - FSA  FEES</v>
      </c>
    </row>
    <row r="2605" spans="5:8" x14ac:dyDescent="0.25">
      <c r="E2605" t="str">
        <f>""</f>
        <v/>
      </c>
      <c r="F2605" t="str">
        <f>""</f>
        <v/>
      </c>
      <c r="G2605" s="3">
        <v>1.8</v>
      </c>
      <c r="H2605" t="str">
        <f t="shared" si="49"/>
        <v>TASC - FSA  FEES</v>
      </c>
    </row>
    <row r="2606" spans="5:8" x14ac:dyDescent="0.25">
      <c r="E2606" t="str">
        <f>""</f>
        <v/>
      </c>
      <c r="F2606" t="str">
        <f>""</f>
        <v/>
      </c>
      <c r="G2606" s="3">
        <v>1.99</v>
      </c>
      <c r="H2606" t="str">
        <f t="shared" si="49"/>
        <v>TASC - FSA  FEES</v>
      </c>
    </row>
    <row r="2607" spans="5:8" x14ac:dyDescent="0.25">
      <c r="E2607" t="str">
        <f>""</f>
        <v/>
      </c>
      <c r="F2607" t="str">
        <f>""</f>
        <v/>
      </c>
      <c r="G2607" s="3">
        <v>1.8</v>
      </c>
      <c r="H2607" t="str">
        <f t="shared" si="49"/>
        <v>TASC - FSA  FEES</v>
      </c>
    </row>
    <row r="2608" spans="5:8" x14ac:dyDescent="0.25">
      <c r="E2608" t="str">
        <f>""</f>
        <v/>
      </c>
      <c r="F2608" t="str">
        <f>""</f>
        <v/>
      </c>
      <c r="G2608" s="3">
        <v>9</v>
      </c>
      <c r="H2608" t="str">
        <f t="shared" si="49"/>
        <v>TASC - FSA  FEES</v>
      </c>
    </row>
    <row r="2609" spans="5:8" x14ac:dyDescent="0.25">
      <c r="E2609" t="str">
        <f>""</f>
        <v/>
      </c>
      <c r="F2609" t="str">
        <f>""</f>
        <v/>
      </c>
      <c r="G2609" s="3">
        <v>5.4</v>
      </c>
      <c r="H2609" t="str">
        <f t="shared" si="49"/>
        <v>TASC - FSA  FEES</v>
      </c>
    </row>
    <row r="2610" spans="5:8" x14ac:dyDescent="0.25">
      <c r="E2610" t="str">
        <f>""</f>
        <v/>
      </c>
      <c r="F2610" t="str">
        <f>""</f>
        <v/>
      </c>
      <c r="G2610" s="3">
        <v>1.8</v>
      </c>
      <c r="H2610" t="str">
        <f t="shared" si="49"/>
        <v>TASC - FSA  FEES</v>
      </c>
    </row>
    <row r="2611" spans="5:8" x14ac:dyDescent="0.25">
      <c r="E2611" t="str">
        <f>""</f>
        <v/>
      </c>
      <c r="F2611" t="str">
        <f>""</f>
        <v/>
      </c>
      <c r="G2611" s="3">
        <v>3.14</v>
      </c>
      <c r="H2611" t="str">
        <f t="shared" si="49"/>
        <v>TASC - FSA  FEES</v>
      </c>
    </row>
    <row r="2612" spans="5:8" x14ac:dyDescent="0.25">
      <c r="E2612" t="str">
        <f>""</f>
        <v/>
      </c>
      <c r="F2612" t="str">
        <f>""</f>
        <v/>
      </c>
      <c r="G2612" s="3">
        <v>1.0900000000000001</v>
      </c>
      <c r="H2612" t="str">
        <f t="shared" si="49"/>
        <v>TASC - FSA  FEES</v>
      </c>
    </row>
    <row r="2613" spans="5:8" x14ac:dyDescent="0.25">
      <c r="E2613" t="str">
        <f>""</f>
        <v/>
      </c>
      <c r="F2613" t="str">
        <f>""</f>
        <v/>
      </c>
      <c r="G2613" s="3">
        <v>0.56999999999999995</v>
      </c>
      <c r="H2613" t="str">
        <f t="shared" si="49"/>
        <v>TASC - FSA  FEES</v>
      </c>
    </row>
    <row r="2614" spans="5:8" x14ac:dyDescent="0.25">
      <c r="E2614" t="str">
        <f>""</f>
        <v/>
      </c>
      <c r="F2614" t="str">
        <f>""</f>
        <v/>
      </c>
      <c r="G2614" s="3">
        <v>7.0000000000000007E-2</v>
      </c>
      <c r="H2614" t="str">
        <f t="shared" si="49"/>
        <v>TASC - FSA  FEES</v>
      </c>
    </row>
    <row r="2615" spans="5:8" x14ac:dyDescent="0.25">
      <c r="E2615" t="str">
        <f>""</f>
        <v/>
      </c>
      <c r="F2615" t="str">
        <f>""</f>
        <v/>
      </c>
      <c r="G2615" s="3">
        <v>0.25</v>
      </c>
      <c r="H2615" t="str">
        <f t="shared" si="49"/>
        <v>TASC - FSA  FEES</v>
      </c>
    </row>
    <row r="2616" spans="5:8" x14ac:dyDescent="0.25">
      <c r="E2616" t="str">
        <f>"FSF202109015417"</f>
        <v>FSF202109015417</v>
      </c>
      <c r="F2616" t="str">
        <f>"TASC - FSA  FEES"</f>
        <v>TASC - FSA  FEES</v>
      </c>
      <c r="G2616" s="3">
        <v>9</v>
      </c>
      <c r="H2616" t="str">
        <f t="shared" si="49"/>
        <v>TASC - FSA  FEES</v>
      </c>
    </row>
    <row r="2617" spans="5:8" x14ac:dyDescent="0.25">
      <c r="E2617" t="str">
        <f>"HRA202109015416"</f>
        <v>HRA202109015416</v>
      </c>
      <c r="F2617" t="str">
        <f>"TASC HRA"</f>
        <v>TASC HRA</v>
      </c>
      <c r="G2617" s="3">
        <v>41.67</v>
      </c>
      <c r="H2617" t="str">
        <f>"TASC HRA"</f>
        <v>TASC HRA</v>
      </c>
    </row>
    <row r="2618" spans="5:8" x14ac:dyDescent="0.25">
      <c r="E2618" t="str">
        <f>""</f>
        <v/>
      </c>
      <c r="F2618" t="str">
        <f>""</f>
        <v/>
      </c>
      <c r="G2618" s="3">
        <v>83.34</v>
      </c>
      <c r="H2618" t="str">
        <f>"TASC HRA"</f>
        <v>TASC HRA</v>
      </c>
    </row>
    <row r="2619" spans="5:8" x14ac:dyDescent="0.25">
      <c r="E2619" t="str">
        <f>"HRF202109015416"</f>
        <v>HRF202109015416</v>
      </c>
      <c r="F2619" t="str">
        <f>"TASC - HRA FEES"</f>
        <v>TASC - HRA FEES</v>
      </c>
      <c r="G2619" s="3">
        <v>5.4</v>
      </c>
      <c r="H2619" t="str">
        <f t="shared" ref="H2619:H2671" si="50">"TASC - HRA FEES"</f>
        <v>TASC - HRA FEES</v>
      </c>
    </row>
    <row r="2620" spans="5:8" x14ac:dyDescent="0.25">
      <c r="E2620" t="str">
        <f>""</f>
        <v/>
      </c>
      <c r="F2620" t="str">
        <f>""</f>
        <v/>
      </c>
      <c r="G2620" s="3">
        <v>2.34</v>
      </c>
      <c r="H2620" t="str">
        <f t="shared" si="50"/>
        <v>TASC - HRA FEES</v>
      </c>
    </row>
    <row r="2621" spans="5:8" x14ac:dyDescent="0.25">
      <c r="E2621" t="str">
        <f>""</f>
        <v/>
      </c>
      <c r="F2621" t="str">
        <f>""</f>
        <v/>
      </c>
      <c r="G2621" s="3">
        <v>16</v>
      </c>
      <c r="H2621" t="str">
        <f t="shared" si="50"/>
        <v>TASC - HRA FEES</v>
      </c>
    </row>
    <row r="2622" spans="5:8" x14ac:dyDescent="0.25">
      <c r="E2622" t="str">
        <f>""</f>
        <v/>
      </c>
      <c r="F2622" t="str">
        <f>""</f>
        <v/>
      </c>
      <c r="G2622" s="3">
        <v>5.4</v>
      </c>
      <c r="H2622" t="str">
        <f t="shared" si="50"/>
        <v>TASC - HRA FEES</v>
      </c>
    </row>
    <row r="2623" spans="5:8" x14ac:dyDescent="0.25">
      <c r="E2623" t="str">
        <f>""</f>
        <v/>
      </c>
      <c r="F2623" t="str">
        <f>""</f>
        <v/>
      </c>
      <c r="G2623" s="3">
        <v>3.6</v>
      </c>
      <c r="H2623" t="str">
        <f t="shared" si="50"/>
        <v>TASC - HRA FEES</v>
      </c>
    </row>
    <row r="2624" spans="5:8" x14ac:dyDescent="0.25">
      <c r="E2624" t="str">
        <f>""</f>
        <v/>
      </c>
      <c r="F2624" t="str">
        <f>""</f>
        <v/>
      </c>
      <c r="G2624" s="3">
        <v>10.8</v>
      </c>
      <c r="H2624" t="str">
        <f t="shared" si="50"/>
        <v>TASC - HRA FEES</v>
      </c>
    </row>
    <row r="2625" spans="5:8" x14ac:dyDescent="0.25">
      <c r="E2625" t="str">
        <f>""</f>
        <v/>
      </c>
      <c r="F2625" t="str">
        <f>""</f>
        <v/>
      </c>
      <c r="G2625" s="3">
        <v>34.200000000000003</v>
      </c>
      <c r="H2625" t="str">
        <f t="shared" si="50"/>
        <v>TASC - HRA FEES</v>
      </c>
    </row>
    <row r="2626" spans="5:8" x14ac:dyDescent="0.25">
      <c r="E2626" t="str">
        <f>""</f>
        <v/>
      </c>
      <c r="F2626" t="str">
        <f>""</f>
        <v/>
      </c>
      <c r="G2626" s="3">
        <v>1.8</v>
      </c>
      <c r="H2626" t="str">
        <f t="shared" si="50"/>
        <v>TASC - HRA FEES</v>
      </c>
    </row>
    <row r="2627" spans="5:8" x14ac:dyDescent="0.25">
      <c r="E2627" t="str">
        <f>""</f>
        <v/>
      </c>
      <c r="F2627" t="str">
        <f>""</f>
        <v/>
      </c>
      <c r="G2627" s="3">
        <v>5.15</v>
      </c>
      <c r="H2627" t="str">
        <f t="shared" si="50"/>
        <v>TASC - HRA FEES</v>
      </c>
    </row>
    <row r="2628" spans="5:8" x14ac:dyDescent="0.25">
      <c r="E2628" t="str">
        <f>""</f>
        <v/>
      </c>
      <c r="F2628" t="str">
        <f>""</f>
        <v/>
      </c>
      <c r="G2628" s="3">
        <v>9</v>
      </c>
      <c r="H2628" t="str">
        <f t="shared" si="50"/>
        <v>TASC - HRA FEES</v>
      </c>
    </row>
    <row r="2629" spans="5:8" x14ac:dyDescent="0.25">
      <c r="E2629" t="str">
        <f>""</f>
        <v/>
      </c>
      <c r="F2629" t="str">
        <f>""</f>
        <v/>
      </c>
      <c r="G2629" s="3">
        <v>28.8</v>
      </c>
      <c r="H2629" t="str">
        <f t="shared" si="50"/>
        <v>TASC - HRA FEES</v>
      </c>
    </row>
    <row r="2630" spans="5:8" x14ac:dyDescent="0.25">
      <c r="E2630" t="str">
        <f>""</f>
        <v/>
      </c>
      <c r="F2630" t="str">
        <f>""</f>
        <v/>
      </c>
      <c r="G2630" s="3">
        <v>7.2</v>
      </c>
      <c r="H2630" t="str">
        <f t="shared" si="50"/>
        <v>TASC - HRA FEES</v>
      </c>
    </row>
    <row r="2631" spans="5:8" x14ac:dyDescent="0.25">
      <c r="E2631" t="str">
        <f>""</f>
        <v/>
      </c>
      <c r="F2631" t="str">
        <f>""</f>
        <v/>
      </c>
      <c r="G2631" s="3">
        <v>5.4</v>
      </c>
      <c r="H2631" t="str">
        <f t="shared" si="50"/>
        <v>TASC - HRA FEES</v>
      </c>
    </row>
    <row r="2632" spans="5:8" x14ac:dyDescent="0.25">
      <c r="E2632" t="str">
        <f>""</f>
        <v/>
      </c>
      <c r="F2632" t="str">
        <f>""</f>
        <v/>
      </c>
      <c r="G2632" s="3">
        <v>7.2</v>
      </c>
      <c r="H2632" t="str">
        <f t="shared" si="50"/>
        <v>TASC - HRA FEES</v>
      </c>
    </row>
    <row r="2633" spans="5:8" x14ac:dyDescent="0.25">
      <c r="E2633" t="str">
        <f>""</f>
        <v/>
      </c>
      <c r="F2633" t="str">
        <f>""</f>
        <v/>
      </c>
      <c r="G2633" s="3">
        <v>7.2</v>
      </c>
      <c r="H2633" t="str">
        <f t="shared" si="50"/>
        <v>TASC - HRA FEES</v>
      </c>
    </row>
    <row r="2634" spans="5:8" x14ac:dyDescent="0.25">
      <c r="E2634" t="str">
        <f>""</f>
        <v/>
      </c>
      <c r="F2634" t="str">
        <f>""</f>
        <v/>
      </c>
      <c r="G2634" s="3">
        <v>3.6</v>
      </c>
      <c r="H2634" t="str">
        <f t="shared" si="50"/>
        <v>TASC - HRA FEES</v>
      </c>
    </row>
    <row r="2635" spans="5:8" x14ac:dyDescent="0.25">
      <c r="E2635" t="str">
        <f>""</f>
        <v/>
      </c>
      <c r="F2635" t="str">
        <f>""</f>
        <v/>
      </c>
      <c r="G2635" s="3">
        <v>26.23</v>
      </c>
      <c r="H2635" t="str">
        <f t="shared" si="50"/>
        <v>TASC - HRA FEES</v>
      </c>
    </row>
    <row r="2636" spans="5:8" x14ac:dyDescent="0.25">
      <c r="E2636" t="str">
        <f>""</f>
        <v/>
      </c>
      <c r="F2636" t="str">
        <f>""</f>
        <v/>
      </c>
      <c r="G2636" s="3">
        <v>12.6</v>
      </c>
      <c r="H2636" t="str">
        <f t="shared" si="50"/>
        <v>TASC - HRA FEES</v>
      </c>
    </row>
    <row r="2637" spans="5:8" x14ac:dyDescent="0.25">
      <c r="E2637" t="str">
        <f>""</f>
        <v/>
      </c>
      <c r="F2637" t="str">
        <f>""</f>
        <v/>
      </c>
      <c r="G2637" s="3">
        <v>7.2</v>
      </c>
      <c r="H2637" t="str">
        <f t="shared" si="50"/>
        <v>TASC - HRA FEES</v>
      </c>
    </row>
    <row r="2638" spans="5:8" x14ac:dyDescent="0.25">
      <c r="E2638" t="str">
        <f>""</f>
        <v/>
      </c>
      <c r="F2638" t="str">
        <f>""</f>
        <v/>
      </c>
      <c r="G2638" s="3">
        <v>5.4</v>
      </c>
      <c r="H2638" t="str">
        <f t="shared" si="50"/>
        <v>TASC - HRA FEES</v>
      </c>
    </row>
    <row r="2639" spans="5:8" x14ac:dyDescent="0.25">
      <c r="E2639" t="str">
        <f>""</f>
        <v/>
      </c>
      <c r="F2639" t="str">
        <f>""</f>
        <v/>
      </c>
      <c r="G2639" s="3">
        <v>21.6</v>
      </c>
      <c r="H2639" t="str">
        <f t="shared" si="50"/>
        <v>TASC - HRA FEES</v>
      </c>
    </row>
    <row r="2640" spans="5:8" x14ac:dyDescent="0.25">
      <c r="E2640" t="str">
        <f>""</f>
        <v/>
      </c>
      <c r="F2640" t="str">
        <f>""</f>
        <v/>
      </c>
      <c r="G2640" s="3">
        <v>12.6</v>
      </c>
      <c r="H2640" t="str">
        <f t="shared" si="50"/>
        <v>TASC - HRA FEES</v>
      </c>
    </row>
    <row r="2641" spans="5:8" x14ac:dyDescent="0.25">
      <c r="E2641" t="str">
        <f>""</f>
        <v/>
      </c>
      <c r="F2641" t="str">
        <f>""</f>
        <v/>
      </c>
      <c r="G2641" s="3">
        <v>21.6</v>
      </c>
      <c r="H2641" t="str">
        <f t="shared" si="50"/>
        <v>TASC - HRA FEES</v>
      </c>
    </row>
    <row r="2642" spans="5:8" x14ac:dyDescent="0.25">
      <c r="E2642" t="str">
        <f>""</f>
        <v/>
      </c>
      <c r="F2642" t="str">
        <f>""</f>
        <v/>
      </c>
      <c r="G2642" s="3">
        <v>23.4</v>
      </c>
      <c r="H2642" t="str">
        <f t="shared" si="50"/>
        <v>TASC - HRA FEES</v>
      </c>
    </row>
    <row r="2643" spans="5:8" x14ac:dyDescent="0.25">
      <c r="E2643" t="str">
        <f>""</f>
        <v/>
      </c>
      <c r="F2643" t="str">
        <f>""</f>
        <v/>
      </c>
      <c r="G2643" s="3">
        <v>43.23</v>
      </c>
      <c r="H2643" t="str">
        <f t="shared" si="50"/>
        <v>TASC - HRA FEES</v>
      </c>
    </row>
    <row r="2644" spans="5:8" x14ac:dyDescent="0.25">
      <c r="E2644" t="str">
        <f>""</f>
        <v/>
      </c>
      <c r="F2644" t="str">
        <f>""</f>
        <v/>
      </c>
      <c r="G2644" s="3">
        <v>1.8</v>
      </c>
      <c r="H2644" t="str">
        <f t="shared" si="50"/>
        <v>TASC - HRA FEES</v>
      </c>
    </row>
    <row r="2645" spans="5:8" x14ac:dyDescent="0.25">
      <c r="E2645" t="str">
        <f>""</f>
        <v/>
      </c>
      <c r="F2645" t="str">
        <f>""</f>
        <v/>
      </c>
      <c r="G2645" s="3">
        <v>1.8</v>
      </c>
      <c r="H2645" t="str">
        <f t="shared" si="50"/>
        <v>TASC - HRA FEES</v>
      </c>
    </row>
    <row r="2646" spans="5:8" x14ac:dyDescent="0.25">
      <c r="E2646" t="str">
        <f>""</f>
        <v/>
      </c>
      <c r="F2646" t="str">
        <f>""</f>
        <v/>
      </c>
      <c r="G2646" s="3">
        <v>1.8</v>
      </c>
      <c r="H2646" t="str">
        <f t="shared" si="50"/>
        <v>TASC - HRA FEES</v>
      </c>
    </row>
    <row r="2647" spans="5:8" x14ac:dyDescent="0.25">
      <c r="E2647" t="str">
        <f>""</f>
        <v/>
      </c>
      <c r="F2647" t="str">
        <f>""</f>
        <v/>
      </c>
      <c r="G2647" s="3">
        <v>1.8</v>
      </c>
      <c r="H2647" t="str">
        <f t="shared" si="50"/>
        <v>TASC - HRA FEES</v>
      </c>
    </row>
    <row r="2648" spans="5:8" x14ac:dyDescent="0.25">
      <c r="E2648" t="str">
        <f>""</f>
        <v/>
      </c>
      <c r="F2648" t="str">
        <f>""</f>
        <v/>
      </c>
      <c r="G2648" s="3">
        <v>150.53</v>
      </c>
      <c r="H2648" t="str">
        <f t="shared" si="50"/>
        <v>TASC - HRA FEES</v>
      </c>
    </row>
    <row r="2649" spans="5:8" x14ac:dyDescent="0.25">
      <c r="E2649" t="str">
        <f>""</f>
        <v/>
      </c>
      <c r="F2649" t="str">
        <f>""</f>
        <v/>
      </c>
      <c r="G2649" s="3">
        <v>8.5500000000000007</v>
      </c>
      <c r="H2649" t="str">
        <f t="shared" si="50"/>
        <v>TASC - HRA FEES</v>
      </c>
    </row>
    <row r="2650" spans="5:8" x14ac:dyDescent="0.25">
      <c r="E2650" t="str">
        <f>""</f>
        <v/>
      </c>
      <c r="F2650" t="str">
        <f>""</f>
        <v/>
      </c>
      <c r="G2650" s="3">
        <v>155.86000000000001</v>
      </c>
      <c r="H2650" t="str">
        <f t="shared" si="50"/>
        <v>TASC - HRA FEES</v>
      </c>
    </row>
    <row r="2651" spans="5:8" x14ac:dyDescent="0.25">
      <c r="E2651" t="str">
        <f>""</f>
        <v/>
      </c>
      <c r="F2651" t="str">
        <f>""</f>
        <v/>
      </c>
      <c r="G2651" s="3">
        <v>32.4</v>
      </c>
      <c r="H2651" t="str">
        <f t="shared" si="50"/>
        <v>TASC - HRA FEES</v>
      </c>
    </row>
    <row r="2652" spans="5:8" x14ac:dyDescent="0.25">
      <c r="E2652" t="str">
        <f>""</f>
        <v/>
      </c>
      <c r="F2652" t="str">
        <f>""</f>
        <v/>
      </c>
      <c r="G2652" s="3">
        <v>1.8</v>
      </c>
      <c r="H2652" t="str">
        <f t="shared" si="50"/>
        <v>TASC - HRA FEES</v>
      </c>
    </row>
    <row r="2653" spans="5:8" x14ac:dyDescent="0.25">
      <c r="E2653" t="str">
        <f>""</f>
        <v/>
      </c>
      <c r="F2653" t="str">
        <f>""</f>
        <v/>
      </c>
      <c r="G2653" s="3">
        <v>5.4</v>
      </c>
      <c r="H2653" t="str">
        <f t="shared" si="50"/>
        <v>TASC - HRA FEES</v>
      </c>
    </row>
    <row r="2654" spans="5:8" x14ac:dyDescent="0.25">
      <c r="E2654" t="str">
        <f>""</f>
        <v/>
      </c>
      <c r="F2654" t="str">
        <f>""</f>
        <v/>
      </c>
      <c r="G2654" s="3">
        <v>0.46</v>
      </c>
      <c r="H2654" t="str">
        <f t="shared" si="50"/>
        <v>TASC - HRA FEES</v>
      </c>
    </row>
    <row r="2655" spans="5:8" x14ac:dyDescent="0.25">
      <c r="E2655" t="str">
        <f>""</f>
        <v/>
      </c>
      <c r="F2655" t="str">
        <f>""</f>
        <v/>
      </c>
      <c r="G2655" s="3">
        <v>5.4</v>
      </c>
      <c r="H2655" t="str">
        <f t="shared" si="50"/>
        <v>TASC - HRA FEES</v>
      </c>
    </row>
    <row r="2656" spans="5:8" x14ac:dyDescent="0.25">
      <c r="E2656" t="str">
        <f>""</f>
        <v/>
      </c>
      <c r="F2656" t="str">
        <f>""</f>
        <v/>
      </c>
      <c r="G2656" s="3">
        <v>1.8</v>
      </c>
      <c r="H2656" t="str">
        <f t="shared" si="50"/>
        <v>TASC - HRA FEES</v>
      </c>
    </row>
    <row r="2657" spans="1:8" x14ac:dyDescent="0.25">
      <c r="E2657" t="str">
        <f>""</f>
        <v/>
      </c>
      <c r="F2657" t="str">
        <f>""</f>
        <v/>
      </c>
      <c r="G2657" s="3">
        <v>5.4</v>
      </c>
      <c r="H2657" t="str">
        <f t="shared" si="50"/>
        <v>TASC - HRA FEES</v>
      </c>
    </row>
    <row r="2658" spans="1:8" x14ac:dyDescent="0.25">
      <c r="E2658" t="str">
        <f>""</f>
        <v/>
      </c>
      <c r="F2658" t="str">
        <f>""</f>
        <v/>
      </c>
      <c r="G2658" s="3">
        <v>3.6</v>
      </c>
      <c r="H2658" t="str">
        <f t="shared" si="50"/>
        <v>TASC - HRA FEES</v>
      </c>
    </row>
    <row r="2659" spans="1:8" x14ac:dyDescent="0.25">
      <c r="E2659" t="str">
        <f>""</f>
        <v/>
      </c>
      <c r="F2659" t="str">
        <f>""</f>
        <v/>
      </c>
      <c r="G2659" s="3">
        <v>0.2</v>
      </c>
      <c r="H2659" t="str">
        <f t="shared" si="50"/>
        <v>TASC - HRA FEES</v>
      </c>
    </row>
    <row r="2660" spans="1:8" x14ac:dyDescent="0.25">
      <c r="E2660" t="str">
        <f>""</f>
        <v/>
      </c>
      <c r="F2660" t="str">
        <f>""</f>
        <v/>
      </c>
      <c r="G2660" s="3">
        <v>18.77</v>
      </c>
      <c r="H2660" t="str">
        <f t="shared" si="50"/>
        <v>TASC - HRA FEES</v>
      </c>
    </row>
    <row r="2661" spans="1:8" x14ac:dyDescent="0.25">
      <c r="E2661" t="str">
        <f>""</f>
        <v/>
      </c>
      <c r="F2661" t="str">
        <f>""</f>
        <v/>
      </c>
      <c r="G2661" s="3">
        <v>21.27</v>
      </c>
      <c r="H2661" t="str">
        <f t="shared" si="50"/>
        <v>TASC - HRA FEES</v>
      </c>
    </row>
    <row r="2662" spans="1:8" x14ac:dyDescent="0.25">
      <c r="E2662" t="str">
        <f>""</f>
        <v/>
      </c>
      <c r="F2662" t="str">
        <f>""</f>
        <v/>
      </c>
      <c r="G2662" s="3">
        <v>23.05</v>
      </c>
      <c r="H2662" t="str">
        <f t="shared" si="50"/>
        <v>TASC - HRA FEES</v>
      </c>
    </row>
    <row r="2663" spans="1:8" x14ac:dyDescent="0.25">
      <c r="E2663" t="str">
        <f>""</f>
        <v/>
      </c>
      <c r="F2663" t="str">
        <f>""</f>
        <v/>
      </c>
      <c r="G2663" s="3">
        <v>26.68</v>
      </c>
      <c r="H2663" t="str">
        <f t="shared" si="50"/>
        <v>TASC - HRA FEES</v>
      </c>
    </row>
    <row r="2664" spans="1:8" x14ac:dyDescent="0.25">
      <c r="E2664" t="str">
        <f>""</f>
        <v/>
      </c>
      <c r="F2664" t="str">
        <f>""</f>
        <v/>
      </c>
      <c r="G2664" s="3">
        <v>3.6</v>
      </c>
      <c r="H2664" t="str">
        <f t="shared" si="50"/>
        <v>TASC - HRA FEES</v>
      </c>
    </row>
    <row r="2665" spans="1:8" x14ac:dyDescent="0.25">
      <c r="E2665" t="str">
        <f>""</f>
        <v/>
      </c>
      <c r="F2665" t="str">
        <f>""</f>
        <v/>
      </c>
      <c r="G2665" s="3">
        <v>3.14</v>
      </c>
      <c r="H2665" t="str">
        <f t="shared" si="50"/>
        <v>TASC - HRA FEES</v>
      </c>
    </row>
    <row r="2666" spans="1:8" x14ac:dyDescent="0.25">
      <c r="E2666" t="str">
        <f>""</f>
        <v/>
      </c>
      <c r="F2666" t="str">
        <f>""</f>
        <v/>
      </c>
      <c r="G2666" s="3">
        <v>10.53</v>
      </c>
      <c r="H2666" t="str">
        <f t="shared" si="50"/>
        <v>TASC - HRA FEES</v>
      </c>
    </row>
    <row r="2667" spans="1:8" x14ac:dyDescent="0.25">
      <c r="E2667" t="str">
        <f>""</f>
        <v/>
      </c>
      <c r="F2667" t="str">
        <f>""</f>
        <v/>
      </c>
      <c r="G2667" s="3">
        <v>0.63</v>
      </c>
      <c r="H2667" t="str">
        <f t="shared" si="50"/>
        <v>TASC - HRA FEES</v>
      </c>
    </row>
    <row r="2668" spans="1:8" x14ac:dyDescent="0.25">
      <c r="E2668" t="str">
        <f>""</f>
        <v/>
      </c>
      <c r="F2668" t="str">
        <f>""</f>
        <v/>
      </c>
      <c r="G2668" s="3">
        <v>0.14000000000000001</v>
      </c>
      <c r="H2668" t="str">
        <f t="shared" si="50"/>
        <v>TASC - HRA FEES</v>
      </c>
    </row>
    <row r="2669" spans="1:8" x14ac:dyDescent="0.25">
      <c r="E2669" t="str">
        <f>""</f>
        <v/>
      </c>
      <c r="F2669" t="str">
        <f>""</f>
        <v/>
      </c>
      <c r="G2669" s="3">
        <v>0.25</v>
      </c>
      <c r="H2669" t="str">
        <f t="shared" si="50"/>
        <v>TASC - HRA FEES</v>
      </c>
    </row>
    <row r="2670" spans="1:8" x14ac:dyDescent="0.25">
      <c r="E2670" t="str">
        <f>""</f>
        <v/>
      </c>
      <c r="F2670" t="str">
        <f>""</f>
        <v/>
      </c>
      <c r="G2670" s="3">
        <v>1.79</v>
      </c>
      <c r="H2670" t="str">
        <f t="shared" si="50"/>
        <v>TASC - HRA FEES</v>
      </c>
    </row>
    <row r="2671" spans="1:8" x14ac:dyDescent="0.25">
      <c r="E2671" t="str">
        <f>"HRF202109015417"</f>
        <v>HRF202109015417</v>
      </c>
      <c r="F2671" t="str">
        <f>"TASC - HRA FEES"</f>
        <v>TASC - HRA FEES</v>
      </c>
      <c r="G2671" s="3">
        <v>23.4</v>
      </c>
      <c r="H2671" t="str">
        <f t="shared" si="50"/>
        <v>TASC - HRA FEES</v>
      </c>
    </row>
    <row r="2672" spans="1:8" x14ac:dyDescent="0.25">
      <c r="A2672" t="s">
        <v>417</v>
      </c>
      <c r="B2672">
        <v>1330</v>
      </c>
      <c r="C2672" s="3">
        <v>8585.77</v>
      </c>
      <c r="D2672" s="4">
        <v>44456</v>
      </c>
      <c r="E2672" t="str">
        <f>"FSA202109155691"</f>
        <v>FSA202109155691</v>
      </c>
      <c r="F2672" t="str">
        <f>"TASC FSA"</f>
        <v>TASC FSA</v>
      </c>
      <c r="G2672" s="3">
        <v>7165.1</v>
      </c>
      <c r="H2672" t="str">
        <f>"TASC FSA"</f>
        <v>TASC FSA</v>
      </c>
    </row>
    <row r="2673" spans="5:8" x14ac:dyDescent="0.25">
      <c r="E2673" t="str">
        <f>"FSA202109155692"</f>
        <v>FSA202109155692</v>
      </c>
      <c r="F2673" t="str">
        <f>"TASC FSA"</f>
        <v>TASC FSA</v>
      </c>
      <c r="G2673" s="3">
        <v>287.07</v>
      </c>
      <c r="H2673" t="str">
        <f>"TASC FSA"</f>
        <v>TASC FSA</v>
      </c>
    </row>
    <row r="2674" spans="5:8" x14ac:dyDescent="0.25">
      <c r="E2674" t="str">
        <f>"FSC202109155691"</f>
        <v>FSC202109155691</v>
      </c>
      <c r="F2674" t="str">
        <f>"TASC DEPENDENT CARE"</f>
        <v>TASC DEPENDENT CARE</v>
      </c>
      <c r="G2674" s="3">
        <v>50</v>
      </c>
      <c r="H2674" t="str">
        <f>"TASC DEPENDENT CARE"</f>
        <v>TASC DEPENDENT CARE</v>
      </c>
    </row>
    <row r="2675" spans="5:8" x14ac:dyDescent="0.25">
      <c r="E2675" t="str">
        <f>"FSF202109155691"</f>
        <v>FSF202109155691</v>
      </c>
      <c r="F2675" t="str">
        <f>"TASC - FSA  FEES"</f>
        <v>TASC - FSA  FEES</v>
      </c>
      <c r="G2675" s="3">
        <v>12.39</v>
      </c>
      <c r="H2675" t="str">
        <f t="shared" ref="H2675:H2714" si="51">"TASC - FSA  FEES"</f>
        <v>TASC - FSA  FEES</v>
      </c>
    </row>
    <row r="2676" spans="5:8" x14ac:dyDescent="0.25">
      <c r="E2676" t="str">
        <f>""</f>
        <v/>
      </c>
      <c r="F2676" t="str">
        <f>""</f>
        <v/>
      </c>
      <c r="G2676" s="3">
        <v>3.6</v>
      </c>
      <c r="H2676" t="str">
        <f t="shared" si="51"/>
        <v>TASC - FSA  FEES</v>
      </c>
    </row>
    <row r="2677" spans="5:8" x14ac:dyDescent="0.25">
      <c r="E2677" t="str">
        <f>""</f>
        <v/>
      </c>
      <c r="F2677" t="str">
        <f>""</f>
        <v/>
      </c>
      <c r="G2677" s="3">
        <v>9</v>
      </c>
      <c r="H2677" t="str">
        <f t="shared" si="51"/>
        <v>TASC - FSA  FEES</v>
      </c>
    </row>
    <row r="2678" spans="5:8" x14ac:dyDescent="0.25">
      <c r="E2678" t="str">
        <f>""</f>
        <v/>
      </c>
      <c r="F2678" t="str">
        <f>""</f>
        <v/>
      </c>
      <c r="G2678" s="3">
        <v>5.15</v>
      </c>
      <c r="H2678" t="str">
        <f t="shared" si="51"/>
        <v>TASC - FSA  FEES</v>
      </c>
    </row>
    <row r="2679" spans="5:8" x14ac:dyDescent="0.25">
      <c r="E2679" t="str">
        <f>""</f>
        <v/>
      </c>
      <c r="F2679" t="str">
        <f>""</f>
        <v/>
      </c>
      <c r="G2679" s="3">
        <v>3.6</v>
      </c>
      <c r="H2679" t="str">
        <f t="shared" si="51"/>
        <v>TASC - FSA  FEES</v>
      </c>
    </row>
    <row r="2680" spans="5:8" x14ac:dyDescent="0.25">
      <c r="E2680" t="str">
        <f>""</f>
        <v/>
      </c>
      <c r="F2680" t="str">
        <f>""</f>
        <v/>
      </c>
      <c r="G2680" s="3">
        <v>9</v>
      </c>
      <c r="H2680" t="str">
        <f t="shared" si="51"/>
        <v>TASC - FSA  FEES</v>
      </c>
    </row>
    <row r="2681" spans="5:8" x14ac:dyDescent="0.25">
      <c r="E2681" t="str">
        <f>""</f>
        <v/>
      </c>
      <c r="F2681" t="str">
        <f>""</f>
        <v/>
      </c>
      <c r="G2681" s="3">
        <v>5.4</v>
      </c>
      <c r="H2681" t="str">
        <f t="shared" si="51"/>
        <v>TASC - FSA  FEES</v>
      </c>
    </row>
    <row r="2682" spans="5:8" x14ac:dyDescent="0.25">
      <c r="E2682" t="str">
        <f>""</f>
        <v/>
      </c>
      <c r="F2682" t="str">
        <f>""</f>
        <v/>
      </c>
      <c r="G2682" s="3">
        <v>3.6</v>
      </c>
      <c r="H2682" t="str">
        <f t="shared" si="51"/>
        <v>TASC - FSA  FEES</v>
      </c>
    </row>
    <row r="2683" spans="5:8" x14ac:dyDescent="0.25">
      <c r="E2683" t="str">
        <f>""</f>
        <v/>
      </c>
      <c r="F2683" t="str">
        <f>""</f>
        <v/>
      </c>
      <c r="G2683" s="3">
        <v>1.8</v>
      </c>
      <c r="H2683" t="str">
        <f t="shared" si="51"/>
        <v>TASC - FSA  FEES</v>
      </c>
    </row>
    <row r="2684" spans="5:8" x14ac:dyDescent="0.25">
      <c r="E2684" t="str">
        <f>""</f>
        <v/>
      </c>
      <c r="F2684" t="str">
        <f>""</f>
        <v/>
      </c>
      <c r="G2684" s="3">
        <v>15.56</v>
      </c>
      <c r="H2684" t="str">
        <f t="shared" si="51"/>
        <v>TASC - FSA  FEES</v>
      </c>
    </row>
    <row r="2685" spans="5:8" x14ac:dyDescent="0.25">
      <c r="E2685" t="str">
        <f>""</f>
        <v/>
      </c>
      <c r="F2685" t="str">
        <f>""</f>
        <v/>
      </c>
      <c r="G2685" s="3">
        <v>3.6</v>
      </c>
      <c r="H2685" t="str">
        <f t="shared" si="51"/>
        <v>TASC - FSA  FEES</v>
      </c>
    </row>
    <row r="2686" spans="5:8" x14ac:dyDescent="0.25">
      <c r="E2686" t="str">
        <f>""</f>
        <v/>
      </c>
      <c r="F2686" t="str">
        <f>""</f>
        <v/>
      </c>
      <c r="G2686" s="3">
        <v>3.6</v>
      </c>
      <c r="H2686" t="str">
        <f t="shared" si="51"/>
        <v>TASC - FSA  FEES</v>
      </c>
    </row>
    <row r="2687" spans="5:8" x14ac:dyDescent="0.25">
      <c r="E2687" t="str">
        <f>""</f>
        <v/>
      </c>
      <c r="F2687" t="str">
        <f>""</f>
        <v/>
      </c>
      <c r="G2687" s="3">
        <v>1.8</v>
      </c>
      <c r="H2687" t="str">
        <f t="shared" si="51"/>
        <v>TASC - FSA  FEES</v>
      </c>
    </row>
    <row r="2688" spans="5:8" x14ac:dyDescent="0.25">
      <c r="E2688" t="str">
        <f>""</f>
        <v/>
      </c>
      <c r="F2688" t="str">
        <f>""</f>
        <v/>
      </c>
      <c r="G2688" s="3">
        <v>5.4</v>
      </c>
      <c r="H2688" t="str">
        <f t="shared" si="51"/>
        <v>TASC - FSA  FEES</v>
      </c>
    </row>
    <row r="2689" spans="5:8" x14ac:dyDescent="0.25">
      <c r="E2689" t="str">
        <f>""</f>
        <v/>
      </c>
      <c r="F2689" t="str">
        <f>""</f>
        <v/>
      </c>
      <c r="G2689" s="3">
        <v>3.6</v>
      </c>
      <c r="H2689" t="str">
        <f t="shared" si="51"/>
        <v>TASC - FSA  FEES</v>
      </c>
    </row>
    <row r="2690" spans="5:8" x14ac:dyDescent="0.25">
      <c r="E2690" t="str">
        <f>""</f>
        <v/>
      </c>
      <c r="F2690" t="str">
        <f>""</f>
        <v/>
      </c>
      <c r="G2690" s="3">
        <v>14.4</v>
      </c>
      <c r="H2690" t="str">
        <f t="shared" si="51"/>
        <v>TASC - FSA  FEES</v>
      </c>
    </row>
    <row r="2691" spans="5:8" x14ac:dyDescent="0.25">
      <c r="E2691" t="str">
        <f>""</f>
        <v/>
      </c>
      <c r="F2691" t="str">
        <f>""</f>
        <v/>
      </c>
      <c r="G2691" s="3">
        <v>3.6</v>
      </c>
      <c r="H2691" t="str">
        <f t="shared" si="51"/>
        <v>TASC - FSA  FEES</v>
      </c>
    </row>
    <row r="2692" spans="5:8" x14ac:dyDescent="0.25">
      <c r="E2692" t="str">
        <f>""</f>
        <v/>
      </c>
      <c r="F2692" t="str">
        <f>""</f>
        <v/>
      </c>
      <c r="G2692" s="3">
        <v>10.8</v>
      </c>
      <c r="H2692" t="str">
        <f t="shared" si="51"/>
        <v>TASC - FSA  FEES</v>
      </c>
    </row>
    <row r="2693" spans="5:8" x14ac:dyDescent="0.25">
      <c r="E2693" t="str">
        <f>""</f>
        <v/>
      </c>
      <c r="F2693" t="str">
        <f>""</f>
        <v/>
      </c>
      <c r="G2693" s="3">
        <v>1.8</v>
      </c>
      <c r="H2693" t="str">
        <f t="shared" si="51"/>
        <v>TASC - FSA  FEES</v>
      </c>
    </row>
    <row r="2694" spans="5:8" x14ac:dyDescent="0.25">
      <c r="E2694" t="str">
        <f>""</f>
        <v/>
      </c>
      <c r="F2694" t="str">
        <f>""</f>
        <v/>
      </c>
      <c r="G2694" s="3">
        <v>1.8</v>
      </c>
      <c r="H2694" t="str">
        <f t="shared" si="51"/>
        <v>TASC - FSA  FEES</v>
      </c>
    </row>
    <row r="2695" spans="5:8" x14ac:dyDescent="0.25">
      <c r="E2695" t="str">
        <f>""</f>
        <v/>
      </c>
      <c r="F2695" t="str">
        <f>""</f>
        <v/>
      </c>
      <c r="G2695" s="3">
        <v>1.8</v>
      </c>
      <c r="H2695" t="str">
        <f t="shared" si="51"/>
        <v>TASC - FSA  FEES</v>
      </c>
    </row>
    <row r="2696" spans="5:8" x14ac:dyDescent="0.25">
      <c r="E2696" t="str">
        <f>""</f>
        <v/>
      </c>
      <c r="F2696" t="str">
        <f>""</f>
        <v/>
      </c>
      <c r="G2696" s="3">
        <v>36.51</v>
      </c>
      <c r="H2696" t="str">
        <f t="shared" si="51"/>
        <v>TASC - FSA  FEES</v>
      </c>
    </row>
    <row r="2697" spans="5:8" x14ac:dyDescent="0.25">
      <c r="E2697" t="str">
        <f>""</f>
        <v/>
      </c>
      <c r="F2697" t="str">
        <f>""</f>
        <v/>
      </c>
      <c r="G2697" s="3">
        <v>3.55</v>
      </c>
      <c r="H2697" t="str">
        <f t="shared" si="51"/>
        <v>TASC - FSA  FEES</v>
      </c>
    </row>
    <row r="2698" spans="5:8" x14ac:dyDescent="0.25">
      <c r="E2698" t="str">
        <f>""</f>
        <v/>
      </c>
      <c r="F2698" t="str">
        <f>""</f>
        <v/>
      </c>
      <c r="G2698" s="3">
        <v>37.340000000000003</v>
      </c>
      <c r="H2698" t="str">
        <f t="shared" si="51"/>
        <v>TASC - FSA  FEES</v>
      </c>
    </row>
    <row r="2699" spans="5:8" x14ac:dyDescent="0.25">
      <c r="E2699" t="str">
        <f>""</f>
        <v/>
      </c>
      <c r="F2699" t="str">
        <f>""</f>
        <v/>
      </c>
      <c r="G2699" s="3">
        <v>5.4</v>
      </c>
      <c r="H2699" t="str">
        <f t="shared" si="51"/>
        <v>TASC - FSA  FEES</v>
      </c>
    </row>
    <row r="2700" spans="5:8" x14ac:dyDescent="0.25">
      <c r="E2700" t="str">
        <f>""</f>
        <v/>
      </c>
      <c r="F2700" t="str">
        <f>""</f>
        <v/>
      </c>
      <c r="G2700" s="3">
        <v>1.8</v>
      </c>
      <c r="H2700" t="str">
        <f t="shared" si="51"/>
        <v>TASC - FSA  FEES</v>
      </c>
    </row>
    <row r="2701" spans="5:8" x14ac:dyDescent="0.25">
      <c r="E2701" t="str">
        <f>""</f>
        <v/>
      </c>
      <c r="F2701" t="str">
        <f>""</f>
        <v/>
      </c>
      <c r="G2701" s="3">
        <v>3.6</v>
      </c>
      <c r="H2701" t="str">
        <f t="shared" si="51"/>
        <v>TASC - FSA  FEES</v>
      </c>
    </row>
    <row r="2702" spans="5:8" x14ac:dyDescent="0.25">
      <c r="E2702" t="str">
        <f>""</f>
        <v/>
      </c>
      <c r="F2702" t="str">
        <f>""</f>
        <v/>
      </c>
      <c r="G2702" s="3">
        <v>0.46</v>
      </c>
      <c r="H2702" t="str">
        <f t="shared" si="51"/>
        <v>TASC - FSA  FEES</v>
      </c>
    </row>
    <row r="2703" spans="5:8" x14ac:dyDescent="0.25">
      <c r="E2703" t="str">
        <f>""</f>
        <v/>
      </c>
      <c r="F2703" t="str">
        <f>""</f>
        <v/>
      </c>
      <c r="G2703" s="3">
        <v>3.6</v>
      </c>
      <c r="H2703" t="str">
        <f t="shared" si="51"/>
        <v>TASC - FSA  FEES</v>
      </c>
    </row>
    <row r="2704" spans="5:8" x14ac:dyDescent="0.25">
      <c r="E2704" t="str">
        <f>""</f>
        <v/>
      </c>
      <c r="F2704" t="str">
        <f>""</f>
        <v/>
      </c>
      <c r="G2704" s="3">
        <v>1.8</v>
      </c>
      <c r="H2704" t="str">
        <f t="shared" si="51"/>
        <v>TASC - FSA  FEES</v>
      </c>
    </row>
    <row r="2705" spans="5:8" x14ac:dyDescent="0.25">
      <c r="E2705" t="str">
        <f>""</f>
        <v/>
      </c>
      <c r="F2705" t="str">
        <f>""</f>
        <v/>
      </c>
      <c r="G2705" s="3">
        <v>2.0099999999999998</v>
      </c>
      <c r="H2705" t="str">
        <f t="shared" si="51"/>
        <v>TASC - FSA  FEES</v>
      </c>
    </row>
    <row r="2706" spans="5:8" x14ac:dyDescent="0.25">
      <c r="E2706" t="str">
        <f>""</f>
        <v/>
      </c>
      <c r="F2706" t="str">
        <f>""</f>
        <v/>
      </c>
      <c r="G2706" s="3">
        <v>1.8</v>
      </c>
      <c r="H2706" t="str">
        <f t="shared" si="51"/>
        <v>TASC - FSA  FEES</v>
      </c>
    </row>
    <row r="2707" spans="5:8" x14ac:dyDescent="0.25">
      <c r="E2707" t="str">
        <f>""</f>
        <v/>
      </c>
      <c r="F2707" t="str">
        <f>""</f>
        <v/>
      </c>
      <c r="G2707" s="3">
        <v>9</v>
      </c>
      <c r="H2707" t="str">
        <f t="shared" si="51"/>
        <v>TASC - FSA  FEES</v>
      </c>
    </row>
    <row r="2708" spans="5:8" x14ac:dyDescent="0.25">
      <c r="E2708" t="str">
        <f>""</f>
        <v/>
      </c>
      <c r="F2708" t="str">
        <f>""</f>
        <v/>
      </c>
      <c r="G2708" s="3">
        <v>5.4</v>
      </c>
      <c r="H2708" t="str">
        <f t="shared" si="51"/>
        <v>TASC - FSA  FEES</v>
      </c>
    </row>
    <row r="2709" spans="5:8" x14ac:dyDescent="0.25">
      <c r="E2709" t="str">
        <f>""</f>
        <v/>
      </c>
      <c r="F2709" t="str">
        <f>""</f>
        <v/>
      </c>
      <c r="G2709" s="3">
        <v>1.8</v>
      </c>
      <c r="H2709" t="str">
        <f t="shared" si="51"/>
        <v>TASC - FSA  FEES</v>
      </c>
    </row>
    <row r="2710" spans="5:8" x14ac:dyDescent="0.25">
      <c r="E2710" t="str">
        <f>""</f>
        <v/>
      </c>
      <c r="F2710" t="str">
        <f>""</f>
        <v/>
      </c>
      <c r="G2710" s="3">
        <v>3.14</v>
      </c>
      <c r="H2710" t="str">
        <f t="shared" si="51"/>
        <v>TASC - FSA  FEES</v>
      </c>
    </row>
    <row r="2711" spans="5:8" x14ac:dyDescent="0.25">
      <c r="E2711" t="str">
        <f>""</f>
        <v/>
      </c>
      <c r="F2711" t="str">
        <f>""</f>
        <v/>
      </c>
      <c r="G2711" s="3">
        <v>0.56999999999999995</v>
      </c>
      <c r="H2711" t="str">
        <f t="shared" si="51"/>
        <v>TASC - FSA  FEES</v>
      </c>
    </row>
    <row r="2712" spans="5:8" x14ac:dyDescent="0.25">
      <c r="E2712" t="str">
        <f>""</f>
        <v/>
      </c>
      <c r="F2712" t="str">
        <f>""</f>
        <v/>
      </c>
      <c r="G2712" s="3">
        <v>7.0000000000000007E-2</v>
      </c>
      <c r="H2712" t="str">
        <f t="shared" si="51"/>
        <v>TASC - FSA  FEES</v>
      </c>
    </row>
    <row r="2713" spans="5:8" x14ac:dyDescent="0.25">
      <c r="E2713" t="str">
        <f>""</f>
        <v/>
      </c>
      <c r="F2713" t="str">
        <f>""</f>
        <v/>
      </c>
      <c r="G2713" s="3">
        <v>0.25</v>
      </c>
      <c r="H2713" t="str">
        <f t="shared" si="51"/>
        <v>TASC - FSA  FEES</v>
      </c>
    </row>
    <row r="2714" spans="5:8" x14ac:dyDescent="0.25">
      <c r="E2714" t="str">
        <f>"FSF202109155692"</f>
        <v>FSF202109155692</v>
      </c>
      <c r="F2714" t="str">
        <f>"TASC - FSA  FEES"</f>
        <v>TASC - FSA  FEES</v>
      </c>
      <c r="G2714" s="3">
        <v>9</v>
      </c>
      <c r="H2714" t="str">
        <f t="shared" si="51"/>
        <v>TASC - FSA  FEES</v>
      </c>
    </row>
    <row r="2715" spans="5:8" x14ac:dyDescent="0.25">
      <c r="E2715" t="str">
        <f>"HRF202109155691"</f>
        <v>HRF202109155691</v>
      </c>
      <c r="F2715" t="str">
        <f>"TASC - HRA FEES"</f>
        <v>TASC - HRA FEES</v>
      </c>
      <c r="G2715" s="3">
        <v>5.4</v>
      </c>
      <c r="H2715" t="str">
        <f t="shared" ref="H2715:H2766" si="52">"TASC - HRA FEES"</f>
        <v>TASC - HRA FEES</v>
      </c>
    </row>
    <row r="2716" spans="5:8" x14ac:dyDescent="0.25">
      <c r="E2716" t="str">
        <f>""</f>
        <v/>
      </c>
      <c r="F2716" t="str">
        <f>""</f>
        <v/>
      </c>
      <c r="G2716" s="3">
        <v>2.34</v>
      </c>
      <c r="H2716" t="str">
        <f t="shared" si="52"/>
        <v>TASC - HRA FEES</v>
      </c>
    </row>
    <row r="2717" spans="5:8" x14ac:dyDescent="0.25">
      <c r="E2717" t="str">
        <f>""</f>
        <v/>
      </c>
      <c r="F2717" t="str">
        <f>""</f>
        <v/>
      </c>
      <c r="G2717" s="3">
        <v>15.98</v>
      </c>
      <c r="H2717" t="str">
        <f t="shared" si="52"/>
        <v>TASC - HRA FEES</v>
      </c>
    </row>
    <row r="2718" spans="5:8" x14ac:dyDescent="0.25">
      <c r="E2718" t="str">
        <f>""</f>
        <v/>
      </c>
      <c r="F2718" t="str">
        <f>""</f>
        <v/>
      </c>
      <c r="G2718" s="3">
        <v>5.4</v>
      </c>
      <c r="H2718" t="str">
        <f t="shared" si="52"/>
        <v>TASC - HRA FEES</v>
      </c>
    </row>
    <row r="2719" spans="5:8" x14ac:dyDescent="0.25">
      <c r="E2719" t="str">
        <f>""</f>
        <v/>
      </c>
      <c r="F2719" t="str">
        <f>""</f>
        <v/>
      </c>
      <c r="G2719" s="3">
        <v>3.6</v>
      </c>
      <c r="H2719" t="str">
        <f t="shared" si="52"/>
        <v>TASC - HRA FEES</v>
      </c>
    </row>
    <row r="2720" spans="5:8" x14ac:dyDescent="0.25">
      <c r="E2720" t="str">
        <f>""</f>
        <v/>
      </c>
      <c r="F2720" t="str">
        <f>""</f>
        <v/>
      </c>
      <c r="G2720" s="3">
        <v>10.8</v>
      </c>
      <c r="H2720" t="str">
        <f t="shared" si="52"/>
        <v>TASC - HRA FEES</v>
      </c>
    </row>
    <row r="2721" spans="5:8" x14ac:dyDescent="0.25">
      <c r="E2721" t="str">
        <f>""</f>
        <v/>
      </c>
      <c r="F2721" t="str">
        <f>""</f>
        <v/>
      </c>
      <c r="G2721" s="3">
        <v>34.200000000000003</v>
      </c>
      <c r="H2721" t="str">
        <f t="shared" si="52"/>
        <v>TASC - HRA FEES</v>
      </c>
    </row>
    <row r="2722" spans="5:8" x14ac:dyDescent="0.25">
      <c r="E2722" t="str">
        <f>""</f>
        <v/>
      </c>
      <c r="F2722" t="str">
        <f>""</f>
        <v/>
      </c>
      <c r="G2722" s="3">
        <v>1.8</v>
      </c>
      <c r="H2722" t="str">
        <f t="shared" si="52"/>
        <v>TASC - HRA FEES</v>
      </c>
    </row>
    <row r="2723" spans="5:8" x14ac:dyDescent="0.25">
      <c r="E2723" t="str">
        <f>""</f>
        <v/>
      </c>
      <c r="F2723" t="str">
        <f>""</f>
        <v/>
      </c>
      <c r="G2723" s="3">
        <v>5.15</v>
      </c>
      <c r="H2723" t="str">
        <f t="shared" si="52"/>
        <v>TASC - HRA FEES</v>
      </c>
    </row>
    <row r="2724" spans="5:8" x14ac:dyDescent="0.25">
      <c r="E2724" t="str">
        <f>""</f>
        <v/>
      </c>
      <c r="F2724" t="str">
        <f>""</f>
        <v/>
      </c>
      <c r="G2724" s="3">
        <v>9</v>
      </c>
      <c r="H2724" t="str">
        <f t="shared" si="52"/>
        <v>TASC - HRA FEES</v>
      </c>
    </row>
    <row r="2725" spans="5:8" x14ac:dyDescent="0.25">
      <c r="E2725" t="str">
        <f>""</f>
        <v/>
      </c>
      <c r="F2725" t="str">
        <f>""</f>
        <v/>
      </c>
      <c r="G2725" s="3">
        <v>28.8</v>
      </c>
      <c r="H2725" t="str">
        <f t="shared" si="52"/>
        <v>TASC - HRA FEES</v>
      </c>
    </row>
    <row r="2726" spans="5:8" x14ac:dyDescent="0.25">
      <c r="E2726" t="str">
        <f>""</f>
        <v/>
      </c>
      <c r="F2726" t="str">
        <f>""</f>
        <v/>
      </c>
      <c r="G2726" s="3">
        <v>7.2</v>
      </c>
      <c r="H2726" t="str">
        <f t="shared" si="52"/>
        <v>TASC - HRA FEES</v>
      </c>
    </row>
    <row r="2727" spans="5:8" x14ac:dyDescent="0.25">
      <c r="E2727" t="str">
        <f>""</f>
        <v/>
      </c>
      <c r="F2727" t="str">
        <f>""</f>
        <v/>
      </c>
      <c r="G2727" s="3">
        <v>5.4</v>
      </c>
      <c r="H2727" t="str">
        <f t="shared" si="52"/>
        <v>TASC - HRA FEES</v>
      </c>
    </row>
    <row r="2728" spans="5:8" x14ac:dyDescent="0.25">
      <c r="E2728" t="str">
        <f>""</f>
        <v/>
      </c>
      <c r="F2728" t="str">
        <f>""</f>
        <v/>
      </c>
      <c r="G2728" s="3">
        <v>7.2</v>
      </c>
      <c r="H2728" t="str">
        <f t="shared" si="52"/>
        <v>TASC - HRA FEES</v>
      </c>
    </row>
    <row r="2729" spans="5:8" x14ac:dyDescent="0.25">
      <c r="E2729" t="str">
        <f>""</f>
        <v/>
      </c>
      <c r="F2729" t="str">
        <f>""</f>
        <v/>
      </c>
      <c r="G2729" s="3">
        <v>7.2</v>
      </c>
      <c r="H2729" t="str">
        <f t="shared" si="52"/>
        <v>TASC - HRA FEES</v>
      </c>
    </row>
    <row r="2730" spans="5:8" x14ac:dyDescent="0.25">
      <c r="E2730" t="str">
        <f>""</f>
        <v/>
      </c>
      <c r="F2730" t="str">
        <f>""</f>
        <v/>
      </c>
      <c r="G2730" s="3">
        <v>3.6</v>
      </c>
      <c r="H2730" t="str">
        <f t="shared" si="52"/>
        <v>TASC - HRA FEES</v>
      </c>
    </row>
    <row r="2731" spans="5:8" x14ac:dyDescent="0.25">
      <c r="E2731" t="str">
        <f>""</f>
        <v/>
      </c>
      <c r="F2731" t="str">
        <f>""</f>
        <v/>
      </c>
      <c r="G2731" s="3">
        <v>26.23</v>
      </c>
      <c r="H2731" t="str">
        <f t="shared" si="52"/>
        <v>TASC - HRA FEES</v>
      </c>
    </row>
    <row r="2732" spans="5:8" x14ac:dyDescent="0.25">
      <c r="E2732" t="str">
        <f>""</f>
        <v/>
      </c>
      <c r="F2732" t="str">
        <f>""</f>
        <v/>
      </c>
      <c r="G2732" s="3">
        <v>12.6</v>
      </c>
      <c r="H2732" t="str">
        <f t="shared" si="52"/>
        <v>TASC - HRA FEES</v>
      </c>
    </row>
    <row r="2733" spans="5:8" x14ac:dyDescent="0.25">
      <c r="E2733" t="str">
        <f>""</f>
        <v/>
      </c>
      <c r="F2733" t="str">
        <f>""</f>
        <v/>
      </c>
      <c r="G2733" s="3">
        <v>7.2</v>
      </c>
      <c r="H2733" t="str">
        <f t="shared" si="52"/>
        <v>TASC - HRA FEES</v>
      </c>
    </row>
    <row r="2734" spans="5:8" x14ac:dyDescent="0.25">
      <c r="E2734" t="str">
        <f>""</f>
        <v/>
      </c>
      <c r="F2734" t="str">
        <f>""</f>
        <v/>
      </c>
      <c r="G2734" s="3">
        <v>5.4</v>
      </c>
      <c r="H2734" t="str">
        <f t="shared" si="52"/>
        <v>TASC - HRA FEES</v>
      </c>
    </row>
    <row r="2735" spans="5:8" x14ac:dyDescent="0.25">
      <c r="E2735" t="str">
        <f>""</f>
        <v/>
      </c>
      <c r="F2735" t="str">
        <f>""</f>
        <v/>
      </c>
      <c r="G2735" s="3">
        <v>21.6</v>
      </c>
      <c r="H2735" t="str">
        <f t="shared" si="52"/>
        <v>TASC - HRA FEES</v>
      </c>
    </row>
    <row r="2736" spans="5:8" x14ac:dyDescent="0.25">
      <c r="E2736" t="str">
        <f>""</f>
        <v/>
      </c>
      <c r="F2736" t="str">
        <f>""</f>
        <v/>
      </c>
      <c r="G2736" s="3">
        <v>12.6</v>
      </c>
      <c r="H2736" t="str">
        <f t="shared" si="52"/>
        <v>TASC - HRA FEES</v>
      </c>
    </row>
    <row r="2737" spans="5:8" x14ac:dyDescent="0.25">
      <c r="E2737" t="str">
        <f>""</f>
        <v/>
      </c>
      <c r="F2737" t="str">
        <f>""</f>
        <v/>
      </c>
      <c r="G2737" s="3">
        <v>21.6</v>
      </c>
      <c r="H2737" t="str">
        <f t="shared" si="52"/>
        <v>TASC - HRA FEES</v>
      </c>
    </row>
    <row r="2738" spans="5:8" x14ac:dyDescent="0.25">
      <c r="E2738" t="str">
        <f>""</f>
        <v/>
      </c>
      <c r="F2738" t="str">
        <f>""</f>
        <v/>
      </c>
      <c r="G2738" s="3">
        <v>23.4</v>
      </c>
      <c r="H2738" t="str">
        <f t="shared" si="52"/>
        <v>TASC - HRA FEES</v>
      </c>
    </row>
    <row r="2739" spans="5:8" x14ac:dyDescent="0.25">
      <c r="E2739" t="str">
        <f>""</f>
        <v/>
      </c>
      <c r="F2739" t="str">
        <f>""</f>
        <v/>
      </c>
      <c r="G2739" s="3">
        <v>43.23</v>
      </c>
      <c r="H2739" t="str">
        <f t="shared" si="52"/>
        <v>TASC - HRA FEES</v>
      </c>
    </row>
    <row r="2740" spans="5:8" x14ac:dyDescent="0.25">
      <c r="E2740" t="str">
        <f>""</f>
        <v/>
      </c>
      <c r="F2740" t="str">
        <f>""</f>
        <v/>
      </c>
      <c r="G2740" s="3">
        <v>1.8</v>
      </c>
      <c r="H2740" t="str">
        <f t="shared" si="52"/>
        <v>TASC - HRA FEES</v>
      </c>
    </row>
    <row r="2741" spans="5:8" x14ac:dyDescent="0.25">
      <c r="E2741" t="str">
        <f>""</f>
        <v/>
      </c>
      <c r="F2741" t="str">
        <f>""</f>
        <v/>
      </c>
      <c r="G2741" s="3">
        <v>1.8</v>
      </c>
      <c r="H2741" t="str">
        <f t="shared" si="52"/>
        <v>TASC - HRA FEES</v>
      </c>
    </row>
    <row r="2742" spans="5:8" x14ac:dyDescent="0.25">
      <c r="E2742" t="str">
        <f>""</f>
        <v/>
      </c>
      <c r="F2742" t="str">
        <f>""</f>
        <v/>
      </c>
      <c r="G2742" s="3">
        <v>1.8</v>
      </c>
      <c r="H2742" t="str">
        <f t="shared" si="52"/>
        <v>TASC - HRA FEES</v>
      </c>
    </row>
    <row r="2743" spans="5:8" x14ac:dyDescent="0.25">
      <c r="E2743" t="str">
        <f>""</f>
        <v/>
      </c>
      <c r="F2743" t="str">
        <f>""</f>
        <v/>
      </c>
      <c r="G2743" s="3">
        <v>1.8</v>
      </c>
      <c r="H2743" t="str">
        <f t="shared" si="52"/>
        <v>TASC - HRA FEES</v>
      </c>
    </row>
    <row r="2744" spans="5:8" x14ac:dyDescent="0.25">
      <c r="E2744" t="str">
        <f>""</f>
        <v/>
      </c>
      <c r="F2744" t="str">
        <f>""</f>
        <v/>
      </c>
      <c r="G2744" s="3">
        <v>160.85</v>
      </c>
      <c r="H2744" t="str">
        <f t="shared" si="52"/>
        <v>TASC - HRA FEES</v>
      </c>
    </row>
    <row r="2745" spans="5:8" x14ac:dyDescent="0.25">
      <c r="E2745" t="str">
        <f>""</f>
        <v/>
      </c>
      <c r="F2745" t="str">
        <f>""</f>
        <v/>
      </c>
      <c r="G2745" s="3">
        <v>8.9</v>
      </c>
      <c r="H2745" t="str">
        <f t="shared" si="52"/>
        <v>TASC - HRA FEES</v>
      </c>
    </row>
    <row r="2746" spans="5:8" x14ac:dyDescent="0.25">
      <c r="E2746" t="str">
        <f>""</f>
        <v/>
      </c>
      <c r="F2746" t="str">
        <f>""</f>
        <v/>
      </c>
      <c r="G2746" s="3">
        <v>152.46</v>
      </c>
      <c r="H2746" t="str">
        <f t="shared" si="52"/>
        <v>TASC - HRA FEES</v>
      </c>
    </row>
    <row r="2747" spans="5:8" x14ac:dyDescent="0.25">
      <c r="E2747" t="str">
        <f>""</f>
        <v/>
      </c>
      <c r="F2747" t="str">
        <f>""</f>
        <v/>
      </c>
      <c r="G2747" s="3">
        <v>32.4</v>
      </c>
      <c r="H2747" t="str">
        <f t="shared" si="52"/>
        <v>TASC - HRA FEES</v>
      </c>
    </row>
    <row r="2748" spans="5:8" x14ac:dyDescent="0.25">
      <c r="E2748" t="str">
        <f>""</f>
        <v/>
      </c>
      <c r="F2748" t="str">
        <f>""</f>
        <v/>
      </c>
      <c r="G2748" s="3">
        <v>1.8</v>
      </c>
      <c r="H2748" t="str">
        <f t="shared" si="52"/>
        <v>TASC - HRA FEES</v>
      </c>
    </row>
    <row r="2749" spans="5:8" x14ac:dyDescent="0.25">
      <c r="E2749" t="str">
        <f>""</f>
        <v/>
      </c>
      <c r="F2749" t="str">
        <f>""</f>
        <v/>
      </c>
      <c r="G2749" s="3">
        <v>5.4</v>
      </c>
      <c r="H2749" t="str">
        <f t="shared" si="52"/>
        <v>TASC - HRA FEES</v>
      </c>
    </row>
    <row r="2750" spans="5:8" x14ac:dyDescent="0.25">
      <c r="E2750" t="str">
        <f>""</f>
        <v/>
      </c>
      <c r="F2750" t="str">
        <f>""</f>
        <v/>
      </c>
      <c r="G2750" s="3">
        <v>0.46</v>
      </c>
      <c r="H2750" t="str">
        <f t="shared" si="52"/>
        <v>TASC - HRA FEES</v>
      </c>
    </row>
    <row r="2751" spans="5:8" x14ac:dyDescent="0.25">
      <c r="E2751" t="str">
        <f>""</f>
        <v/>
      </c>
      <c r="F2751" t="str">
        <f>""</f>
        <v/>
      </c>
      <c r="G2751" s="3">
        <v>5.4</v>
      </c>
      <c r="H2751" t="str">
        <f t="shared" si="52"/>
        <v>TASC - HRA FEES</v>
      </c>
    </row>
    <row r="2752" spans="5:8" x14ac:dyDescent="0.25">
      <c r="E2752" t="str">
        <f>""</f>
        <v/>
      </c>
      <c r="F2752" t="str">
        <f>""</f>
        <v/>
      </c>
      <c r="G2752" s="3">
        <v>1.8</v>
      </c>
      <c r="H2752" t="str">
        <f t="shared" si="52"/>
        <v>TASC - HRA FEES</v>
      </c>
    </row>
    <row r="2753" spans="1:8" x14ac:dyDescent="0.25">
      <c r="E2753" t="str">
        <f>""</f>
        <v/>
      </c>
      <c r="F2753" t="str">
        <f>""</f>
        <v/>
      </c>
      <c r="G2753" s="3">
        <v>5.4</v>
      </c>
      <c r="H2753" t="str">
        <f t="shared" si="52"/>
        <v>TASC - HRA FEES</v>
      </c>
    </row>
    <row r="2754" spans="1:8" x14ac:dyDescent="0.25">
      <c r="E2754" t="str">
        <f>""</f>
        <v/>
      </c>
      <c r="F2754" t="str">
        <f>""</f>
        <v/>
      </c>
      <c r="G2754" s="3">
        <v>3.6</v>
      </c>
      <c r="H2754" t="str">
        <f t="shared" si="52"/>
        <v>TASC - HRA FEES</v>
      </c>
    </row>
    <row r="2755" spans="1:8" x14ac:dyDescent="0.25">
      <c r="E2755" t="str">
        <f>""</f>
        <v/>
      </c>
      <c r="F2755" t="str">
        <f>""</f>
        <v/>
      </c>
      <c r="G2755" s="3">
        <v>0.22</v>
      </c>
      <c r="H2755" t="str">
        <f t="shared" si="52"/>
        <v>TASC - HRA FEES</v>
      </c>
    </row>
    <row r="2756" spans="1:8" x14ac:dyDescent="0.25">
      <c r="E2756" t="str">
        <f>""</f>
        <v/>
      </c>
      <c r="F2756" t="str">
        <f>""</f>
        <v/>
      </c>
      <c r="G2756" s="3">
        <v>18.43</v>
      </c>
      <c r="H2756" t="str">
        <f t="shared" si="52"/>
        <v>TASC - HRA FEES</v>
      </c>
    </row>
    <row r="2757" spans="1:8" x14ac:dyDescent="0.25">
      <c r="E2757" t="str">
        <f>""</f>
        <v/>
      </c>
      <c r="F2757" t="str">
        <f>""</f>
        <v/>
      </c>
      <c r="G2757" s="3">
        <v>21.27</v>
      </c>
      <c r="H2757" t="str">
        <f t="shared" si="52"/>
        <v>TASC - HRA FEES</v>
      </c>
    </row>
    <row r="2758" spans="1:8" x14ac:dyDescent="0.25">
      <c r="E2758" t="str">
        <f>""</f>
        <v/>
      </c>
      <c r="F2758" t="str">
        <f>""</f>
        <v/>
      </c>
      <c r="G2758" s="3">
        <v>23.05</v>
      </c>
      <c r="H2758" t="str">
        <f t="shared" si="52"/>
        <v>TASC - HRA FEES</v>
      </c>
    </row>
    <row r="2759" spans="1:8" x14ac:dyDescent="0.25">
      <c r="E2759" t="str">
        <f>""</f>
        <v/>
      </c>
      <c r="F2759" t="str">
        <f>""</f>
        <v/>
      </c>
      <c r="G2759" s="3">
        <v>26.68</v>
      </c>
      <c r="H2759" t="str">
        <f t="shared" si="52"/>
        <v>TASC - HRA FEES</v>
      </c>
    </row>
    <row r="2760" spans="1:8" x14ac:dyDescent="0.25">
      <c r="E2760" t="str">
        <f>""</f>
        <v/>
      </c>
      <c r="F2760" t="str">
        <f>""</f>
        <v/>
      </c>
      <c r="G2760" s="3">
        <v>3.6</v>
      </c>
      <c r="H2760" t="str">
        <f t="shared" si="52"/>
        <v>TASC - HRA FEES</v>
      </c>
    </row>
    <row r="2761" spans="1:8" x14ac:dyDescent="0.25">
      <c r="E2761" t="str">
        <f>""</f>
        <v/>
      </c>
      <c r="F2761" t="str">
        <f>""</f>
        <v/>
      </c>
      <c r="G2761" s="3">
        <v>3.14</v>
      </c>
      <c r="H2761" t="str">
        <f t="shared" si="52"/>
        <v>TASC - HRA FEES</v>
      </c>
    </row>
    <row r="2762" spans="1:8" x14ac:dyDescent="0.25">
      <c r="E2762" t="str">
        <f>""</f>
        <v/>
      </c>
      <c r="F2762" t="str">
        <f>""</f>
        <v/>
      </c>
      <c r="G2762" s="3">
        <v>0.63</v>
      </c>
      <c r="H2762" t="str">
        <f t="shared" si="52"/>
        <v>TASC - HRA FEES</v>
      </c>
    </row>
    <row r="2763" spans="1:8" x14ac:dyDescent="0.25">
      <c r="E2763" t="str">
        <f>""</f>
        <v/>
      </c>
      <c r="F2763" t="str">
        <f>""</f>
        <v/>
      </c>
      <c r="G2763" s="3">
        <v>0.14000000000000001</v>
      </c>
      <c r="H2763" t="str">
        <f t="shared" si="52"/>
        <v>TASC - HRA FEES</v>
      </c>
    </row>
    <row r="2764" spans="1:8" x14ac:dyDescent="0.25">
      <c r="E2764" t="str">
        <f>""</f>
        <v/>
      </c>
      <c r="F2764" t="str">
        <f>""</f>
        <v/>
      </c>
      <c r="G2764" s="3">
        <v>0.25</v>
      </c>
      <c r="H2764" t="str">
        <f t="shared" si="52"/>
        <v>TASC - HRA FEES</v>
      </c>
    </row>
    <row r="2765" spans="1:8" x14ac:dyDescent="0.25">
      <c r="E2765" t="str">
        <f>""</f>
        <v/>
      </c>
      <c r="F2765" t="str">
        <f>""</f>
        <v/>
      </c>
      <c r="G2765" s="3">
        <v>1.79</v>
      </c>
      <c r="H2765" t="str">
        <f t="shared" si="52"/>
        <v>TASC - HRA FEES</v>
      </c>
    </row>
    <row r="2766" spans="1:8" x14ac:dyDescent="0.25">
      <c r="E2766" t="str">
        <f>"HRF202109155692"</f>
        <v>HRF202109155692</v>
      </c>
      <c r="F2766" t="str">
        <f>"TASC - HRA FEES"</f>
        <v>TASC - HRA FEES</v>
      </c>
      <c r="G2766" s="3">
        <v>23.4</v>
      </c>
      <c r="H2766" t="str">
        <f t="shared" si="52"/>
        <v>TASC - HRA FEES</v>
      </c>
    </row>
    <row r="2767" spans="1:8" x14ac:dyDescent="0.25">
      <c r="A2767" t="s">
        <v>418</v>
      </c>
      <c r="B2767">
        <v>1284</v>
      </c>
      <c r="C2767" s="3">
        <v>4136.41</v>
      </c>
      <c r="D2767" s="4">
        <v>44442</v>
      </c>
      <c r="E2767" t="str">
        <f>"C2 202109015417"</f>
        <v>C2 202109015417</v>
      </c>
      <c r="F2767" t="str">
        <f>"0012982132CCL7445"</f>
        <v>0012982132CCL7445</v>
      </c>
      <c r="G2767" s="3">
        <v>692.31</v>
      </c>
      <c r="H2767" t="str">
        <f>"0012982132CCL7445"</f>
        <v>0012982132CCL7445</v>
      </c>
    </row>
    <row r="2768" spans="1:8" x14ac:dyDescent="0.25">
      <c r="E2768" t="str">
        <f>"C20202109015416"</f>
        <v>C20202109015416</v>
      </c>
      <c r="F2768" t="str">
        <f>"001003981107-12252"</f>
        <v>001003981107-12252</v>
      </c>
      <c r="G2768" s="3">
        <v>115.39</v>
      </c>
      <c r="H2768" t="str">
        <f>"001003981107-12252"</f>
        <v>001003981107-12252</v>
      </c>
    </row>
    <row r="2769" spans="5:8" x14ac:dyDescent="0.25">
      <c r="E2769" t="str">
        <f>"C42202109015416"</f>
        <v>C42202109015416</v>
      </c>
      <c r="F2769" t="str">
        <f>"001236769211-14410"</f>
        <v>001236769211-14410</v>
      </c>
      <c r="G2769" s="3">
        <v>230.31</v>
      </c>
      <c r="H2769" t="str">
        <f>"001236769211-14410"</f>
        <v>001236769211-14410</v>
      </c>
    </row>
    <row r="2770" spans="5:8" x14ac:dyDescent="0.25">
      <c r="E2770" t="str">
        <f>"C46202109015416"</f>
        <v>C46202109015416</v>
      </c>
      <c r="F2770" t="str">
        <f>"CAUSE# 11-14911"</f>
        <v>CAUSE# 11-14911</v>
      </c>
      <c r="G2770" s="3">
        <v>238.62</v>
      </c>
      <c r="H2770" t="str">
        <f>"CAUSE# 11-14911"</f>
        <v>CAUSE# 11-14911</v>
      </c>
    </row>
    <row r="2771" spans="5:8" x14ac:dyDescent="0.25">
      <c r="E2771" t="str">
        <f>"C60202109015416"</f>
        <v>C60202109015416</v>
      </c>
      <c r="F2771" t="str">
        <f>"00130730762012V300"</f>
        <v>00130730762012V300</v>
      </c>
      <c r="G2771" s="3">
        <v>399.32</v>
      </c>
      <c r="H2771" t="str">
        <f>"00130730762012V300"</f>
        <v>00130730762012V300</v>
      </c>
    </row>
    <row r="2772" spans="5:8" x14ac:dyDescent="0.25">
      <c r="E2772" t="str">
        <f>"C62202109015416"</f>
        <v>C62202109015416</v>
      </c>
      <c r="F2772" t="str">
        <f>"# 0012128865"</f>
        <v># 0012128865</v>
      </c>
      <c r="G2772" s="3">
        <v>243.23</v>
      </c>
      <c r="H2772" t="str">
        <f>"# 0012128865"</f>
        <v># 0012128865</v>
      </c>
    </row>
    <row r="2773" spans="5:8" x14ac:dyDescent="0.25">
      <c r="E2773" t="str">
        <f>"C66202109015416"</f>
        <v>C66202109015416</v>
      </c>
      <c r="F2773" t="str">
        <f>"# 0012871801"</f>
        <v># 0012871801</v>
      </c>
      <c r="G2773" s="3">
        <v>90</v>
      </c>
      <c r="H2773" t="str">
        <f>"# 0012871801"</f>
        <v># 0012871801</v>
      </c>
    </row>
    <row r="2774" spans="5:8" x14ac:dyDescent="0.25">
      <c r="E2774" t="str">
        <f>"C67202109015416"</f>
        <v>C67202109015416</v>
      </c>
      <c r="F2774" t="str">
        <f>"13154657"</f>
        <v>13154657</v>
      </c>
      <c r="G2774" s="3">
        <v>101.99</v>
      </c>
      <c r="H2774" t="str">
        <f>"13154657"</f>
        <v>13154657</v>
      </c>
    </row>
    <row r="2775" spans="5:8" x14ac:dyDescent="0.25">
      <c r="E2775" t="str">
        <f>"C69202109015416"</f>
        <v>C69202109015416</v>
      </c>
      <c r="F2775" t="str">
        <f>"0012046911423672"</f>
        <v>0012046911423672</v>
      </c>
      <c r="G2775" s="3">
        <v>138.91999999999999</v>
      </c>
      <c r="H2775" t="str">
        <f>"0012046911423672"</f>
        <v>0012046911423672</v>
      </c>
    </row>
    <row r="2776" spans="5:8" x14ac:dyDescent="0.25">
      <c r="E2776" t="str">
        <f>"C71202109015416"</f>
        <v>C71202109015416</v>
      </c>
      <c r="F2776" t="str">
        <f>"00137390532018V215"</f>
        <v>00137390532018V215</v>
      </c>
      <c r="G2776" s="3">
        <v>264</v>
      </c>
      <c r="H2776" t="str">
        <f>"00137390532018V215"</f>
        <v>00137390532018V215</v>
      </c>
    </row>
    <row r="2777" spans="5:8" x14ac:dyDescent="0.25">
      <c r="E2777" t="str">
        <f>"C72202109015416"</f>
        <v>C72202109015416</v>
      </c>
      <c r="F2777" t="str">
        <f>"0012797601C20130529B"</f>
        <v>0012797601C20130529B</v>
      </c>
      <c r="G2777" s="3">
        <v>241.85</v>
      </c>
      <c r="H2777" t="str">
        <f>"0012797601C20130529B"</f>
        <v>0012797601C20130529B</v>
      </c>
    </row>
    <row r="2778" spans="5:8" x14ac:dyDescent="0.25">
      <c r="E2778" t="str">
        <f>"C78202109015416"</f>
        <v>C78202109015416</v>
      </c>
      <c r="F2778" t="str">
        <f>"00105115972005106221"</f>
        <v>00105115972005106221</v>
      </c>
      <c r="G2778" s="3">
        <v>245.08</v>
      </c>
      <c r="H2778" t="str">
        <f>"00105115972005106221"</f>
        <v>00105115972005106221</v>
      </c>
    </row>
    <row r="2779" spans="5:8" x14ac:dyDescent="0.25">
      <c r="E2779" t="str">
        <f>"C85202109015416"</f>
        <v>C85202109015416</v>
      </c>
      <c r="F2779" t="str">
        <f>"0012469425201770874"</f>
        <v>0012469425201770874</v>
      </c>
      <c r="G2779" s="3">
        <v>138.46</v>
      </c>
      <c r="H2779" t="str">
        <f>"0012469425201770874"</f>
        <v>0012469425201770874</v>
      </c>
    </row>
    <row r="2780" spans="5:8" x14ac:dyDescent="0.25">
      <c r="E2780" t="str">
        <f>"C86202109015416"</f>
        <v>C86202109015416</v>
      </c>
      <c r="F2780" t="str">
        <f>"0013854015101285F"</f>
        <v>0013854015101285F</v>
      </c>
      <c r="G2780" s="3">
        <v>241.85</v>
      </c>
      <c r="H2780" t="str">
        <f>"0013854015101285F"</f>
        <v>0013854015101285F</v>
      </c>
    </row>
    <row r="2781" spans="5:8" x14ac:dyDescent="0.25">
      <c r="E2781" t="str">
        <f>"C87202109015416"</f>
        <v>C87202109015416</v>
      </c>
      <c r="F2781" t="str">
        <f>"0012963634L130019CVB"</f>
        <v>0012963634L130019CVB</v>
      </c>
      <c r="G2781" s="3">
        <v>249.23</v>
      </c>
      <c r="H2781" t="str">
        <f>"0012963634L130019CVB"</f>
        <v>0012963634L130019CVB</v>
      </c>
    </row>
    <row r="2782" spans="5:8" x14ac:dyDescent="0.25">
      <c r="E2782" t="str">
        <f>"C89202109015416"</f>
        <v>C89202109015416</v>
      </c>
      <c r="F2782" t="str">
        <f>"00127760434232477"</f>
        <v>00127760434232477</v>
      </c>
      <c r="G2782" s="3">
        <v>129.69</v>
      </c>
      <c r="H2782" t="str">
        <f>"00127760434232477"</f>
        <v>00127760434232477</v>
      </c>
    </row>
    <row r="2783" spans="5:8" x14ac:dyDescent="0.25">
      <c r="E2783" t="str">
        <f>"C94202109015416"</f>
        <v>C94202109015416</v>
      </c>
      <c r="F2783" t="str">
        <f>"00135877551718312"</f>
        <v>00135877551718312</v>
      </c>
      <c r="G2783" s="3">
        <v>221.54</v>
      </c>
      <c r="H2783" t="str">
        <f>"00135877551718312"</f>
        <v>00135877551718312</v>
      </c>
    </row>
    <row r="2784" spans="5:8" x14ac:dyDescent="0.25">
      <c r="E2784" t="str">
        <f>"C95202109015416"</f>
        <v>C95202109015416</v>
      </c>
      <c r="F2784" t="str">
        <f>"0011792526423338"</f>
        <v>0011792526423338</v>
      </c>
      <c r="G2784" s="3">
        <v>154.62</v>
      </c>
      <c r="H2784" t="str">
        <f>"0011792526423338"</f>
        <v>0011792526423338</v>
      </c>
    </row>
    <row r="2785" spans="1:8" x14ac:dyDescent="0.25">
      <c r="A2785" t="s">
        <v>418</v>
      </c>
      <c r="B2785">
        <v>1329</v>
      </c>
      <c r="C2785" s="3">
        <v>4136.41</v>
      </c>
      <c r="D2785" s="4">
        <v>44456</v>
      </c>
      <c r="E2785" t="str">
        <f>"C2 202109155692"</f>
        <v>C2 202109155692</v>
      </c>
      <c r="F2785" t="str">
        <f>"0012982132CCL7445"</f>
        <v>0012982132CCL7445</v>
      </c>
      <c r="G2785" s="3">
        <v>692.31</v>
      </c>
      <c r="H2785" t="str">
        <f>"0012982132CCL7445"</f>
        <v>0012982132CCL7445</v>
      </c>
    </row>
    <row r="2786" spans="1:8" x14ac:dyDescent="0.25">
      <c r="E2786" t="str">
        <f>"C20202109155691"</f>
        <v>C20202109155691</v>
      </c>
      <c r="F2786" t="str">
        <f>"001003981107-12252"</f>
        <v>001003981107-12252</v>
      </c>
      <c r="G2786" s="3">
        <v>115.39</v>
      </c>
      <c r="H2786" t="str">
        <f>"001003981107-12252"</f>
        <v>001003981107-12252</v>
      </c>
    </row>
    <row r="2787" spans="1:8" x14ac:dyDescent="0.25">
      <c r="E2787" t="str">
        <f>"C42202109155691"</f>
        <v>C42202109155691</v>
      </c>
      <c r="F2787" t="str">
        <f>"001236769211-14410"</f>
        <v>001236769211-14410</v>
      </c>
      <c r="G2787" s="3">
        <v>230.31</v>
      </c>
      <c r="H2787" t="str">
        <f>"001236769211-14410"</f>
        <v>001236769211-14410</v>
      </c>
    </row>
    <row r="2788" spans="1:8" x14ac:dyDescent="0.25">
      <c r="E2788" t="str">
        <f>"C46202109155691"</f>
        <v>C46202109155691</v>
      </c>
      <c r="F2788" t="str">
        <f>"CAUSE# 11-14911"</f>
        <v>CAUSE# 11-14911</v>
      </c>
      <c r="G2788" s="3">
        <v>238.62</v>
      </c>
      <c r="H2788" t="str">
        <f>"CAUSE# 11-14911"</f>
        <v>CAUSE# 11-14911</v>
      </c>
    </row>
    <row r="2789" spans="1:8" x14ac:dyDescent="0.25">
      <c r="E2789" t="str">
        <f>"C60202109155691"</f>
        <v>C60202109155691</v>
      </c>
      <c r="F2789" t="str">
        <f>"00130730762012V300"</f>
        <v>00130730762012V300</v>
      </c>
      <c r="G2789" s="3">
        <v>399.32</v>
      </c>
      <c r="H2789" t="str">
        <f>"00130730762012V300"</f>
        <v>00130730762012V300</v>
      </c>
    </row>
    <row r="2790" spans="1:8" x14ac:dyDescent="0.25">
      <c r="E2790" t="str">
        <f>"C62202109155691"</f>
        <v>C62202109155691</v>
      </c>
      <c r="F2790" t="str">
        <f>"# 0012128865"</f>
        <v># 0012128865</v>
      </c>
      <c r="G2790" s="3">
        <v>243.23</v>
      </c>
      <c r="H2790" t="str">
        <f>"# 0012128865"</f>
        <v># 0012128865</v>
      </c>
    </row>
    <row r="2791" spans="1:8" x14ac:dyDescent="0.25">
      <c r="E2791" t="str">
        <f>"C66202109155691"</f>
        <v>C66202109155691</v>
      </c>
      <c r="F2791" t="str">
        <f>"# 0012871801"</f>
        <v># 0012871801</v>
      </c>
      <c r="G2791" s="3">
        <v>90</v>
      </c>
      <c r="H2791" t="str">
        <f>"# 0012871801"</f>
        <v># 0012871801</v>
      </c>
    </row>
    <row r="2792" spans="1:8" x14ac:dyDescent="0.25">
      <c r="E2792" t="str">
        <f>"C67202109155691"</f>
        <v>C67202109155691</v>
      </c>
      <c r="F2792" t="str">
        <f>"13154657"</f>
        <v>13154657</v>
      </c>
      <c r="G2792" s="3">
        <v>101.99</v>
      </c>
      <c r="H2792" t="str">
        <f>"13154657"</f>
        <v>13154657</v>
      </c>
    </row>
    <row r="2793" spans="1:8" x14ac:dyDescent="0.25">
      <c r="E2793" t="str">
        <f>"C69202109155691"</f>
        <v>C69202109155691</v>
      </c>
      <c r="F2793" t="str">
        <f>"0012046911423672"</f>
        <v>0012046911423672</v>
      </c>
      <c r="G2793" s="3">
        <v>138.91999999999999</v>
      </c>
      <c r="H2793" t="str">
        <f>"0012046911423672"</f>
        <v>0012046911423672</v>
      </c>
    </row>
    <row r="2794" spans="1:8" x14ac:dyDescent="0.25">
      <c r="E2794" t="str">
        <f>"C71202109155691"</f>
        <v>C71202109155691</v>
      </c>
      <c r="F2794" t="str">
        <f>"00137390532018V215"</f>
        <v>00137390532018V215</v>
      </c>
      <c r="G2794" s="3">
        <v>264</v>
      </c>
      <c r="H2794" t="str">
        <f>"00137390532018V215"</f>
        <v>00137390532018V215</v>
      </c>
    </row>
    <row r="2795" spans="1:8" x14ac:dyDescent="0.25">
      <c r="E2795" t="str">
        <f>"C72202109155691"</f>
        <v>C72202109155691</v>
      </c>
      <c r="F2795" t="str">
        <f>"0012797601C20130529B"</f>
        <v>0012797601C20130529B</v>
      </c>
      <c r="G2795" s="3">
        <v>241.85</v>
      </c>
      <c r="H2795" t="str">
        <f>"0012797601C20130529B"</f>
        <v>0012797601C20130529B</v>
      </c>
    </row>
    <row r="2796" spans="1:8" x14ac:dyDescent="0.25">
      <c r="E2796" t="str">
        <f>"C78202109155691"</f>
        <v>C78202109155691</v>
      </c>
      <c r="F2796" t="str">
        <f>"00105115972005106221"</f>
        <v>00105115972005106221</v>
      </c>
      <c r="G2796" s="3">
        <v>245.08</v>
      </c>
      <c r="H2796" t="str">
        <f>"00105115972005106221"</f>
        <v>00105115972005106221</v>
      </c>
    </row>
    <row r="2797" spans="1:8" x14ac:dyDescent="0.25">
      <c r="E2797" t="str">
        <f>"C85202109155691"</f>
        <v>C85202109155691</v>
      </c>
      <c r="F2797" t="str">
        <f>"0012469425201770874"</f>
        <v>0012469425201770874</v>
      </c>
      <c r="G2797" s="3">
        <v>138.46</v>
      </c>
      <c r="H2797" t="str">
        <f>"0012469425201770874"</f>
        <v>0012469425201770874</v>
      </c>
    </row>
    <row r="2798" spans="1:8" x14ac:dyDescent="0.25">
      <c r="E2798" t="str">
        <f>"C86202109155691"</f>
        <v>C86202109155691</v>
      </c>
      <c r="F2798" t="str">
        <f>"0013854015101285F"</f>
        <v>0013854015101285F</v>
      </c>
      <c r="G2798" s="3">
        <v>241.85</v>
      </c>
      <c r="H2798" t="str">
        <f>"0013854015101285F"</f>
        <v>0013854015101285F</v>
      </c>
    </row>
    <row r="2799" spans="1:8" x14ac:dyDescent="0.25">
      <c r="E2799" t="str">
        <f>"C87202109155691"</f>
        <v>C87202109155691</v>
      </c>
      <c r="F2799" t="str">
        <f>"0012963634L130019CVB"</f>
        <v>0012963634L130019CVB</v>
      </c>
      <c r="G2799" s="3">
        <v>249.23</v>
      </c>
      <c r="H2799" t="str">
        <f>"0012963634L130019CVB"</f>
        <v>0012963634L130019CVB</v>
      </c>
    </row>
    <row r="2800" spans="1:8" x14ac:dyDescent="0.25">
      <c r="E2800" t="str">
        <f>"C89202109155691"</f>
        <v>C89202109155691</v>
      </c>
      <c r="F2800" t="str">
        <f>"00127760434232477"</f>
        <v>00127760434232477</v>
      </c>
      <c r="G2800" s="3">
        <v>129.69</v>
      </c>
      <c r="H2800" t="str">
        <f>"00127760434232477"</f>
        <v>00127760434232477</v>
      </c>
    </row>
    <row r="2801" spans="1:8" x14ac:dyDescent="0.25">
      <c r="E2801" t="str">
        <f>"C94202109155691"</f>
        <v>C94202109155691</v>
      </c>
      <c r="F2801" t="str">
        <f>"00135877551718312"</f>
        <v>00135877551718312</v>
      </c>
      <c r="G2801" s="3">
        <v>221.54</v>
      </c>
      <c r="H2801" t="str">
        <f>"00135877551718312"</f>
        <v>00135877551718312</v>
      </c>
    </row>
    <row r="2802" spans="1:8" x14ac:dyDescent="0.25">
      <c r="E2802" t="str">
        <f>"C95202109155691"</f>
        <v>C95202109155691</v>
      </c>
      <c r="F2802" t="str">
        <f>"0011792526423338"</f>
        <v>0011792526423338</v>
      </c>
      <c r="G2802" s="3">
        <v>154.62</v>
      </c>
      <c r="H2802" t="str">
        <f>"0011792526423338"</f>
        <v>0011792526423338</v>
      </c>
    </row>
    <row r="2803" spans="1:8" x14ac:dyDescent="0.25">
      <c r="A2803" t="s">
        <v>419</v>
      </c>
      <c r="B2803">
        <v>1331</v>
      </c>
      <c r="C2803" s="3">
        <v>383882.27</v>
      </c>
      <c r="D2803" s="4">
        <v>44456</v>
      </c>
      <c r="E2803" t="str">
        <f>"RET202109015416"</f>
        <v>RET202109015416</v>
      </c>
      <c r="F2803" t="str">
        <f>"TEXAS COUNTY &amp; DISTRICT RET"</f>
        <v>TEXAS COUNTY &amp; DISTRICT RET</v>
      </c>
      <c r="G2803" s="3">
        <v>914.16</v>
      </c>
      <c r="H2803" t="str">
        <f t="shared" ref="H2803:H2855" si="53">"TEXAS COUNTY &amp; DISTRICT RET"</f>
        <v>TEXAS COUNTY &amp; DISTRICT RET</v>
      </c>
    </row>
    <row r="2804" spans="1:8" x14ac:dyDescent="0.25">
      <c r="E2804" t="str">
        <f>""</f>
        <v/>
      </c>
      <c r="F2804" t="str">
        <f>""</f>
        <v/>
      </c>
      <c r="G2804" s="3">
        <v>647.16</v>
      </c>
      <c r="H2804" t="str">
        <f t="shared" si="53"/>
        <v>TEXAS COUNTY &amp; DISTRICT RET</v>
      </c>
    </row>
    <row r="2805" spans="1:8" x14ac:dyDescent="0.25">
      <c r="E2805" t="str">
        <f>""</f>
        <v/>
      </c>
      <c r="F2805" t="str">
        <f>""</f>
        <v/>
      </c>
      <c r="G2805" s="3">
        <v>1729.5</v>
      </c>
      <c r="H2805" t="str">
        <f t="shared" si="53"/>
        <v>TEXAS COUNTY &amp; DISTRICT RET</v>
      </c>
    </row>
    <row r="2806" spans="1:8" x14ac:dyDescent="0.25">
      <c r="E2806" t="str">
        <f>""</f>
        <v/>
      </c>
      <c r="F2806" t="str">
        <f>""</f>
        <v/>
      </c>
      <c r="G2806" s="3">
        <v>722.67</v>
      </c>
      <c r="H2806" t="str">
        <f t="shared" si="53"/>
        <v>TEXAS COUNTY &amp; DISTRICT RET</v>
      </c>
    </row>
    <row r="2807" spans="1:8" x14ac:dyDescent="0.25">
      <c r="E2807" t="str">
        <f>""</f>
        <v/>
      </c>
      <c r="F2807" t="str">
        <f>""</f>
        <v/>
      </c>
      <c r="G2807" s="3">
        <v>312.67</v>
      </c>
      <c r="H2807" t="str">
        <f t="shared" si="53"/>
        <v>TEXAS COUNTY &amp; DISTRICT RET</v>
      </c>
    </row>
    <row r="2808" spans="1:8" x14ac:dyDescent="0.25">
      <c r="E2808" t="str">
        <f>""</f>
        <v/>
      </c>
      <c r="F2808" t="str">
        <f>""</f>
        <v/>
      </c>
      <c r="G2808" s="3">
        <v>1467.03</v>
      </c>
      <c r="H2808" t="str">
        <f t="shared" si="53"/>
        <v>TEXAS COUNTY &amp; DISTRICT RET</v>
      </c>
    </row>
    <row r="2809" spans="1:8" x14ac:dyDescent="0.25">
      <c r="E2809" t="str">
        <f>""</f>
        <v/>
      </c>
      <c r="F2809" t="str">
        <f>""</f>
        <v/>
      </c>
      <c r="G2809" s="3">
        <v>4682.6099999999997</v>
      </c>
      <c r="H2809" t="str">
        <f t="shared" si="53"/>
        <v>TEXAS COUNTY &amp; DISTRICT RET</v>
      </c>
    </row>
    <row r="2810" spans="1:8" x14ac:dyDescent="0.25">
      <c r="E2810" t="str">
        <f>""</f>
        <v/>
      </c>
      <c r="F2810" t="str">
        <f>""</f>
        <v/>
      </c>
      <c r="G2810" s="3">
        <v>183.84</v>
      </c>
      <c r="H2810" t="str">
        <f t="shared" si="53"/>
        <v>TEXAS COUNTY &amp; DISTRICT RET</v>
      </c>
    </row>
    <row r="2811" spans="1:8" x14ac:dyDescent="0.25">
      <c r="E2811" t="str">
        <f>""</f>
        <v/>
      </c>
      <c r="F2811" t="str">
        <f>""</f>
        <v/>
      </c>
      <c r="G2811" s="3">
        <v>1466.1</v>
      </c>
      <c r="H2811" t="str">
        <f t="shared" si="53"/>
        <v>TEXAS COUNTY &amp; DISTRICT RET</v>
      </c>
    </row>
    <row r="2812" spans="1:8" x14ac:dyDescent="0.25">
      <c r="E2812" t="str">
        <f>""</f>
        <v/>
      </c>
      <c r="F2812" t="str">
        <f>""</f>
        <v/>
      </c>
      <c r="G2812" s="3">
        <v>1433.55</v>
      </c>
      <c r="H2812" t="str">
        <f t="shared" si="53"/>
        <v>TEXAS COUNTY &amp; DISTRICT RET</v>
      </c>
    </row>
    <row r="2813" spans="1:8" x14ac:dyDescent="0.25">
      <c r="E2813" t="str">
        <f>""</f>
        <v/>
      </c>
      <c r="F2813" t="str">
        <f>""</f>
        <v/>
      </c>
      <c r="G2813" s="3">
        <v>2677.04</v>
      </c>
      <c r="H2813" t="str">
        <f t="shared" si="53"/>
        <v>TEXAS COUNTY &amp; DISTRICT RET</v>
      </c>
    </row>
    <row r="2814" spans="1:8" x14ac:dyDescent="0.25">
      <c r="E2814" t="str">
        <f>""</f>
        <v/>
      </c>
      <c r="F2814" t="str">
        <f>""</f>
        <v/>
      </c>
      <c r="G2814" s="3">
        <v>806.08</v>
      </c>
      <c r="H2814" t="str">
        <f t="shared" si="53"/>
        <v>TEXAS COUNTY &amp; DISTRICT RET</v>
      </c>
    </row>
    <row r="2815" spans="1:8" x14ac:dyDescent="0.25">
      <c r="E2815" t="str">
        <f>""</f>
        <v/>
      </c>
      <c r="F2815" t="str">
        <f>""</f>
        <v/>
      </c>
      <c r="G2815" s="3">
        <v>661.69</v>
      </c>
      <c r="H2815" t="str">
        <f t="shared" si="53"/>
        <v>TEXAS COUNTY &amp; DISTRICT RET</v>
      </c>
    </row>
    <row r="2816" spans="1:8" x14ac:dyDescent="0.25">
      <c r="E2816" t="str">
        <f>""</f>
        <v/>
      </c>
      <c r="F2816" t="str">
        <f>""</f>
        <v/>
      </c>
      <c r="G2816" s="3">
        <v>697.68</v>
      </c>
      <c r="H2816" t="str">
        <f t="shared" si="53"/>
        <v>TEXAS COUNTY &amp; DISTRICT RET</v>
      </c>
    </row>
    <row r="2817" spans="5:8" x14ac:dyDescent="0.25">
      <c r="E2817" t="str">
        <f>""</f>
        <v/>
      </c>
      <c r="F2817" t="str">
        <f>""</f>
        <v/>
      </c>
      <c r="G2817" s="3">
        <v>735.04</v>
      </c>
      <c r="H2817" t="str">
        <f t="shared" si="53"/>
        <v>TEXAS COUNTY &amp; DISTRICT RET</v>
      </c>
    </row>
    <row r="2818" spans="5:8" x14ac:dyDescent="0.25">
      <c r="E2818" t="str">
        <f>""</f>
        <v/>
      </c>
      <c r="F2818" t="str">
        <f>""</f>
        <v/>
      </c>
      <c r="G2818" s="3">
        <v>385.4</v>
      </c>
      <c r="H2818" t="str">
        <f t="shared" si="53"/>
        <v>TEXAS COUNTY &amp; DISTRICT RET</v>
      </c>
    </row>
    <row r="2819" spans="5:8" x14ac:dyDescent="0.25">
      <c r="E2819" t="str">
        <f>""</f>
        <v/>
      </c>
      <c r="F2819" t="str">
        <f>""</f>
        <v/>
      </c>
      <c r="G2819" s="3">
        <v>4669.95</v>
      </c>
      <c r="H2819" t="str">
        <f t="shared" si="53"/>
        <v>TEXAS COUNTY &amp; DISTRICT RET</v>
      </c>
    </row>
    <row r="2820" spans="5:8" x14ac:dyDescent="0.25">
      <c r="E2820" t="str">
        <f>""</f>
        <v/>
      </c>
      <c r="F2820" t="str">
        <f>""</f>
        <v/>
      </c>
      <c r="G2820" s="3">
        <v>1838.56</v>
      </c>
      <c r="H2820" t="str">
        <f t="shared" si="53"/>
        <v>TEXAS COUNTY &amp; DISTRICT RET</v>
      </c>
    </row>
    <row r="2821" spans="5:8" x14ac:dyDescent="0.25">
      <c r="E2821" t="str">
        <f>""</f>
        <v/>
      </c>
      <c r="F2821" t="str">
        <f>""</f>
        <v/>
      </c>
      <c r="G2821" s="3">
        <v>939.79</v>
      </c>
      <c r="H2821" t="str">
        <f t="shared" si="53"/>
        <v>TEXAS COUNTY &amp; DISTRICT RET</v>
      </c>
    </row>
    <row r="2822" spans="5:8" x14ac:dyDescent="0.25">
      <c r="E2822" t="str">
        <f>""</f>
        <v/>
      </c>
      <c r="F2822" t="str">
        <f>""</f>
        <v/>
      </c>
      <c r="G2822" s="3">
        <v>858.91</v>
      </c>
      <c r="H2822" t="str">
        <f t="shared" si="53"/>
        <v>TEXAS COUNTY &amp; DISTRICT RET</v>
      </c>
    </row>
    <row r="2823" spans="5:8" x14ac:dyDescent="0.25">
      <c r="E2823" t="str">
        <f>""</f>
        <v/>
      </c>
      <c r="F2823" t="str">
        <f>""</f>
        <v/>
      </c>
      <c r="G2823" s="3">
        <v>2343.4899999999998</v>
      </c>
      <c r="H2823" t="str">
        <f t="shared" si="53"/>
        <v>TEXAS COUNTY &amp; DISTRICT RET</v>
      </c>
    </row>
    <row r="2824" spans="5:8" x14ac:dyDescent="0.25">
      <c r="E2824" t="str">
        <f>""</f>
        <v/>
      </c>
      <c r="F2824" t="str">
        <f>""</f>
        <v/>
      </c>
      <c r="G2824" s="3">
        <v>1290.1300000000001</v>
      </c>
      <c r="H2824" t="str">
        <f t="shared" si="53"/>
        <v>TEXAS COUNTY &amp; DISTRICT RET</v>
      </c>
    </row>
    <row r="2825" spans="5:8" x14ac:dyDescent="0.25">
      <c r="E2825" t="str">
        <f>""</f>
        <v/>
      </c>
      <c r="F2825" t="str">
        <f>""</f>
        <v/>
      </c>
      <c r="G2825" s="3">
        <v>3162.45</v>
      </c>
      <c r="H2825" t="str">
        <f t="shared" si="53"/>
        <v>TEXAS COUNTY &amp; DISTRICT RET</v>
      </c>
    </row>
    <row r="2826" spans="5:8" x14ac:dyDescent="0.25">
      <c r="E2826" t="str">
        <f>""</f>
        <v/>
      </c>
      <c r="F2826" t="str">
        <f>""</f>
        <v/>
      </c>
      <c r="G2826" s="3">
        <v>2136.41</v>
      </c>
      <c r="H2826" t="str">
        <f t="shared" si="53"/>
        <v>TEXAS COUNTY &amp; DISTRICT RET</v>
      </c>
    </row>
    <row r="2827" spans="5:8" x14ac:dyDescent="0.25">
      <c r="E2827" t="str">
        <f>""</f>
        <v/>
      </c>
      <c r="F2827" t="str">
        <f>""</f>
        <v/>
      </c>
      <c r="G2827" s="3">
        <v>4674.1499999999996</v>
      </c>
      <c r="H2827" t="str">
        <f t="shared" si="53"/>
        <v>TEXAS COUNTY &amp; DISTRICT RET</v>
      </c>
    </row>
    <row r="2828" spans="5:8" x14ac:dyDescent="0.25">
      <c r="E2828" t="str">
        <f>""</f>
        <v/>
      </c>
      <c r="F2828" t="str">
        <f>""</f>
        <v/>
      </c>
      <c r="G2828" s="3">
        <v>235.17</v>
      </c>
      <c r="H2828" t="str">
        <f t="shared" si="53"/>
        <v>TEXAS COUNTY &amp; DISTRICT RET</v>
      </c>
    </row>
    <row r="2829" spans="5:8" x14ac:dyDescent="0.25">
      <c r="E2829" t="str">
        <f>""</f>
        <v/>
      </c>
      <c r="F2829" t="str">
        <f>""</f>
        <v/>
      </c>
      <c r="G2829" s="3">
        <v>235.17</v>
      </c>
      <c r="H2829" t="str">
        <f t="shared" si="53"/>
        <v>TEXAS COUNTY &amp; DISTRICT RET</v>
      </c>
    </row>
    <row r="2830" spans="5:8" x14ac:dyDescent="0.25">
      <c r="E2830" t="str">
        <f>""</f>
        <v/>
      </c>
      <c r="F2830" t="str">
        <f>""</f>
        <v/>
      </c>
      <c r="G2830" s="3">
        <v>235.17</v>
      </c>
      <c r="H2830" t="str">
        <f t="shared" si="53"/>
        <v>TEXAS COUNTY &amp; DISTRICT RET</v>
      </c>
    </row>
    <row r="2831" spans="5:8" x14ac:dyDescent="0.25">
      <c r="E2831" t="str">
        <f>""</f>
        <v/>
      </c>
      <c r="F2831" t="str">
        <f>""</f>
        <v/>
      </c>
      <c r="G2831" s="3">
        <v>235.17</v>
      </c>
      <c r="H2831" t="str">
        <f t="shared" si="53"/>
        <v>TEXAS COUNTY &amp; DISTRICT RET</v>
      </c>
    </row>
    <row r="2832" spans="5:8" x14ac:dyDescent="0.25">
      <c r="E2832" t="str">
        <f>""</f>
        <v/>
      </c>
      <c r="F2832" t="str">
        <f>""</f>
        <v/>
      </c>
      <c r="G2832" s="3">
        <v>24768.3</v>
      </c>
      <c r="H2832" t="str">
        <f t="shared" si="53"/>
        <v>TEXAS COUNTY &amp; DISTRICT RET</v>
      </c>
    </row>
    <row r="2833" spans="5:8" x14ac:dyDescent="0.25">
      <c r="E2833" t="str">
        <f>""</f>
        <v/>
      </c>
      <c r="F2833" t="str">
        <f>""</f>
        <v/>
      </c>
      <c r="G2833" s="3">
        <v>1056.68</v>
      </c>
      <c r="H2833" t="str">
        <f t="shared" si="53"/>
        <v>TEXAS COUNTY &amp; DISTRICT RET</v>
      </c>
    </row>
    <row r="2834" spans="5:8" x14ac:dyDescent="0.25">
      <c r="E2834" t="str">
        <f>""</f>
        <v/>
      </c>
      <c r="F2834" t="str">
        <f>""</f>
        <v/>
      </c>
      <c r="G2834" s="3">
        <v>18942.54</v>
      </c>
      <c r="H2834" t="str">
        <f t="shared" si="53"/>
        <v>TEXAS COUNTY &amp; DISTRICT RET</v>
      </c>
    </row>
    <row r="2835" spans="5:8" x14ac:dyDescent="0.25">
      <c r="E2835" t="str">
        <f>""</f>
        <v/>
      </c>
      <c r="F2835" t="str">
        <f>""</f>
        <v/>
      </c>
      <c r="G2835" s="3">
        <v>2865.52</v>
      </c>
      <c r="H2835" t="str">
        <f t="shared" si="53"/>
        <v>TEXAS COUNTY &amp; DISTRICT RET</v>
      </c>
    </row>
    <row r="2836" spans="5:8" x14ac:dyDescent="0.25">
      <c r="E2836" t="str">
        <f>""</f>
        <v/>
      </c>
      <c r="F2836" t="str">
        <f>""</f>
        <v/>
      </c>
      <c r="G2836" s="3">
        <v>209.99</v>
      </c>
      <c r="H2836" t="str">
        <f t="shared" si="53"/>
        <v>TEXAS COUNTY &amp; DISTRICT RET</v>
      </c>
    </row>
    <row r="2837" spans="5:8" x14ac:dyDescent="0.25">
      <c r="E2837" t="str">
        <f>""</f>
        <v/>
      </c>
      <c r="F2837" t="str">
        <f>""</f>
        <v/>
      </c>
      <c r="G2837" s="3">
        <v>618.89</v>
      </c>
      <c r="H2837" t="str">
        <f t="shared" si="53"/>
        <v>TEXAS COUNTY &amp; DISTRICT RET</v>
      </c>
    </row>
    <row r="2838" spans="5:8" x14ac:dyDescent="0.25">
      <c r="E2838" t="str">
        <f>""</f>
        <v/>
      </c>
      <c r="F2838" t="str">
        <f>""</f>
        <v/>
      </c>
      <c r="G2838" s="3">
        <v>60.22</v>
      </c>
      <c r="H2838" t="str">
        <f t="shared" si="53"/>
        <v>TEXAS COUNTY &amp; DISTRICT RET</v>
      </c>
    </row>
    <row r="2839" spans="5:8" x14ac:dyDescent="0.25">
      <c r="E2839" t="str">
        <f>""</f>
        <v/>
      </c>
      <c r="F2839" t="str">
        <f>""</f>
        <v/>
      </c>
      <c r="G2839" s="3">
        <v>569.58000000000004</v>
      </c>
      <c r="H2839" t="str">
        <f t="shared" si="53"/>
        <v>TEXAS COUNTY &amp; DISTRICT RET</v>
      </c>
    </row>
    <row r="2840" spans="5:8" x14ac:dyDescent="0.25">
      <c r="E2840" t="str">
        <f>""</f>
        <v/>
      </c>
      <c r="F2840" t="str">
        <f>""</f>
        <v/>
      </c>
      <c r="G2840" s="3">
        <v>201.13</v>
      </c>
      <c r="H2840" t="str">
        <f t="shared" si="53"/>
        <v>TEXAS COUNTY &amp; DISTRICT RET</v>
      </c>
    </row>
    <row r="2841" spans="5:8" x14ac:dyDescent="0.25">
      <c r="E2841" t="str">
        <f>""</f>
        <v/>
      </c>
      <c r="F2841" t="str">
        <f>""</f>
        <v/>
      </c>
      <c r="G2841" s="3">
        <v>629.57000000000005</v>
      </c>
      <c r="H2841" t="str">
        <f t="shared" si="53"/>
        <v>TEXAS COUNTY &amp; DISTRICT RET</v>
      </c>
    </row>
    <row r="2842" spans="5:8" x14ac:dyDescent="0.25">
      <c r="E2842" t="str">
        <f>""</f>
        <v/>
      </c>
      <c r="F2842" t="str">
        <f>""</f>
        <v/>
      </c>
      <c r="G2842" s="3">
        <v>333.57</v>
      </c>
      <c r="H2842" t="str">
        <f t="shared" si="53"/>
        <v>TEXAS COUNTY &amp; DISTRICT RET</v>
      </c>
    </row>
    <row r="2843" spans="5:8" x14ac:dyDescent="0.25">
      <c r="E2843" t="str">
        <f>""</f>
        <v/>
      </c>
      <c r="F2843" t="str">
        <f>""</f>
        <v/>
      </c>
      <c r="G2843" s="3">
        <v>203.96</v>
      </c>
      <c r="H2843" t="str">
        <f t="shared" si="53"/>
        <v>TEXAS COUNTY &amp; DISTRICT RET</v>
      </c>
    </row>
    <row r="2844" spans="5:8" x14ac:dyDescent="0.25">
      <c r="E2844" t="str">
        <f>""</f>
        <v/>
      </c>
      <c r="F2844" t="str">
        <f>""</f>
        <v/>
      </c>
      <c r="G2844" s="3">
        <v>2835.79</v>
      </c>
      <c r="H2844" t="str">
        <f t="shared" si="53"/>
        <v>TEXAS COUNTY &amp; DISTRICT RET</v>
      </c>
    </row>
    <row r="2845" spans="5:8" x14ac:dyDescent="0.25">
      <c r="E2845" t="str">
        <f>""</f>
        <v/>
      </c>
      <c r="F2845" t="str">
        <f>""</f>
        <v/>
      </c>
      <c r="G2845" s="3">
        <v>3101.65</v>
      </c>
      <c r="H2845" t="str">
        <f t="shared" si="53"/>
        <v>TEXAS COUNTY &amp; DISTRICT RET</v>
      </c>
    </row>
    <row r="2846" spans="5:8" x14ac:dyDescent="0.25">
      <c r="E2846" t="str">
        <f>""</f>
        <v/>
      </c>
      <c r="F2846" t="str">
        <f>""</f>
        <v/>
      </c>
      <c r="G2846" s="3">
        <v>2857.12</v>
      </c>
      <c r="H2846" t="str">
        <f t="shared" si="53"/>
        <v>TEXAS COUNTY &amp; DISTRICT RET</v>
      </c>
    </row>
    <row r="2847" spans="5:8" x14ac:dyDescent="0.25">
      <c r="E2847" t="str">
        <f>""</f>
        <v/>
      </c>
      <c r="F2847" t="str">
        <f>""</f>
        <v/>
      </c>
      <c r="G2847" s="3">
        <v>3879.05</v>
      </c>
      <c r="H2847" t="str">
        <f t="shared" si="53"/>
        <v>TEXAS COUNTY &amp; DISTRICT RET</v>
      </c>
    </row>
    <row r="2848" spans="5:8" x14ac:dyDescent="0.25">
      <c r="E2848" t="str">
        <f>""</f>
        <v/>
      </c>
      <c r="F2848" t="str">
        <f>""</f>
        <v/>
      </c>
      <c r="G2848" s="3">
        <v>551.08000000000004</v>
      </c>
      <c r="H2848" t="str">
        <f t="shared" si="53"/>
        <v>TEXAS COUNTY &amp; DISTRICT RET</v>
      </c>
    </row>
    <row r="2849" spans="5:8" x14ac:dyDescent="0.25">
      <c r="E2849" t="str">
        <f>""</f>
        <v/>
      </c>
      <c r="F2849" t="str">
        <f>""</f>
        <v/>
      </c>
      <c r="G2849" s="3">
        <v>404.88</v>
      </c>
      <c r="H2849" t="str">
        <f t="shared" si="53"/>
        <v>TEXAS COUNTY &amp; DISTRICT RET</v>
      </c>
    </row>
    <row r="2850" spans="5:8" x14ac:dyDescent="0.25">
      <c r="E2850" t="str">
        <f>""</f>
        <v/>
      </c>
      <c r="F2850" t="str">
        <f>""</f>
        <v/>
      </c>
      <c r="G2850" s="3">
        <v>1958.86</v>
      </c>
      <c r="H2850" t="str">
        <f t="shared" si="53"/>
        <v>TEXAS COUNTY &amp; DISTRICT RET</v>
      </c>
    </row>
    <row r="2851" spans="5:8" x14ac:dyDescent="0.25">
      <c r="E2851" t="str">
        <f>""</f>
        <v/>
      </c>
      <c r="F2851" t="str">
        <f>""</f>
        <v/>
      </c>
      <c r="G2851" s="3">
        <v>53.98</v>
      </c>
      <c r="H2851" t="str">
        <f t="shared" si="53"/>
        <v>TEXAS COUNTY &amp; DISTRICT RET</v>
      </c>
    </row>
    <row r="2852" spans="5:8" x14ac:dyDescent="0.25">
      <c r="E2852" t="str">
        <f>""</f>
        <v/>
      </c>
      <c r="F2852" t="str">
        <f>""</f>
        <v/>
      </c>
      <c r="G2852" s="3">
        <v>26.88</v>
      </c>
      <c r="H2852" t="str">
        <f t="shared" si="53"/>
        <v>TEXAS COUNTY &amp; DISTRICT RET</v>
      </c>
    </row>
    <row r="2853" spans="5:8" x14ac:dyDescent="0.25">
      <c r="E2853" t="str">
        <f>""</f>
        <v/>
      </c>
      <c r="F2853" t="str">
        <f>""</f>
        <v/>
      </c>
      <c r="G2853" s="3">
        <v>37.950000000000003</v>
      </c>
      <c r="H2853" t="str">
        <f t="shared" si="53"/>
        <v>TEXAS COUNTY &amp; DISTRICT RET</v>
      </c>
    </row>
    <row r="2854" spans="5:8" x14ac:dyDescent="0.25">
      <c r="E2854" t="str">
        <f>""</f>
        <v/>
      </c>
      <c r="F2854" t="str">
        <f>""</f>
        <v/>
      </c>
      <c r="G2854" s="3">
        <v>640.99</v>
      </c>
      <c r="H2854" t="str">
        <f t="shared" si="53"/>
        <v>TEXAS COUNTY &amp; DISTRICT RET</v>
      </c>
    </row>
    <row r="2855" spans="5:8" x14ac:dyDescent="0.25">
      <c r="E2855" t="str">
        <f>""</f>
        <v/>
      </c>
      <c r="F2855" t="str">
        <f>""</f>
        <v/>
      </c>
      <c r="G2855" s="3">
        <v>70899.360000000001</v>
      </c>
      <c r="H2855" t="str">
        <f t="shared" si="53"/>
        <v>TEXAS COUNTY &amp; DISTRICT RET</v>
      </c>
    </row>
    <row r="2856" spans="5:8" x14ac:dyDescent="0.25">
      <c r="E2856" t="str">
        <f>"RET202109015417"</f>
        <v>RET202109015417</v>
      </c>
      <c r="F2856" t="str">
        <f>"TEXAS COUNTY  DISTRICT RET"</f>
        <v>TEXAS COUNTY  DISTRICT RET</v>
      </c>
      <c r="G2856" s="3">
        <v>3571.81</v>
      </c>
      <c r="H2856" t="str">
        <f>"TEXAS COUNTY  DISTRICT RET"</f>
        <v>TEXAS COUNTY  DISTRICT RET</v>
      </c>
    </row>
    <row r="2857" spans="5:8" x14ac:dyDescent="0.25">
      <c r="E2857" t="str">
        <f>""</f>
        <v/>
      </c>
      <c r="F2857" t="str">
        <f>""</f>
        <v/>
      </c>
      <c r="G2857" s="3">
        <v>2319.36</v>
      </c>
      <c r="H2857" t="str">
        <f>"TEXAS COUNTY  DISTRICT RET"</f>
        <v>TEXAS COUNTY  DISTRICT RET</v>
      </c>
    </row>
    <row r="2858" spans="5:8" x14ac:dyDescent="0.25">
      <c r="E2858" t="str">
        <f>"RET202109015418"</f>
        <v>RET202109015418</v>
      </c>
      <c r="F2858" t="str">
        <f>"TEXAS COUNTY &amp; DISTRICT RET"</f>
        <v>TEXAS COUNTY &amp; DISTRICT RET</v>
      </c>
      <c r="G2858" s="3">
        <v>4034.73</v>
      </c>
      <c r="H2858" t="str">
        <f t="shared" ref="H2858:H2911" si="54">"TEXAS COUNTY &amp; DISTRICT RET"</f>
        <v>TEXAS COUNTY &amp; DISTRICT RET</v>
      </c>
    </row>
    <row r="2859" spans="5:8" x14ac:dyDescent="0.25">
      <c r="E2859" t="str">
        <f>""</f>
        <v/>
      </c>
      <c r="F2859" t="str">
        <f>""</f>
        <v/>
      </c>
      <c r="G2859" s="3">
        <v>2619.9299999999998</v>
      </c>
      <c r="H2859" t="str">
        <f t="shared" si="54"/>
        <v>TEXAS COUNTY &amp; DISTRICT RET</v>
      </c>
    </row>
    <row r="2860" spans="5:8" x14ac:dyDescent="0.25">
      <c r="E2860" t="str">
        <f>"RET202109155691"</f>
        <v>RET202109155691</v>
      </c>
      <c r="F2860" t="str">
        <f>"TEXAS COUNTY &amp; DISTRICT RET"</f>
        <v>TEXAS COUNTY &amp; DISTRICT RET</v>
      </c>
      <c r="G2860" s="3">
        <v>914.16</v>
      </c>
      <c r="H2860" t="str">
        <f t="shared" si="54"/>
        <v>TEXAS COUNTY &amp; DISTRICT RET</v>
      </c>
    </row>
    <row r="2861" spans="5:8" x14ac:dyDescent="0.25">
      <c r="E2861" t="str">
        <f>""</f>
        <v/>
      </c>
      <c r="F2861" t="str">
        <f>""</f>
        <v/>
      </c>
      <c r="G2861" s="3">
        <v>647.16</v>
      </c>
      <c r="H2861" t="str">
        <f t="shared" si="54"/>
        <v>TEXAS COUNTY &amp; DISTRICT RET</v>
      </c>
    </row>
    <row r="2862" spans="5:8" x14ac:dyDescent="0.25">
      <c r="E2862" t="str">
        <f>""</f>
        <v/>
      </c>
      <c r="F2862" t="str">
        <f>""</f>
        <v/>
      </c>
      <c r="G2862" s="3">
        <v>1699.33</v>
      </c>
      <c r="H2862" t="str">
        <f t="shared" si="54"/>
        <v>TEXAS COUNTY &amp; DISTRICT RET</v>
      </c>
    </row>
    <row r="2863" spans="5:8" x14ac:dyDescent="0.25">
      <c r="E2863" t="str">
        <f>""</f>
        <v/>
      </c>
      <c r="F2863" t="str">
        <f>""</f>
        <v/>
      </c>
      <c r="G2863" s="3">
        <v>722.67</v>
      </c>
      <c r="H2863" t="str">
        <f t="shared" si="54"/>
        <v>TEXAS COUNTY &amp; DISTRICT RET</v>
      </c>
    </row>
    <row r="2864" spans="5:8" x14ac:dyDescent="0.25">
      <c r="E2864" t="str">
        <f>""</f>
        <v/>
      </c>
      <c r="F2864" t="str">
        <f>""</f>
        <v/>
      </c>
      <c r="G2864" s="3">
        <v>312.67</v>
      </c>
      <c r="H2864" t="str">
        <f t="shared" si="54"/>
        <v>TEXAS COUNTY &amp; DISTRICT RET</v>
      </c>
    </row>
    <row r="2865" spans="5:8" x14ac:dyDescent="0.25">
      <c r="E2865" t="str">
        <f>""</f>
        <v/>
      </c>
      <c r="F2865" t="str">
        <f>""</f>
        <v/>
      </c>
      <c r="G2865" s="3">
        <v>1467.03</v>
      </c>
      <c r="H2865" t="str">
        <f t="shared" si="54"/>
        <v>TEXAS COUNTY &amp; DISTRICT RET</v>
      </c>
    </row>
    <row r="2866" spans="5:8" x14ac:dyDescent="0.25">
      <c r="E2866" t="str">
        <f>""</f>
        <v/>
      </c>
      <c r="F2866" t="str">
        <f>""</f>
        <v/>
      </c>
      <c r="G2866" s="3">
        <v>4619.43</v>
      </c>
      <c r="H2866" t="str">
        <f t="shared" si="54"/>
        <v>TEXAS COUNTY &amp; DISTRICT RET</v>
      </c>
    </row>
    <row r="2867" spans="5:8" x14ac:dyDescent="0.25">
      <c r="E2867" t="str">
        <f>""</f>
        <v/>
      </c>
      <c r="F2867" t="str">
        <f>""</f>
        <v/>
      </c>
      <c r="G2867" s="3">
        <v>183.84</v>
      </c>
      <c r="H2867" t="str">
        <f t="shared" si="54"/>
        <v>TEXAS COUNTY &amp; DISTRICT RET</v>
      </c>
    </row>
    <row r="2868" spans="5:8" x14ac:dyDescent="0.25">
      <c r="E2868" t="str">
        <f>""</f>
        <v/>
      </c>
      <c r="F2868" t="str">
        <f>""</f>
        <v/>
      </c>
      <c r="G2868" s="3">
        <v>1466.1</v>
      </c>
      <c r="H2868" t="str">
        <f t="shared" si="54"/>
        <v>TEXAS COUNTY &amp; DISTRICT RET</v>
      </c>
    </row>
    <row r="2869" spans="5:8" x14ac:dyDescent="0.25">
      <c r="E2869" t="str">
        <f>""</f>
        <v/>
      </c>
      <c r="F2869" t="str">
        <f>""</f>
        <v/>
      </c>
      <c r="G2869" s="3">
        <v>1433.55</v>
      </c>
      <c r="H2869" t="str">
        <f t="shared" si="54"/>
        <v>TEXAS COUNTY &amp; DISTRICT RET</v>
      </c>
    </row>
    <row r="2870" spans="5:8" x14ac:dyDescent="0.25">
      <c r="E2870" t="str">
        <f>""</f>
        <v/>
      </c>
      <c r="F2870" t="str">
        <f>""</f>
        <v/>
      </c>
      <c r="G2870" s="3">
        <v>2677.04</v>
      </c>
      <c r="H2870" t="str">
        <f t="shared" si="54"/>
        <v>TEXAS COUNTY &amp; DISTRICT RET</v>
      </c>
    </row>
    <row r="2871" spans="5:8" x14ac:dyDescent="0.25">
      <c r="E2871" t="str">
        <f>""</f>
        <v/>
      </c>
      <c r="F2871" t="str">
        <f>""</f>
        <v/>
      </c>
      <c r="G2871" s="3">
        <v>806.08</v>
      </c>
      <c r="H2871" t="str">
        <f t="shared" si="54"/>
        <v>TEXAS COUNTY &amp; DISTRICT RET</v>
      </c>
    </row>
    <row r="2872" spans="5:8" x14ac:dyDescent="0.25">
      <c r="E2872" t="str">
        <f>""</f>
        <v/>
      </c>
      <c r="F2872" t="str">
        <f>""</f>
        <v/>
      </c>
      <c r="G2872" s="3">
        <v>661.69</v>
      </c>
      <c r="H2872" t="str">
        <f t="shared" si="54"/>
        <v>TEXAS COUNTY &amp; DISTRICT RET</v>
      </c>
    </row>
    <row r="2873" spans="5:8" x14ac:dyDescent="0.25">
      <c r="E2873" t="str">
        <f>""</f>
        <v/>
      </c>
      <c r="F2873" t="str">
        <f>""</f>
        <v/>
      </c>
      <c r="G2873" s="3">
        <v>697.68</v>
      </c>
      <c r="H2873" t="str">
        <f t="shared" si="54"/>
        <v>TEXAS COUNTY &amp; DISTRICT RET</v>
      </c>
    </row>
    <row r="2874" spans="5:8" x14ac:dyDescent="0.25">
      <c r="E2874" t="str">
        <f>""</f>
        <v/>
      </c>
      <c r="F2874" t="str">
        <f>""</f>
        <v/>
      </c>
      <c r="G2874" s="3">
        <v>735.04</v>
      </c>
      <c r="H2874" t="str">
        <f t="shared" si="54"/>
        <v>TEXAS COUNTY &amp; DISTRICT RET</v>
      </c>
    </row>
    <row r="2875" spans="5:8" x14ac:dyDescent="0.25">
      <c r="E2875" t="str">
        <f>""</f>
        <v/>
      </c>
      <c r="F2875" t="str">
        <f>""</f>
        <v/>
      </c>
      <c r="G2875" s="3">
        <v>385.4</v>
      </c>
      <c r="H2875" t="str">
        <f t="shared" si="54"/>
        <v>TEXAS COUNTY &amp; DISTRICT RET</v>
      </c>
    </row>
    <row r="2876" spans="5:8" x14ac:dyDescent="0.25">
      <c r="E2876" t="str">
        <f>""</f>
        <v/>
      </c>
      <c r="F2876" t="str">
        <f>""</f>
        <v/>
      </c>
      <c r="G2876" s="3">
        <v>4669.95</v>
      </c>
      <c r="H2876" t="str">
        <f t="shared" si="54"/>
        <v>TEXAS COUNTY &amp; DISTRICT RET</v>
      </c>
    </row>
    <row r="2877" spans="5:8" x14ac:dyDescent="0.25">
      <c r="E2877" t="str">
        <f>""</f>
        <v/>
      </c>
      <c r="F2877" t="str">
        <f>""</f>
        <v/>
      </c>
      <c r="G2877" s="3">
        <v>1838.57</v>
      </c>
      <c r="H2877" t="str">
        <f t="shared" si="54"/>
        <v>TEXAS COUNTY &amp; DISTRICT RET</v>
      </c>
    </row>
    <row r="2878" spans="5:8" x14ac:dyDescent="0.25">
      <c r="E2878" t="str">
        <f>""</f>
        <v/>
      </c>
      <c r="F2878" t="str">
        <f>""</f>
        <v/>
      </c>
      <c r="G2878" s="3">
        <v>939.79</v>
      </c>
      <c r="H2878" t="str">
        <f t="shared" si="54"/>
        <v>TEXAS COUNTY &amp; DISTRICT RET</v>
      </c>
    </row>
    <row r="2879" spans="5:8" x14ac:dyDescent="0.25">
      <c r="E2879" t="str">
        <f>""</f>
        <v/>
      </c>
      <c r="F2879" t="str">
        <f>""</f>
        <v/>
      </c>
      <c r="G2879" s="3">
        <v>858.91</v>
      </c>
      <c r="H2879" t="str">
        <f t="shared" si="54"/>
        <v>TEXAS COUNTY &amp; DISTRICT RET</v>
      </c>
    </row>
    <row r="2880" spans="5:8" x14ac:dyDescent="0.25">
      <c r="E2880" t="str">
        <f>""</f>
        <v/>
      </c>
      <c r="F2880" t="str">
        <f>""</f>
        <v/>
      </c>
      <c r="G2880" s="3">
        <v>2343.4899999999998</v>
      </c>
      <c r="H2880" t="str">
        <f t="shared" si="54"/>
        <v>TEXAS COUNTY &amp; DISTRICT RET</v>
      </c>
    </row>
    <row r="2881" spans="5:8" x14ac:dyDescent="0.25">
      <c r="E2881" t="str">
        <f>""</f>
        <v/>
      </c>
      <c r="F2881" t="str">
        <f>""</f>
        <v/>
      </c>
      <c r="G2881" s="3">
        <v>1290.1300000000001</v>
      </c>
      <c r="H2881" t="str">
        <f t="shared" si="54"/>
        <v>TEXAS COUNTY &amp; DISTRICT RET</v>
      </c>
    </row>
    <row r="2882" spans="5:8" x14ac:dyDescent="0.25">
      <c r="E2882" t="str">
        <f>""</f>
        <v/>
      </c>
      <c r="F2882" t="str">
        <f>""</f>
        <v/>
      </c>
      <c r="G2882" s="3">
        <v>3162.13</v>
      </c>
      <c r="H2882" t="str">
        <f t="shared" si="54"/>
        <v>TEXAS COUNTY &amp; DISTRICT RET</v>
      </c>
    </row>
    <row r="2883" spans="5:8" x14ac:dyDescent="0.25">
      <c r="E2883" t="str">
        <f>""</f>
        <v/>
      </c>
      <c r="F2883" t="str">
        <f>""</f>
        <v/>
      </c>
      <c r="G2883" s="3">
        <v>2132.86</v>
      </c>
      <c r="H2883" t="str">
        <f t="shared" si="54"/>
        <v>TEXAS COUNTY &amp; DISTRICT RET</v>
      </c>
    </row>
    <row r="2884" spans="5:8" x14ac:dyDescent="0.25">
      <c r="E2884" t="str">
        <f>""</f>
        <v/>
      </c>
      <c r="F2884" t="str">
        <f>""</f>
        <v/>
      </c>
      <c r="G2884" s="3">
        <v>4492.5600000000004</v>
      </c>
      <c r="H2884" t="str">
        <f t="shared" si="54"/>
        <v>TEXAS COUNTY &amp; DISTRICT RET</v>
      </c>
    </row>
    <row r="2885" spans="5:8" x14ac:dyDescent="0.25">
      <c r="E2885" t="str">
        <f>""</f>
        <v/>
      </c>
      <c r="F2885" t="str">
        <f>""</f>
        <v/>
      </c>
      <c r="G2885" s="3">
        <v>235.17</v>
      </c>
      <c r="H2885" t="str">
        <f t="shared" si="54"/>
        <v>TEXAS COUNTY &amp; DISTRICT RET</v>
      </c>
    </row>
    <row r="2886" spans="5:8" x14ac:dyDescent="0.25">
      <c r="E2886" t="str">
        <f>""</f>
        <v/>
      </c>
      <c r="F2886" t="str">
        <f>""</f>
        <v/>
      </c>
      <c r="G2886" s="3">
        <v>235.17</v>
      </c>
      <c r="H2886" t="str">
        <f t="shared" si="54"/>
        <v>TEXAS COUNTY &amp; DISTRICT RET</v>
      </c>
    </row>
    <row r="2887" spans="5:8" x14ac:dyDescent="0.25">
      <c r="E2887" t="str">
        <f>""</f>
        <v/>
      </c>
      <c r="F2887" t="str">
        <f>""</f>
        <v/>
      </c>
      <c r="G2887" s="3">
        <v>235.17</v>
      </c>
      <c r="H2887" t="str">
        <f t="shared" si="54"/>
        <v>TEXAS COUNTY &amp; DISTRICT RET</v>
      </c>
    </row>
    <row r="2888" spans="5:8" x14ac:dyDescent="0.25">
      <c r="E2888" t="str">
        <f>""</f>
        <v/>
      </c>
      <c r="F2888" t="str">
        <f>""</f>
        <v/>
      </c>
      <c r="G2888" s="3">
        <v>235.17</v>
      </c>
      <c r="H2888" t="str">
        <f t="shared" si="54"/>
        <v>TEXAS COUNTY &amp; DISTRICT RET</v>
      </c>
    </row>
    <row r="2889" spans="5:8" x14ac:dyDescent="0.25">
      <c r="E2889" t="str">
        <f>""</f>
        <v/>
      </c>
      <c r="F2889" t="str">
        <f>""</f>
        <v/>
      </c>
      <c r="G2889" s="3">
        <v>23998.43</v>
      </c>
      <c r="H2889" t="str">
        <f t="shared" si="54"/>
        <v>TEXAS COUNTY &amp; DISTRICT RET</v>
      </c>
    </row>
    <row r="2890" spans="5:8" x14ac:dyDescent="0.25">
      <c r="E2890" t="str">
        <f>""</f>
        <v/>
      </c>
      <c r="F2890" t="str">
        <f>""</f>
        <v/>
      </c>
      <c r="G2890" s="3">
        <v>1056.69</v>
      </c>
      <c r="H2890" t="str">
        <f t="shared" si="54"/>
        <v>TEXAS COUNTY &amp; DISTRICT RET</v>
      </c>
    </row>
    <row r="2891" spans="5:8" x14ac:dyDescent="0.25">
      <c r="E2891" t="str">
        <f>""</f>
        <v/>
      </c>
      <c r="F2891" t="str">
        <f>""</f>
        <v/>
      </c>
      <c r="G2891" s="3">
        <v>21847.84</v>
      </c>
      <c r="H2891" t="str">
        <f t="shared" si="54"/>
        <v>TEXAS COUNTY &amp; DISTRICT RET</v>
      </c>
    </row>
    <row r="2892" spans="5:8" x14ac:dyDescent="0.25">
      <c r="E2892" t="str">
        <f>""</f>
        <v/>
      </c>
      <c r="F2892" t="str">
        <f>""</f>
        <v/>
      </c>
      <c r="G2892" s="3">
        <v>2935.81</v>
      </c>
      <c r="H2892" t="str">
        <f t="shared" si="54"/>
        <v>TEXAS COUNTY &amp; DISTRICT RET</v>
      </c>
    </row>
    <row r="2893" spans="5:8" x14ac:dyDescent="0.25">
      <c r="E2893" t="str">
        <f>""</f>
        <v/>
      </c>
      <c r="F2893" t="str">
        <f>""</f>
        <v/>
      </c>
      <c r="G2893" s="3">
        <v>209.99</v>
      </c>
      <c r="H2893" t="str">
        <f t="shared" si="54"/>
        <v>TEXAS COUNTY &amp; DISTRICT RET</v>
      </c>
    </row>
    <row r="2894" spans="5:8" x14ac:dyDescent="0.25">
      <c r="E2894" t="str">
        <f>""</f>
        <v/>
      </c>
      <c r="F2894" t="str">
        <f>""</f>
        <v/>
      </c>
      <c r="G2894" s="3">
        <v>618.89</v>
      </c>
      <c r="H2894" t="str">
        <f t="shared" si="54"/>
        <v>TEXAS COUNTY &amp; DISTRICT RET</v>
      </c>
    </row>
    <row r="2895" spans="5:8" x14ac:dyDescent="0.25">
      <c r="E2895" t="str">
        <f>""</f>
        <v/>
      </c>
      <c r="F2895" t="str">
        <f>""</f>
        <v/>
      </c>
      <c r="G2895" s="3">
        <v>60.22</v>
      </c>
      <c r="H2895" t="str">
        <f t="shared" si="54"/>
        <v>TEXAS COUNTY &amp; DISTRICT RET</v>
      </c>
    </row>
    <row r="2896" spans="5:8" x14ac:dyDescent="0.25">
      <c r="E2896" t="str">
        <f>""</f>
        <v/>
      </c>
      <c r="F2896" t="str">
        <f>""</f>
        <v/>
      </c>
      <c r="G2896" s="3">
        <v>569.58000000000004</v>
      </c>
      <c r="H2896" t="str">
        <f t="shared" si="54"/>
        <v>TEXAS COUNTY &amp; DISTRICT RET</v>
      </c>
    </row>
    <row r="2897" spans="5:8" x14ac:dyDescent="0.25">
      <c r="E2897" t="str">
        <f>""</f>
        <v/>
      </c>
      <c r="F2897" t="str">
        <f>""</f>
        <v/>
      </c>
      <c r="G2897" s="3">
        <v>201.13</v>
      </c>
      <c r="H2897" t="str">
        <f t="shared" si="54"/>
        <v>TEXAS COUNTY &amp; DISTRICT RET</v>
      </c>
    </row>
    <row r="2898" spans="5:8" x14ac:dyDescent="0.25">
      <c r="E2898" t="str">
        <f>""</f>
        <v/>
      </c>
      <c r="F2898" t="str">
        <f>""</f>
        <v/>
      </c>
      <c r="G2898" s="3">
        <v>629.57000000000005</v>
      </c>
      <c r="H2898" t="str">
        <f t="shared" si="54"/>
        <v>TEXAS COUNTY &amp; DISTRICT RET</v>
      </c>
    </row>
    <row r="2899" spans="5:8" x14ac:dyDescent="0.25">
      <c r="E2899" t="str">
        <f>""</f>
        <v/>
      </c>
      <c r="F2899" t="str">
        <f>""</f>
        <v/>
      </c>
      <c r="G2899" s="3">
        <v>333.57</v>
      </c>
      <c r="H2899" t="str">
        <f t="shared" si="54"/>
        <v>TEXAS COUNTY &amp; DISTRICT RET</v>
      </c>
    </row>
    <row r="2900" spans="5:8" x14ac:dyDescent="0.25">
      <c r="E2900" t="str">
        <f>""</f>
        <v/>
      </c>
      <c r="F2900" t="str">
        <f>""</f>
        <v/>
      </c>
      <c r="G2900" s="3">
        <v>203.96</v>
      </c>
      <c r="H2900" t="str">
        <f t="shared" si="54"/>
        <v>TEXAS COUNTY &amp; DISTRICT RET</v>
      </c>
    </row>
    <row r="2901" spans="5:8" x14ac:dyDescent="0.25">
      <c r="E2901" t="str">
        <f>""</f>
        <v/>
      </c>
      <c r="F2901" t="str">
        <f>""</f>
        <v/>
      </c>
      <c r="G2901" s="3">
        <v>2623.77</v>
      </c>
      <c r="H2901" t="str">
        <f t="shared" si="54"/>
        <v>TEXAS COUNTY &amp; DISTRICT RET</v>
      </c>
    </row>
    <row r="2902" spans="5:8" x14ac:dyDescent="0.25">
      <c r="E2902" t="str">
        <f>""</f>
        <v/>
      </c>
      <c r="F2902" t="str">
        <f>""</f>
        <v/>
      </c>
      <c r="G2902" s="3">
        <v>3093.14</v>
      </c>
      <c r="H2902" t="str">
        <f t="shared" si="54"/>
        <v>TEXAS COUNTY &amp; DISTRICT RET</v>
      </c>
    </row>
    <row r="2903" spans="5:8" x14ac:dyDescent="0.25">
      <c r="E2903" t="str">
        <f>""</f>
        <v/>
      </c>
      <c r="F2903" t="str">
        <f>""</f>
        <v/>
      </c>
      <c r="G2903" s="3">
        <v>2766.89</v>
      </c>
      <c r="H2903" t="str">
        <f t="shared" si="54"/>
        <v>TEXAS COUNTY &amp; DISTRICT RET</v>
      </c>
    </row>
    <row r="2904" spans="5:8" x14ac:dyDescent="0.25">
      <c r="E2904" t="str">
        <f>""</f>
        <v/>
      </c>
      <c r="F2904" t="str">
        <f>""</f>
        <v/>
      </c>
      <c r="G2904" s="3">
        <v>3343.33</v>
      </c>
      <c r="H2904" t="str">
        <f t="shared" si="54"/>
        <v>TEXAS COUNTY &amp; DISTRICT RET</v>
      </c>
    </row>
    <row r="2905" spans="5:8" x14ac:dyDescent="0.25">
      <c r="E2905" t="str">
        <f>""</f>
        <v/>
      </c>
      <c r="F2905" t="str">
        <f>""</f>
        <v/>
      </c>
      <c r="G2905" s="3">
        <v>390.33</v>
      </c>
      <c r="H2905" t="str">
        <f t="shared" si="54"/>
        <v>TEXAS COUNTY &amp; DISTRICT RET</v>
      </c>
    </row>
    <row r="2906" spans="5:8" x14ac:dyDescent="0.25">
      <c r="E2906" t="str">
        <f>""</f>
        <v/>
      </c>
      <c r="F2906" t="str">
        <f>""</f>
        <v/>
      </c>
      <c r="G2906" s="3">
        <v>404.88</v>
      </c>
      <c r="H2906" t="str">
        <f t="shared" si="54"/>
        <v>TEXAS COUNTY &amp; DISTRICT RET</v>
      </c>
    </row>
    <row r="2907" spans="5:8" x14ac:dyDescent="0.25">
      <c r="E2907" t="str">
        <f>""</f>
        <v/>
      </c>
      <c r="F2907" t="str">
        <f>""</f>
        <v/>
      </c>
      <c r="G2907" s="3">
        <v>53.98</v>
      </c>
      <c r="H2907" t="str">
        <f t="shared" si="54"/>
        <v>TEXAS COUNTY &amp; DISTRICT RET</v>
      </c>
    </row>
    <row r="2908" spans="5:8" x14ac:dyDescent="0.25">
      <c r="E2908" t="str">
        <f>""</f>
        <v/>
      </c>
      <c r="F2908" t="str">
        <f>""</f>
        <v/>
      </c>
      <c r="G2908" s="3">
        <v>26.88</v>
      </c>
      <c r="H2908" t="str">
        <f t="shared" si="54"/>
        <v>TEXAS COUNTY &amp; DISTRICT RET</v>
      </c>
    </row>
    <row r="2909" spans="5:8" x14ac:dyDescent="0.25">
      <c r="E2909" t="str">
        <f>""</f>
        <v/>
      </c>
      <c r="F2909" t="str">
        <f>""</f>
        <v/>
      </c>
      <c r="G2909" s="3">
        <v>37.950000000000003</v>
      </c>
      <c r="H2909" t="str">
        <f t="shared" si="54"/>
        <v>TEXAS COUNTY &amp; DISTRICT RET</v>
      </c>
    </row>
    <row r="2910" spans="5:8" x14ac:dyDescent="0.25">
      <c r="E2910" t="str">
        <f>""</f>
        <v/>
      </c>
      <c r="F2910" t="str">
        <f>""</f>
        <v/>
      </c>
      <c r="G2910" s="3">
        <v>640.99</v>
      </c>
      <c r="H2910" t="str">
        <f t="shared" si="54"/>
        <v>TEXAS COUNTY &amp; DISTRICT RET</v>
      </c>
    </row>
    <row r="2911" spans="5:8" x14ac:dyDescent="0.25">
      <c r="E2911" t="str">
        <f>""</f>
        <v/>
      </c>
      <c r="F2911" t="str">
        <f>""</f>
        <v/>
      </c>
      <c r="G2911" s="3">
        <v>70224.47</v>
      </c>
      <c r="H2911" t="str">
        <f t="shared" si="54"/>
        <v>TEXAS COUNTY &amp; DISTRICT RET</v>
      </c>
    </row>
    <row r="2912" spans="5:8" x14ac:dyDescent="0.25">
      <c r="E2912" t="str">
        <f>"RET202109155692"</f>
        <v>RET202109155692</v>
      </c>
      <c r="F2912" t="str">
        <f>"TEXAS COUNTY  DISTRICT RET"</f>
        <v>TEXAS COUNTY  DISTRICT RET</v>
      </c>
      <c r="G2912" s="3">
        <v>3632.19</v>
      </c>
      <c r="H2912" t="str">
        <f>"TEXAS COUNTY  DISTRICT RET"</f>
        <v>TEXAS COUNTY  DISTRICT RET</v>
      </c>
    </row>
    <row r="2913" spans="1:8" x14ac:dyDescent="0.25">
      <c r="E2913" t="str">
        <f>""</f>
        <v/>
      </c>
      <c r="F2913" t="str">
        <f>""</f>
        <v/>
      </c>
      <c r="G2913" s="3">
        <v>2358.58</v>
      </c>
      <c r="H2913" t="str">
        <f>"TEXAS COUNTY  DISTRICT RET"</f>
        <v>TEXAS COUNTY  DISTRICT RET</v>
      </c>
    </row>
    <row r="2914" spans="1:8" x14ac:dyDescent="0.25">
      <c r="E2914" t="str">
        <f>"RET202109155693"</f>
        <v>RET202109155693</v>
      </c>
      <c r="F2914" t="str">
        <f>"TEXAS COUNTY &amp; DISTRICT RET"</f>
        <v>TEXAS COUNTY &amp; DISTRICT RET</v>
      </c>
      <c r="G2914" s="3">
        <v>4178.1099999999997</v>
      </c>
      <c r="H2914" t="str">
        <f t="shared" ref="H2914:H2919" si="55">"TEXAS COUNTY &amp; DISTRICT RET"</f>
        <v>TEXAS COUNTY &amp; DISTRICT RET</v>
      </c>
    </row>
    <row r="2915" spans="1:8" x14ac:dyDescent="0.25">
      <c r="E2915" t="str">
        <f>""</f>
        <v/>
      </c>
      <c r="F2915" t="str">
        <f>""</f>
        <v/>
      </c>
      <c r="G2915" s="3">
        <v>2713.05</v>
      </c>
      <c r="H2915" t="str">
        <f t="shared" si="55"/>
        <v>TEXAS COUNTY &amp; DISTRICT RET</v>
      </c>
    </row>
    <row r="2916" spans="1:8" x14ac:dyDescent="0.25">
      <c r="A2916" t="s">
        <v>419</v>
      </c>
      <c r="B2916">
        <v>1333</v>
      </c>
      <c r="C2916" s="3">
        <v>4041.52</v>
      </c>
      <c r="D2916" s="4">
        <v>44459</v>
      </c>
      <c r="E2916" t="str">
        <f>"RET202109155727"</f>
        <v>RET202109155727</v>
      </c>
      <c r="F2916" t="str">
        <f>"TEXAS COUNTY &amp; DISTRICT RET"</f>
        <v>TEXAS COUNTY &amp; DISTRICT RET</v>
      </c>
      <c r="G2916" s="3">
        <v>2450.38</v>
      </c>
      <c r="H2916" t="str">
        <f t="shared" si="55"/>
        <v>TEXAS COUNTY &amp; DISTRICT RET</v>
      </c>
    </row>
    <row r="2917" spans="1:8" x14ac:dyDescent="0.25">
      <c r="E2917" t="str">
        <f>""</f>
        <v/>
      </c>
      <c r="F2917" t="str">
        <f>""</f>
        <v/>
      </c>
      <c r="G2917" s="3">
        <v>1591.14</v>
      </c>
      <c r="H2917" t="str">
        <f t="shared" si="55"/>
        <v>TEXAS COUNTY &amp; DISTRICT RET</v>
      </c>
    </row>
    <row r="2918" spans="1:8" x14ac:dyDescent="0.25">
      <c r="A2918" t="s">
        <v>419</v>
      </c>
      <c r="B2918">
        <v>1335</v>
      </c>
      <c r="C2918" s="3">
        <v>30376.57</v>
      </c>
      <c r="D2918" s="4">
        <v>44460</v>
      </c>
      <c r="E2918" t="str">
        <f>"RET202109175774"</f>
        <v>RET202109175774</v>
      </c>
      <c r="F2918" t="str">
        <f>"TEXAS COUNTY &amp; DISTRICT RET"</f>
        <v>TEXAS COUNTY &amp; DISTRICT RET</v>
      </c>
      <c r="G2918" s="3">
        <v>18417.28</v>
      </c>
      <c r="H2918" t="str">
        <f t="shared" si="55"/>
        <v>TEXAS COUNTY &amp; DISTRICT RET</v>
      </c>
    </row>
    <row r="2919" spans="1:8" x14ac:dyDescent="0.25">
      <c r="E2919" t="str">
        <f>""</f>
        <v/>
      </c>
      <c r="F2919" t="str">
        <f>""</f>
        <v/>
      </c>
      <c r="G2919" s="3">
        <v>11959.29</v>
      </c>
      <c r="H2919" t="str">
        <f t="shared" si="55"/>
        <v>TEXAS COUNTY &amp; DISTRICT RET</v>
      </c>
    </row>
    <row r="2920" spans="1:8" x14ac:dyDescent="0.25">
      <c r="A2920" t="s">
        <v>420</v>
      </c>
      <c r="B2920">
        <v>48464</v>
      </c>
      <c r="C2920" s="3">
        <v>1668</v>
      </c>
      <c r="D2920" s="4">
        <v>44466</v>
      </c>
      <c r="E2920" t="str">
        <f>"LEG202109015416"</f>
        <v>LEG202109015416</v>
      </c>
      <c r="F2920" t="str">
        <f>"TEXAS LEGAL PROTECTION PLAN"</f>
        <v>TEXAS LEGAL PROTECTION PLAN</v>
      </c>
      <c r="G2920" s="3">
        <v>330</v>
      </c>
      <c r="H2920" t="str">
        <f>"TEXAS LEGAL PROTECTION PLAN"</f>
        <v>TEXAS LEGAL PROTECTION PLAN</v>
      </c>
    </row>
    <row r="2921" spans="1:8" x14ac:dyDescent="0.25">
      <c r="E2921" t="str">
        <f>"LEG202109155691"</f>
        <v>LEG202109155691</v>
      </c>
      <c r="F2921" t="str">
        <f>"TEXAS LEGAL PROTECTION PLAN"</f>
        <v>TEXAS LEGAL PROTECTION PLAN</v>
      </c>
      <c r="G2921" s="3">
        <v>330</v>
      </c>
      <c r="H2921" t="str">
        <f>"TEXAS LEGAL PROTECTION PLAN"</f>
        <v>TEXAS LEGAL PROTECTION PLAN</v>
      </c>
    </row>
    <row r="2922" spans="1:8" x14ac:dyDescent="0.25">
      <c r="E2922" t="str">
        <f>"LGF202109015416"</f>
        <v>LGF202109015416</v>
      </c>
      <c r="F2922" t="str">
        <f>"TEXAS LEGAL PROTECTION PLAN"</f>
        <v>TEXAS LEGAL PROTECTION PLAN</v>
      </c>
      <c r="G2922" s="3">
        <v>504</v>
      </c>
      <c r="H2922" t="str">
        <f>"TEXAS LEGAL PROTECTION PLAN"</f>
        <v>TEXAS LEGAL PROTECTION PLAN</v>
      </c>
    </row>
    <row r="2923" spans="1:8" x14ac:dyDescent="0.25">
      <c r="E2923" t="str">
        <f>"LGF202109155691"</f>
        <v>LGF202109155691</v>
      </c>
      <c r="F2923" t="str">
        <f>"TEXAS LEGAL PROTECTION PLAN"</f>
        <v>TEXAS LEGAL PROTECTION PLAN</v>
      </c>
      <c r="G2923" s="3">
        <v>504</v>
      </c>
      <c r="H2923" t="str">
        <f>"TEXAS LEGAL PROTECTION PLAN"</f>
        <v>TEXAS LEGAL PROTECTION PLAN</v>
      </c>
    </row>
    <row r="2924" spans="1:8" x14ac:dyDescent="0.25">
      <c r="A2924" t="s">
        <v>421</v>
      </c>
      <c r="B2924">
        <v>48469</v>
      </c>
      <c r="C2924" s="3">
        <v>22.8</v>
      </c>
      <c r="D2924" s="4">
        <v>44468</v>
      </c>
      <c r="E2924" t="str">
        <f>"202109295919"</f>
        <v>202109295919</v>
      </c>
      <c r="F2924" t="str">
        <f>"RETIREE INS REFUND EOY 2021"</f>
        <v>RETIREE INS REFUND EOY 2021</v>
      </c>
      <c r="G2924" s="3">
        <v>22.8</v>
      </c>
      <c r="H2924" t="str">
        <f>"RETIREE INS REFUND EOY 2021"</f>
        <v>RETIREE INS REFUND EOY 2021</v>
      </c>
    </row>
    <row r="2925" spans="1:8" x14ac:dyDescent="0.25">
      <c r="A2925" t="s">
        <v>422</v>
      </c>
      <c r="B2925">
        <v>48474</v>
      </c>
      <c r="C2925" s="3">
        <v>356.58</v>
      </c>
      <c r="D2925" s="4">
        <v>44468</v>
      </c>
      <c r="E2925" t="str">
        <f>"202109295914"</f>
        <v>202109295914</v>
      </c>
      <c r="F2925" t="str">
        <f>"RETIREE INS REFUND EOY 2021"</f>
        <v>RETIREE INS REFUND EOY 2021</v>
      </c>
      <c r="G2925" s="3">
        <v>356.58</v>
      </c>
      <c r="H2925" t="str">
        <f>"RETIREE INS REFUND EOY 2021"</f>
        <v>RETIREE INS REFUND EOY 2021</v>
      </c>
    </row>
    <row r="2926" spans="1:8" x14ac:dyDescent="0.25">
      <c r="A2926" t="s">
        <v>423</v>
      </c>
      <c r="B2926">
        <v>1310</v>
      </c>
      <c r="C2926" s="3">
        <v>215.82</v>
      </c>
      <c r="D2926" s="4">
        <v>44453</v>
      </c>
      <c r="E2926" t="str">
        <f>"202109145667"</f>
        <v>202109145667</v>
      </c>
      <c r="F2926" t="str">
        <f>"ACCT#72-5613 / 09032021"</f>
        <v>ACCT#72-5613 / 09032021</v>
      </c>
      <c r="G2926" s="3">
        <v>215.82</v>
      </c>
      <c r="H2926" t="str">
        <f t="shared" ref="H2926:H2968" si="56">"ACCT#72-5613 / 09032021"</f>
        <v>ACCT#72-5613 / 09032021</v>
      </c>
    </row>
    <row r="2927" spans="1:8" x14ac:dyDescent="0.25">
      <c r="A2927" t="s">
        <v>424</v>
      </c>
      <c r="B2927">
        <v>1299</v>
      </c>
      <c r="C2927" s="3">
        <v>10.99</v>
      </c>
      <c r="D2927" s="4">
        <v>44453</v>
      </c>
      <c r="E2927" t="str">
        <f>"202109145658"</f>
        <v>202109145658</v>
      </c>
      <c r="F2927" t="str">
        <f>"ACCT#72-5613 / 09032021"</f>
        <v>ACCT#72-5613 / 09032021</v>
      </c>
      <c r="G2927" s="3">
        <v>10.99</v>
      </c>
      <c r="H2927" t="str">
        <f t="shared" si="56"/>
        <v>ACCT#72-5613 / 09032021</v>
      </c>
    </row>
    <row r="2928" spans="1:8" x14ac:dyDescent="0.25">
      <c r="A2928" t="s">
        <v>425</v>
      </c>
      <c r="B2928">
        <v>1313</v>
      </c>
      <c r="C2928" s="3">
        <v>80.23</v>
      </c>
      <c r="D2928" s="4">
        <v>44453</v>
      </c>
      <c r="E2928" t="str">
        <f>"202109145668"</f>
        <v>202109145668</v>
      </c>
      <c r="F2928" t="str">
        <f>"ACCT#72-5613 / 09032021"</f>
        <v>ACCT#72-5613 / 09032021</v>
      </c>
      <c r="G2928" s="3">
        <v>66.36</v>
      </c>
      <c r="H2928" t="str">
        <f t="shared" si="56"/>
        <v>ACCT#72-5613 / 09032021</v>
      </c>
    </row>
    <row r="2929" spans="1:8" x14ac:dyDescent="0.25">
      <c r="E2929" t="str">
        <f>""</f>
        <v/>
      </c>
      <c r="F2929" t="str">
        <f>""</f>
        <v/>
      </c>
      <c r="G2929" s="3">
        <v>13.87</v>
      </c>
      <c r="H2929" t="str">
        <f t="shared" si="56"/>
        <v>ACCT#72-5613 / 09032021</v>
      </c>
    </row>
    <row r="2930" spans="1:8" x14ac:dyDescent="0.25">
      <c r="A2930" t="s">
        <v>39</v>
      </c>
      <c r="B2930">
        <v>1314</v>
      </c>
      <c r="C2930" s="3">
        <v>209.57</v>
      </c>
      <c r="D2930" s="4">
        <v>44453</v>
      </c>
      <c r="E2930" t="str">
        <f>"202109145669"</f>
        <v>202109145669</v>
      </c>
      <c r="F2930" t="str">
        <f t="shared" ref="F2930:F2936" si="57">"ACCT#72-5613 / 09032021"</f>
        <v>ACCT#72-5613 / 09032021</v>
      </c>
      <c r="G2930" s="3">
        <v>209.57</v>
      </c>
      <c r="H2930" t="str">
        <f t="shared" si="56"/>
        <v>ACCT#72-5613 / 09032021</v>
      </c>
    </row>
    <row r="2931" spans="1:8" x14ac:dyDescent="0.25">
      <c r="A2931" t="s">
        <v>426</v>
      </c>
      <c r="B2931">
        <v>1303</v>
      </c>
      <c r="C2931" s="3">
        <v>199</v>
      </c>
      <c r="D2931" s="4">
        <v>44453</v>
      </c>
      <c r="E2931" t="str">
        <f>"202109145661"</f>
        <v>202109145661</v>
      </c>
      <c r="F2931" t="str">
        <f t="shared" si="57"/>
        <v>ACCT#72-5613 / 09032021</v>
      </c>
      <c r="G2931" s="3">
        <v>199</v>
      </c>
      <c r="H2931" t="str">
        <f t="shared" si="56"/>
        <v>ACCT#72-5613 / 09032021</v>
      </c>
    </row>
    <row r="2932" spans="1:8" x14ac:dyDescent="0.25">
      <c r="A2932" t="s">
        <v>427</v>
      </c>
      <c r="B2932">
        <v>1302</v>
      </c>
      <c r="C2932" s="3">
        <v>745.79</v>
      </c>
      <c r="D2932" s="4">
        <v>44453</v>
      </c>
      <c r="E2932" t="str">
        <f>"202109145682"</f>
        <v>202109145682</v>
      </c>
      <c r="F2932" t="str">
        <f t="shared" si="57"/>
        <v>ACCT#72-5613 / 09032021</v>
      </c>
      <c r="G2932" s="3">
        <v>-306.52999999999997</v>
      </c>
      <c r="H2932" t="str">
        <f t="shared" si="56"/>
        <v>ACCT#72-5613 / 09032021</v>
      </c>
    </row>
    <row r="2933" spans="1:8" x14ac:dyDescent="0.25">
      <c r="E2933" t="str">
        <f>"202109145683"</f>
        <v>202109145683</v>
      </c>
      <c r="F2933" t="str">
        <f t="shared" si="57"/>
        <v>ACCT#72-5613 / 09032021</v>
      </c>
      <c r="G2933" s="3">
        <v>-205.63</v>
      </c>
      <c r="H2933" t="str">
        <f t="shared" si="56"/>
        <v>ACCT#72-5613 / 09032021</v>
      </c>
    </row>
    <row r="2934" spans="1:8" x14ac:dyDescent="0.25">
      <c r="E2934" t="str">
        <f>"202109145680"</f>
        <v>202109145680</v>
      </c>
      <c r="F2934" t="str">
        <f t="shared" si="57"/>
        <v>ACCT#72-5613 / 09032021</v>
      </c>
      <c r="G2934" s="3">
        <v>526.16</v>
      </c>
      <c r="H2934" t="str">
        <f t="shared" si="56"/>
        <v>ACCT#72-5613 / 09032021</v>
      </c>
    </row>
    <row r="2935" spans="1:8" x14ac:dyDescent="0.25">
      <c r="E2935" t="str">
        <f>"202109145681"</f>
        <v>202109145681</v>
      </c>
      <c r="F2935" t="str">
        <f t="shared" si="57"/>
        <v>ACCT#72-5613 / 09032021</v>
      </c>
      <c r="G2935" s="3">
        <v>731.79</v>
      </c>
      <c r="H2935" t="str">
        <f t="shared" si="56"/>
        <v>ACCT#72-5613 / 09032021</v>
      </c>
    </row>
    <row r="2936" spans="1:8" x14ac:dyDescent="0.25">
      <c r="A2936" t="s">
        <v>428</v>
      </c>
      <c r="B2936">
        <v>1295</v>
      </c>
      <c r="C2936" s="3">
        <v>28.78</v>
      </c>
      <c r="D2936" s="4">
        <v>44453</v>
      </c>
      <c r="E2936" t="str">
        <f>"202109145655"</f>
        <v>202109145655</v>
      </c>
      <c r="F2936" t="str">
        <f t="shared" si="57"/>
        <v>ACCT#72-5613 / 09032021</v>
      </c>
      <c r="G2936" s="3">
        <v>2.41</v>
      </c>
      <c r="H2936" t="str">
        <f t="shared" si="56"/>
        <v>ACCT#72-5613 / 09032021</v>
      </c>
    </row>
    <row r="2937" spans="1:8" x14ac:dyDescent="0.25">
      <c r="E2937" t="str">
        <f>""</f>
        <v/>
      </c>
      <c r="F2937" t="str">
        <f>""</f>
        <v/>
      </c>
      <c r="G2937" s="3">
        <v>19.73</v>
      </c>
      <c r="H2937" t="str">
        <f t="shared" si="56"/>
        <v>ACCT#72-5613 / 09032021</v>
      </c>
    </row>
    <row r="2938" spans="1:8" x14ac:dyDescent="0.25">
      <c r="E2938" t="str">
        <f>""</f>
        <v/>
      </c>
      <c r="F2938" t="str">
        <f>""</f>
        <v/>
      </c>
      <c r="G2938" s="3">
        <v>6.64</v>
      </c>
      <c r="H2938" t="str">
        <f t="shared" si="56"/>
        <v>ACCT#72-5613 / 09032021</v>
      </c>
    </row>
    <row r="2939" spans="1:8" x14ac:dyDescent="0.25">
      <c r="A2939" t="s">
        <v>429</v>
      </c>
      <c r="B2939">
        <v>1293</v>
      </c>
      <c r="C2939" s="3">
        <v>9.42</v>
      </c>
      <c r="D2939" s="4">
        <v>44453</v>
      </c>
      <c r="E2939" t="str">
        <f>"202109145653"</f>
        <v>202109145653</v>
      </c>
      <c r="F2939" t="str">
        <f t="shared" ref="F2939:F2946" si="58">"ACCT#72-5613 / 09032021"</f>
        <v>ACCT#72-5613 / 09032021</v>
      </c>
      <c r="G2939" s="3">
        <v>9.42</v>
      </c>
      <c r="H2939" t="str">
        <f t="shared" si="56"/>
        <v>ACCT#72-5613 / 09032021</v>
      </c>
    </row>
    <row r="2940" spans="1:8" x14ac:dyDescent="0.25">
      <c r="A2940" t="s">
        <v>430</v>
      </c>
      <c r="B2940">
        <v>1305</v>
      </c>
      <c r="C2940" s="3">
        <v>322.17</v>
      </c>
      <c r="D2940" s="4">
        <v>44453</v>
      </c>
      <c r="E2940" t="str">
        <f>"202109145686"</f>
        <v>202109145686</v>
      </c>
      <c r="F2940" t="str">
        <f t="shared" si="58"/>
        <v>ACCT#72-5613 / 09032021</v>
      </c>
      <c r="G2940" s="3">
        <v>-46.68</v>
      </c>
      <c r="H2940" t="str">
        <f t="shared" si="56"/>
        <v>ACCT#72-5613 / 09032021</v>
      </c>
    </row>
    <row r="2941" spans="1:8" x14ac:dyDescent="0.25">
      <c r="E2941" t="str">
        <f>"202109145684"</f>
        <v>202109145684</v>
      </c>
      <c r="F2941" t="str">
        <f t="shared" si="58"/>
        <v>ACCT#72-5613 / 09032021</v>
      </c>
      <c r="G2941" s="3">
        <v>332.38</v>
      </c>
      <c r="H2941" t="str">
        <f t="shared" si="56"/>
        <v>ACCT#72-5613 / 09032021</v>
      </c>
    </row>
    <row r="2942" spans="1:8" x14ac:dyDescent="0.25">
      <c r="E2942" t="str">
        <f>"202109145685"</f>
        <v>202109145685</v>
      </c>
      <c r="F2942" t="str">
        <f t="shared" si="58"/>
        <v>ACCT#72-5613 / 09032021</v>
      </c>
      <c r="G2942" s="3">
        <v>36.47</v>
      </c>
      <c r="H2942" t="str">
        <f t="shared" si="56"/>
        <v>ACCT#72-5613 / 09032021</v>
      </c>
    </row>
    <row r="2943" spans="1:8" x14ac:dyDescent="0.25">
      <c r="A2943" t="s">
        <v>431</v>
      </c>
      <c r="B2943">
        <v>1318</v>
      </c>
      <c r="C2943" s="3">
        <v>143.12</v>
      </c>
      <c r="D2943" s="4">
        <v>44453</v>
      </c>
      <c r="E2943" t="str">
        <f>"202109145672"</f>
        <v>202109145672</v>
      </c>
      <c r="F2943" t="str">
        <f t="shared" si="58"/>
        <v>ACCT#72-5613 / 09032021</v>
      </c>
      <c r="G2943" s="3">
        <v>143.12</v>
      </c>
      <c r="H2943" t="str">
        <f t="shared" si="56"/>
        <v>ACCT#72-5613 / 09032021</v>
      </c>
    </row>
    <row r="2944" spans="1:8" x14ac:dyDescent="0.25">
      <c r="A2944" t="s">
        <v>432</v>
      </c>
      <c r="B2944">
        <v>1309</v>
      </c>
      <c r="C2944" s="3">
        <v>12.79</v>
      </c>
      <c r="D2944" s="4">
        <v>44453</v>
      </c>
      <c r="E2944" t="str">
        <f>"202109145666"</f>
        <v>202109145666</v>
      </c>
      <c r="F2944" t="str">
        <f t="shared" si="58"/>
        <v>ACCT#72-5613 / 09032021</v>
      </c>
      <c r="G2944" s="3">
        <v>12.79</v>
      </c>
      <c r="H2944" t="str">
        <f t="shared" si="56"/>
        <v>ACCT#72-5613 / 09032021</v>
      </c>
    </row>
    <row r="2945" spans="1:8" x14ac:dyDescent="0.25">
      <c r="A2945" t="s">
        <v>433</v>
      </c>
      <c r="B2945">
        <v>1307</v>
      </c>
      <c r="C2945" s="3">
        <v>289</v>
      </c>
      <c r="D2945" s="4">
        <v>44453</v>
      </c>
      <c r="E2945" t="str">
        <f>"202109145664"</f>
        <v>202109145664</v>
      </c>
      <c r="F2945" t="str">
        <f t="shared" si="58"/>
        <v>ACCT#72-5613 / 09032021</v>
      </c>
      <c r="G2945" s="3">
        <v>289</v>
      </c>
      <c r="H2945" t="str">
        <f t="shared" si="56"/>
        <v>ACCT#72-5613 / 09032021</v>
      </c>
    </row>
    <row r="2946" spans="1:8" x14ac:dyDescent="0.25">
      <c r="A2946" t="s">
        <v>163</v>
      </c>
      <c r="B2946">
        <v>1294</v>
      </c>
      <c r="C2946" s="3">
        <v>1334.28</v>
      </c>
      <c r="D2946" s="4">
        <v>44453</v>
      </c>
      <c r="E2946" t="str">
        <f>"202109145654"</f>
        <v>202109145654</v>
      </c>
      <c r="F2946" t="str">
        <f t="shared" si="58"/>
        <v>ACCT#72-5613 / 09032021</v>
      </c>
      <c r="G2946" s="3">
        <v>257.41000000000003</v>
      </c>
      <c r="H2946" t="str">
        <f t="shared" si="56"/>
        <v>ACCT#72-5613 / 09032021</v>
      </c>
    </row>
    <row r="2947" spans="1:8" x14ac:dyDescent="0.25">
      <c r="E2947" t="str">
        <f>""</f>
        <v/>
      </c>
      <c r="F2947" t="str">
        <f>""</f>
        <v/>
      </c>
      <c r="G2947" s="3">
        <v>1076.8699999999999</v>
      </c>
      <c r="H2947" t="str">
        <f t="shared" si="56"/>
        <v>ACCT#72-5613 / 09032021</v>
      </c>
    </row>
    <row r="2948" spans="1:8" x14ac:dyDescent="0.25">
      <c r="A2948" t="s">
        <v>434</v>
      </c>
      <c r="B2948">
        <v>1300</v>
      </c>
      <c r="C2948" s="3">
        <v>250</v>
      </c>
      <c r="D2948" s="4">
        <v>44453</v>
      </c>
      <c r="E2948" t="str">
        <f>"202109145659"</f>
        <v>202109145659</v>
      </c>
      <c r="F2948" t="str">
        <f t="shared" ref="F2948:F2961" si="59">"ACCT#72-5613 / 09032021"</f>
        <v>ACCT#72-5613 / 09032021</v>
      </c>
      <c r="G2948" s="3">
        <v>250</v>
      </c>
      <c r="H2948" t="str">
        <f t="shared" si="56"/>
        <v>ACCT#72-5613 / 09032021</v>
      </c>
    </row>
    <row r="2949" spans="1:8" x14ac:dyDescent="0.25">
      <c r="A2949" t="s">
        <v>196</v>
      </c>
      <c r="B2949">
        <v>1292</v>
      </c>
      <c r="C2949" s="3">
        <v>77.819999999999993</v>
      </c>
      <c r="D2949" s="4">
        <v>44453</v>
      </c>
      <c r="E2949" t="str">
        <f>"202109145652"</f>
        <v>202109145652</v>
      </c>
      <c r="F2949" t="str">
        <f t="shared" si="59"/>
        <v>ACCT#72-5613 / 09032021</v>
      </c>
      <c r="G2949" s="3">
        <v>77.819999999999993</v>
      </c>
      <c r="H2949" t="str">
        <f t="shared" si="56"/>
        <v>ACCT#72-5613 / 09032021</v>
      </c>
    </row>
    <row r="2950" spans="1:8" x14ac:dyDescent="0.25">
      <c r="A2950" t="s">
        <v>204</v>
      </c>
      <c r="B2950">
        <v>1291</v>
      </c>
      <c r="C2950" s="3">
        <v>68.44</v>
      </c>
      <c r="D2950" s="4">
        <v>44453</v>
      </c>
      <c r="E2950" t="str">
        <f>"202109145651"</f>
        <v>202109145651</v>
      </c>
      <c r="F2950" t="str">
        <f t="shared" si="59"/>
        <v>ACCT#72-5613 / 09032021</v>
      </c>
      <c r="G2950" s="3">
        <v>68.44</v>
      </c>
      <c r="H2950" t="str">
        <f t="shared" si="56"/>
        <v>ACCT#72-5613 / 09032021</v>
      </c>
    </row>
    <row r="2951" spans="1:8" x14ac:dyDescent="0.25">
      <c r="A2951" t="s">
        <v>435</v>
      </c>
      <c r="B2951">
        <v>1296</v>
      </c>
      <c r="C2951" s="3">
        <v>159.37</v>
      </c>
      <c r="D2951" s="4">
        <v>44453</v>
      </c>
      <c r="E2951" t="str">
        <f>"202109145665"</f>
        <v>202109145665</v>
      </c>
      <c r="F2951" t="str">
        <f t="shared" si="59"/>
        <v>ACCT#72-5613 / 09032021</v>
      </c>
      <c r="G2951" s="3">
        <v>159.37</v>
      </c>
      <c r="H2951" t="str">
        <f t="shared" si="56"/>
        <v>ACCT#72-5613 / 09032021</v>
      </c>
    </row>
    <row r="2952" spans="1:8" x14ac:dyDescent="0.25">
      <c r="A2952" t="s">
        <v>436</v>
      </c>
      <c r="B2952">
        <v>1311</v>
      </c>
      <c r="C2952" s="3">
        <v>740</v>
      </c>
      <c r="D2952" s="4">
        <v>44453</v>
      </c>
      <c r="E2952" t="str">
        <f>"202109145678"</f>
        <v>202109145678</v>
      </c>
      <c r="F2952" t="str">
        <f t="shared" si="59"/>
        <v>ACCT#72-5613 / 09032021</v>
      </c>
      <c r="G2952" s="3">
        <v>740</v>
      </c>
      <c r="H2952" t="str">
        <f t="shared" si="56"/>
        <v>ACCT#72-5613 / 09032021</v>
      </c>
    </row>
    <row r="2953" spans="1:8" x14ac:dyDescent="0.25">
      <c r="A2953" t="s">
        <v>437</v>
      </c>
      <c r="B2953">
        <v>1308</v>
      </c>
      <c r="C2953" s="3">
        <v>1798</v>
      </c>
      <c r="D2953" s="4">
        <v>44453</v>
      </c>
      <c r="E2953" t="str">
        <f>"202109145677"</f>
        <v>202109145677</v>
      </c>
      <c r="F2953" t="str">
        <f t="shared" si="59"/>
        <v>ACCT#72-5613 / 09032021</v>
      </c>
      <c r="G2953" s="3">
        <v>1798</v>
      </c>
      <c r="H2953" t="str">
        <f t="shared" si="56"/>
        <v>ACCT#72-5613 / 09032021</v>
      </c>
    </row>
    <row r="2954" spans="1:8" x14ac:dyDescent="0.25">
      <c r="A2954" t="s">
        <v>438</v>
      </c>
      <c r="B2954">
        <v>1316</v>
      </c>
      <c r="C2954" s="3">
        <v>14</v>
      </c>
      <c r="D2954" s="4">
        <v>44453</v>
      </c>
      <c r="E2954" t="str">
        <f>"202109145671"</f>
        <v>202109145671</v>
      </c>
      <c r="F2954" t="str">
        <f t="shared" si="59"/>
        <v>ACCT#72-5613 / 09032021</v>
      </c>
      <c r="G2954" s="3">
        <v>14</v>
      </c>
      <c r="H2954" t="str">
        <f t="shared" si="56"/>
        <v>ACCT#72-5613 / 09032021</v>
      </c>
    </row>
    <row r="2955" spans="1:8" x14ac:dyDescent="0.25">
      <c r="A2955" t="s">
        <v>439</v>
      </c>
      <c r="B2955">
        <v>1301</v>
      </c>
      <c r="C2955" s="3">
        <v>19.989999999999998</v>
      </c>
      <c r="D2955" s="4">
        <v>44453</v>
      </c>
      <c r="E2955" t="str">
        <f>"202109145660"</f>
        <v>202109145660</v>
      </c>
      <c r="F2955" t="str">
        <f t="shared" si="59"/>
        <v>ACCT#72-5613 / 09032021</v>
      </c>
      <c r="G2955" s="3">
        <v>19.989999999999998</v>
      </c>
      <c r="H2955" t="str">
        <f t="shared" si="56"/>
        <v>ACCT#72-5613 / 09032021</v>
      </c>
    </row>
    <row r="2956" spans="1:8" x14ac:dyDescent="0.25">
      <c r="A2956" t="s">
        <v>275</v>
      </c>
      <c r="B2956">
        <v>1315</v>
      </c>
      <c r="C2956" s="3">
        <v>365.36</v>
      </c>
      <c r="D2956" s="4">
        <v>44453</v>
      </c>
      <c r="E2956" t="str">
        <f>"202109145670"</f>
        <v>202109145670</v>
      </c>
      <c r="F2956" t="str">
        <f t="shared" si="59"/>
        <v>ACCT#72-5613 / 09032021</v>
      </c>
      <c r="G2956" s="3">
        <v>365.36</v>
      </c>
      <c r="H2956" t="str">
        <f t="shared" si="56"/>
        <v>ACCT#72-5613 / 09032021</v>
      </c>
    </row>
    <row r="2957" spans="1:8" x14ac:dyDescent="0.25">
      <c r="A2957" t="s">
        <v>292</v>
      </c>
      <c r="B2957">
        <v>1298</v>
      </c>
      <c r="C2957" s="3">
        <v>12.89</v>
      </c>
      <c r="D2957" s="4">
        <v>44453</v>
      </c>
      <c r="E2957" t="str">
        <f>"202109145657"</f>
        <v>202109145657</v>
      </c>
      <c r="F2957" t="str">
        <f t="shared" si="59"/>
        <v>ACCT#72-5613 / 09032021</v>
      </c>
      <c r="G2957" s="3">
        <v>12.89</v>
      </c>
      <c r="H2957" t="str">
        <f t="shared" si="56"/>
        <v>ACCT#72-5613 / 09032021</v>
      </c>
    </row>
    <row r="2958" spans="1:8" x14ac:dyDescent="0.25">
      <c r="A2958" t="s">
        <v>440</v>
      </c>
      <c r="B2958">
        <v>1304</v>
      </c>
      <c r="C2958" s="3">
        <v>665.1</v>
      </c>
      <c r="D2958" s="4">
        <v>44453</v>
      </c>
      <c r="E2958" t="str">
        <f>"202109145662"</f>
        <v>202109145662</v>
      </c>
      <c r="F2958" t="str">
        <f t="shared" si="59"/>
        <v>ACCT#72-5613 / 09032021</v>
      </c>
      <c r="G2958" s="3">
        <v>665.1</v>
      </c>
      <c r="H2958" t="str">
        <f t="shared" si="56"/>
        <v>ACCT#72-5613 / 09032021</v>
      </c>
    </row>
    <row r="2959" spans="1:8" x14ac:dyDescent="0.25">
      <c r="A2959" t="s">
        <v>441</v>
      </c>
      <c r="B2959">
        <v>1312</v>
      </c>
      <c r="C2959" s="3">
        <v>40</v>
      </c>
      <c r="D2959" s="4">
        <v>44453</v>
      </c>
      <c r="E2959" t="str">
        <f>"202109145679"</f>
        <v>202109145679</v>
      </c>
      <c r="F2959" t="str">
        <f t="shared" si="59"/>
        <v>ACCT#72-5613 / 09032021</v>
      </c>
      <c r="G2959" s="3">
        <v>40</v>
      </c>
      <c r="H2959" t="str">
        <f t="shared" si="56"/>
        <v>ACCT#72-5613 / 09032021</v>
      </c>
    </row>
    <row r="2960" spans="1:8" x14ac:dyDescent="0.25">
      <c r="A2960" t="s">
        <v>442</v>
      </c>
      <c r="B2960">
        <v>1320</v>
      </c>
      <c r="C2960" s="3">
        <v>111</v>
      </c>
      <c r="D2960" s="4">
        <v>44453</v>
      </c>
      <c r="E2960" t="str">
        <f>"202109145676"</f>
        <v>202109145676</v>
      </c>
      <c r="F2960" t="str">
        <f t="shared" si="59"/>
        <v>ACCT#72-5613 / 09032021</v>
      </c>
      <c r="G2960" s="3">
        <v>111</v>
      </c>
      <c r="H2960" t="str">
        <f t="shared" si="56"/>
        <v>ACCT#72-5613 / 09032021</v>
      </c>
    </row>
    <row r="2961" spans="1:8" x14ac:dyDescent="0.25">
      <c r="A2961" t="s">
        <v>351</v>
      </c>
      <c r="B2961">
        <v>1319</v>
      </c>
      <c r="C2961" s="3">
        <v>275.42</v>
      </c>
      <c r="D2961" s="4">
        <v>44453</v>
      </c>
      <c r="E2961" t="str">
        <f>"202109145675"</f>
        <v>202109145675</v>
      </c>
      <c r="F2961" t="str">
        <f t="shared" si="59"/>
        <v>ACCT#72-5613 / 09032021</v>
      </c>
      <c r="G2961" s="3">
        <v>125.44</v>
      </c>
      <c r="H2961" t="str">
        <f t="shared" si="56"/>
        <v>ACCT#72-5613 / 09032021</v>
      </c>
    </row>
    <row r="2962" spans="1:8" x14ac:dyDescent="0.25">
      <c r="E2962" t="str">
        <f>""</f>
        <v/>
      </c>
      <c r="F2962" t="str">
        <f>""</f>
        <v/>
      </c>
      <c r="G2962" s="3">
        <v>149.97999999999999</v>
      </c>
      <c r="H2962" t="str">
        <f t="shared" si="56"/>
        <v>ACCT#72-5613 / 09032021</v>
      </c>
    </row>
    <row r="2963" spans="1:8" x14ac:dyDescent="0.25">
      <c r="A2963" t="s">
        <v>443</v>
      </c>
      <c r="B2963">
        <v>1290</v>
      </c>
      <c r="C2963" s="3">
        <v>276.51</v>
      </c>
      <c r="D2963" s="4">
        <v>44453</v>
      </c>
      <c r="E2963" t="str">
        <f>"202109145650"</f>
        <v>202109145650</v>
      </c>
      <c r="F2963" t="str">
        <f t="shared" ref="F2963:F2968" si="60">"ACCT#72-5613 / 09032021"</f>
        <v>ACCT#72-5613 / 09032021</v>
      </c>
      <c r="G2963" s="3">
        <v>276.51</v>
      </c>
      <c r="H2963" t="str">
        <f t="shared" si="56"/>
        <v>ACCT#72-5613 / 09032021</v>
      </c>
    </row>
    <row r="2964" spans="1:8" x14ac:dyDescent="0.25">
      <c r="A2964" t="s">
        <v>359</v>
      </c>
      <c r="B2964">
        <v>1317</v>
      </c>
      <c r="C2964" s="3">
        <v>2998.66</v>
      </c>
      <c r="D2964" s="4">
        <v>44453</v>
      </c>
      <c r="E2964" t="str">
        <f>"202109145674"</f>
        <v>202109145674</v>
      </c>
      <c r="F2964" t="str">
        <f t="shared" si="60"/>
        <v>ACCT#72-5613 / 09032021</v>
      </c>
      <c r="G2964" s="3">
        <v>2998.66</v>
      </c>
      <c r="H2964" t="str">
        <f t="shared" si="56"/>
        <v>ACCT#72-5613 / 09032021</v>
      </c>
    </row>
    <row r="2965" spans="1:8" x14ac:dyDescent="0.25">
      <c r="A2965" t="s">
        <v>444</v>
      </c>
      <c r="B2965">
        <v>1297</v>
      </c>
      <c r="C2965" s="3">
        <v>373.82</v>
      </c>
      <c r="D2965" s="4">
        <v>44453</v>
      </c>
      <c r="E2965" t="str">
        <f>"202109145656"</f>
        <v>202109145656</v>
      </c>
      <c r="F2965" t="str">
        <f t="shared" si="60"/>
        <v>ACCT#72-5613 / 09032021</v>
      </c>
      <c r="G2965" s="3">
        <v>373.82</v>
      </c>
      <c r="H2965" t="str">
        <f t="shared" si="56"/>
        <v>ACCT#72-5613 / 09032021</v>
      </c>
    </row>
    <row r="2966" spans="1:8" x14ac:dyDescent="0.25">
      <c r="A2966" t="s">
        <v>445</v>
      </c>
      <c r="B2966">
        <v>1306</v>
      </c>
      <c r="C2966" s="3">
        <v>432</v>
      </c>
      <c r="D2966" s="4">
        <v>44453</v>
      </c>
      <c r="E2966" t="str">
        <f>"202109145663"</f>
        <v>202109145663</v>
      </c>
      <c r="F2966" t="str">
        <f t="shared" si="60"/>
        <v>ACCT#72-5613 / 09032021</v>
      </c>
      <c r="G2966" s="3">
        <v>432</v>
      </c>
      <c r="H2966" t="str">
        <f t="shared" si="56"/>
        <v>ACCT#72-5613 / 09032021</v>
      </c>
    </row>
    <row r="2967" spans="1:8" x14ac:dyDescent="0.25">
      <c r="A2967" t="s">
        <v>425</v>
      </c>
      <c r="B2967">
        <v>1322</v>
      </c>
      <c r="C2967" s="3">
        <v>23.97</v>
      </c>
      <c r="D2967" s="4">
        <v>44453</v>
      </c>
      <c r="E2967" t="str">
        <f>"202109145688"</f>
        <v>202109145688</v>
      </c>
      <c r="F2967" t="str">
        <f t="shared" si="60"/>
        <v>ACCT#72-5613 / 09032021</v>
      </c>
      <c r="G2967" s="3">
        <v>23.97</v>
      </c>
      <c r="H2967" t="str">
        <f t="shared" si="56"/>
        <v>ACCT#72-5613 / 09032021</v>
      </c>
    </row>
    <row r="2968" spans="1:8" x14ac:dyDescent="0.25">
      <c r="A2968" t="s">
        <v>446</v>
      </c>
      <c r="B2968">
        <v>1321</v>
      </c>
      <c r="C2968" s="3">
        <v>29.75</v>
      </c>
      <c r="D2968" s="4">
        <v>44453</v>
      </c>
      <c r="E2968" t="str">
        <f>"202109145687"</f>
        <v>202109145687</v>
      </c>
      <c r="F2968" t="str">
        <f t="shared" si="60"/>
        <v>ACCT#72-5613 / 09032021</v>
      </c>
      <c r="G2968" s="3">
        <v>29.75</v>
      </c>
      <c r="H2968" t="str">
        <f t="shared" si="56"/>
        <v>ACCT#72-5613 / 09032021</v>
      </c>
    </row>
    <row r="2969" spans="1:8" ht="15.75" thickBot="1" x14ac:dyDescent="0.3">
      <c r="C2969" s="8">
        <f>SUM(C2:C2968)</f>
        <v>4391966.700000002</v>
      </c>
      <c r="G2969" s="8">
        <f>SUM(G2:G2968)</f>
        <v>4390721.700000003</v>
      </c>
    </row>
    <row r="2970" spans="1:8" ht="15.75" thickTop="1" x14ac:dyDescent="0.25"/>
  </sheetData>
  <autoFilter ref="A1:H296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2021-10-07T19:55:57Z</dcterms:created>
  <dcterms:modified xsi:type="dcterms:W3CDTF">2021-10-07T19:56:28Z</dcterms:modified>
</cp:coreProperties>
</file>