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AP-CHK-RPT-20210324" sheetId="1" r:id="rId1"/>
  </sheets>
  <definedNames>
    <definedName name="_xlnm._FilterDatabase" localSheetId="0" hidden="1">'AP-CHK-RPT-20210324'!$A$1:$H$2585</definedName>
  </definedNames>
  <calcPr calcId="152511"/>
</workbook>
</file>

<file path=xl/calcChain.xml><?xml version="1.0" encoding="utf-8"?>
<calcChain xmlns="http://schemas.openxmlformats.org/spreadsheetml/2006/main">
  <c r="G2586" i="1" l="1"/>
  <c r="C2586" i="1"/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</calcChain>
</file>

<file path=xl/sharedStrings.xml><?xml version="1.0" encoding="utf-8"?>
<sst xmlns="http://schemas.openxmlformats.org/spreadsheetml/2006/main" count="514" uniqueCount="415">
  <si>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</si>
  <si>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</si>
  <si>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</si>
  <si>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</si>
  <si>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</si>
  <si>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</si>
  <si>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</si>
  <si>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</si>
  <si>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</si>
  <si>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1ALL STAR ROLL OFF AND BACKHOE SERVICES LLC</t>
  </si>
  <si>
    <t>290 TOWING &amp; WRECKER SERVIECS</t>
  </si>
  <si>
    <t>304 CONSTRUCTION LLC</t>
  </si>
  <si>
    <t>973 MATERIALS  LLC</t>
  </si>
  <si>
    <t>A PLUS BAIL BONDS</t>
  </si>
  <si>
    <t>ARNOLD OIL COMPANY OF AUSTIN LP</t>
  </si>
  <si>
    <t>ADAM DAKOTA ROWINS</t>
  </si>
  <si>
    <t>ADENA LEWIS</t>
  </si>
  <si>
    <t>ADVANCED GRAPHIX INC</t>
  </si>
  <si>
    <t>ADVEXURE LLC</t>
  </si>
  <si>
    <t>AHERN RENTALS  INC.</t>
  </si>
  <si>
    <t>ALEPH YONKER</t>
  </si>
  <si>
    <t>TIMOTHY HALL</t>
  </si>
  <si>
    <t>ALLEN LASTOVICA</t>
  </si>
  <si>
    <t>AMAZON CAPITAL SERVICES INC</t>
  </si>
  <si>
    <t>AMAZON.COM LLC</t>
  </si>
  <si>
    <t>AMERICAN ASSN OF NOTARIES</t>
  </si>
  <si>
    <t>AMERISOURCEBERGEN</t>
  </si>
  <si>
    <t>AMG PRINTING &amp; MAILING  LLC</t>
  </si>
  <si>
    <t>ANDERSON &amp; ANDERSON LAW FIRM PC</t>
  </si>
  <si>
    <t>C APPLEMAN ENT INC</t>
  </si>
  <si>
    <t>AQUA BEVERAGE COMPANY/OZARKA</t>
  </si>
  <si>
    <t>AQUA WATER SUPPLY CORPORATION</t>
  </si>
  <si>
    <t>ARA / ST.DAVID'S IMAGING  LP</t>
  </si>
  <si>
    <t>ARCHITEXAS - ARCHITECTURE  PLANNING &amp; HISTORIC PRE</t>
  </si>
  <si>
    <t>THE ASSOCIATION OF RURAL COMMUNITIES IN TEXAS</t>
  </si>
  <si>
    <t>ASCENSION SETON</t>
  </si>
  <si>
    <t>ASHLEY HERMANS</t>
  </si>
  <si>
    <t>AT&amp;T</t>
  </si>
  <si>
    <t>AT&amp;T MOBILITY</t>
  </si>
  <si>
    <t>RICHARD ATWOOD</t>
  </si>
  <si>
    <t>THE AUBAINE SUPPLY COMPANY  INC</t>
  </si>
  <si>
    <t>AUSTIN FLAG AND FLAGPOLE</t>
  </si>
  <si>
    <t>AUSTIN REBUILDERS INC</t>
  </si>
  <si>
    <t>B&amp;M TOWING &amp; RECOVERY L.L.C.</t>
  </si>
  <si>
    <t>MICHAEL OLDHAM TIRE INC</t>
  </si>
  <si>
    <t>EDUARDO BARRIENTOS</t>
  </si>
  <si>
    <t>DEBORAH D. SPARKMAN</t>
  </si>
  <si>
    <t>BASTROP COUNTY SHERIFF'S DEPT</t>
  </si>
  <si>
    <t>335"</t>
  </si>
  <si>
    <t>896  09/25/20"</t>
  </si>
  <si>
    <t>DANIEL L HEPKER</t>
  </si>
  <si>
    <t>BASTROP COUNTY CARES</t>
  </si>
  <si>
    <t>BASTROP COUNTY TAX ASSESSOR</t>
  </si>
  <si>
    <t>BASTROP MEDICAL CLINIC</t>
  </si>
  <si>
    <t>BASTROP PROVIDENCE  LLC</t>
  </si>
  <si>
    <t>BASTROP VETERINARY HOSPITAL  INC.</t>
  </si>
  <si>
    <t>DAVID H OUTON</t>
  </si>
  <si>
    <t>BECK-REIT AND SONS  LTD</t>
  </si>
  <si>
    <t>BEN E KEITH CO.</t>
  </si>
  <si>
    <t>BERAN'S GIN MILL &amp; FEED CO  LP</t>
  </si>
  <si>
    <t>B C FOOD GROUP  LLC</t>
  </si>
  <si>
    <t>BIG WRENCH ROAD SERVICE INC</t>
  </si>
  <si>
    <t>BILLY DUTY</t>
  </si>
  <si>
    <t>BIMBO FOODS INC</t>
  </si>
  <si>
    <t>BLUEBONNET AREA CRIME STOPPERS PROGRAM</t>
  </si>
  <si>
    <t>BLUEBONNET ELECTRIC COOPERATIVE  INC.</t>
  </si>
  <si>
    <t>BLUEBONNET TRAILS MHMR</t>
  </si>
  <si>
    <t>BOEHM TRACTOR SALES INC</t>
  </si>
  <si>
    <t>BRAUNTEX MATERIALS INC</t>
  </si>
  <si>
    <t>BRAZORIA COUNTY SHERIFF</t>
  </si>
  <si>
    <t>LAW OFFICE OF BRYAN W. MCDANIEL  P.C.</t>
  </si>
  <si>
    <t>BUREAU OF VITAL STATISTICS</t>
  </si>
  <si>
    <t>BURLESON COUNTY SHERIFFS</t>
  </si>
  <si>
    <t>CAPITAL AREA EMERGENCY COMM DISTRICT</t>
  </si>
  <si>
    <t>CAPITOL BEARING SERVICE OF AUSTIN  INC.</t>
  </si>
  <si>
    <t>TIB-THE INDEPENDENT BANKERS BANK</t>
  </si>
  <si>
    <t>CHARLES W CARVER</t>
  </si>
  <si>
    <t>CHRIS MATT DILLON</t>
  </si>
  <si>
    <t>CINTAS</t>
  </si>
  <si>
    <t>CINTAS CORPORATION</t>
  </si>
  <si>
    <t>CISTERA NETWORKS  INC.</t>
  </si>
  <si>
    <t>CITIBANK</t>
  </si>
  <si>
    <t>CITY OF BASTROP</t>
  </si>
  <si>
    <t>CITY OF SMITHVILLE</t>
  </si>
  <si>
    <t>CLARENCE W HOFFMAN</t>
  </si>
  <si>
    <t>CLARKE KENT PLUMBING INC</t>
  </si>
  <si>
    <t>CLAYTON TOMES</t>
  </si>
  <si>
    <t>CLINICAL PATHOLOGY LABORATORIES INC</t>
  </si>
  <si>
    <t>CNA SURETY</t>
  </si>
  <si>
    <t>COCKERELL DERMATOPATHOLOGY  PA</t>
  </si>
  <si>
    <t>COLLIN COUNTY SHERIFF</t>
  </si>
  <si>
    <t>COLUMBUS EYE ASSOCIATES</t>
  </si>
  <si>
    <t>COMMUNITY COFFEE COMPANY LLC</t>
  </si>
  <si>
    <t>CONTECH ENGINEERED SOLUTIONS INC</t>
  </si>
  <si>
    <t>CONVERGENCE CABLING  INC.</t>
  </si>
  <si>
    <t>COOPER EQUIPMENT CO.</t>
  </si>
  <si>
    <t>BUTLER ANIMAL HEALTH HOLDING COMPANY  LLC</t>
  </si>
  <si>
    <t>CRAIG VINKLAREK</t>
  </si>
  <si>
    <t>CRESSIDA EVELYN KWOLEK  Ph.D.</t>
  </si>
  <si>
    <t>CROSSHAIRS TEXAS LLC</t>
  </si>
  <si>
    <t>CURTIS ALBRECHT</t>
  </si>
  <si>
    <t>CYDNEY CRIDER</t>
  </si>
  <si>
    <t>DALLAS COUNTY CONSTABLE PCT 1</t>
  </si>
  <si>
    <t>DARLON J. SOJAK</t>
  </si>
  <si>
    <t>DARRELL URBAN</t>
  </si>
  <si>
    <t>DAVE ERNST MUNDINE</t>
  </si>
  <si>
    <t>DAVID B BROOKS</t>
  </si>
  <si>
    <t>DAVID GONZALEZ</t>
  </si>
  <si>
    <t>DAVID M COLLINS</t>
  </si>
  <si>
    <t>DEAN DAIRY CORPORATE  LLC</t>
  </si>
  <si>
    <t>DEBBIE MORKORSKY</t>
  </si>
  <si>
    <t>DELL</t>
  </si>
  <si>
    <t>DENNIS D. ARTZ</t>
  </si>
  <si>
    <t>DENTRUST DENTAL TX PC</t>
  </si>
  <si>
    <t>DEREK STIFFLEMIRE</t>
  </si>
  <si>
    <t>DICKENS LOCKSMITH INC</t>
  </si>
  <si>
    <t>TEXAS DEPARTMENT OF INFORMATION RESOURCES</t>
  </si>
  <si>
    <t>DISCOUNT DOOR &amp; METAL  LLC</t>
  </si>
  <si>
    <t>THE REINALT - THOMAS CORPORATION</t>
  </si>
  <si>
    <t>DON YOUNG</t>
  </si>
  <si>
    <t>DONNY CEDILLO</t>
  </si>
  <si>
    <t>DOUBLE D INTERNATIONAL FOOD CO.  INC.</t>
  </si>
  <si>
    <t>KRISTI ARRINGTON KALLINA</t>
  </si>
  <si>
    <t>DRONESENSE  INC.</t>
  </si>
  <si>
    <t>DUNNE &amp; JUAREZ L.L.C.</t>
  </si>
  <si>
    <t>DAVID MCMULLEN</t>
  </si>
  <si>
    <t>EARL SCHULZ</t>
  </si>
  <si>
    <t>ECOLAB INC</t>
  </si>
  <si>
    <t>ELECTION CENTER</t>
  </si>
  <si>
    <t>ELECTION SYSTEMS &amp; SOFTWARE INC</t>
  </si>
  <si>
    <t>ELGIN FERTILIZER</t>
  </si>
  <si>
    <t>RALPH DAVID GLASS</t>
  </si>
  <si>
    <t>CITY OF ELGIN UTILITIES</t>
  </si>
  <si>
    <t>ELLIOTT ELECTRIC SUPPLY INC</t>
  </si>
  <si>
    <t>ERGON ASPHALT &amp; EMULSIONS INC</t>
  </si>
  <si>
    <t>EZTASK.COM INC.</t>
  </si>
  <si>
    <t>FAMILY HEALTH CENTER OF BASTROP PLLC</t>
  </si>
  <si>
    <t>FBI-LEEDA INC</t>
  </si>
  <si>
    <t>FLEETPRIDE</t>
  </si>
  <si>
    <t>AUSTIN TRUCK AND EQUIPMENT  LTD</t>
  </si>
  <si>
    <t>EUGENE W BRIGGS JR</t>
  </si>
  <si>
    <t>GALLS PARENT HOLDINGS LLC</t>
  </si>
  <si>
    <t>GARLAND T MURLEY</t>
  </si>
  <si>
    <t>GARY MORKORSKLAY</t>
  </si>
  <si>
    <t>GILBERT WETJEN</t>
  </si>
  <si>
    <t>GIPSON PENDERGRASS PEOPLE'S MORTUARY LLC</t>
  </si>
  <si>
    <t>GLENN GRUETZNER</t>
  </si>
  <si>
    <t>GRAINGER INC</t>
  </si>
  <si>
    <t>GT DISTRIBUTORS  INC.</t>
  </si>
  <si>
    <t>GULF COAST PAPER CO. INC.</t>
  </si>
  <si>
    <t>H&amp;H OIL  L.P.</t>
  </si>
  <si>
    <t>HALFF ASSOCIATES</t>
  </si>
  <si>
    <t>DOUGLAS D. SPILLMAN</t>
  </si>
  <si>
    <t>HARRIS COUNTY CONSTABLE PCT 1</t>
  </si>
  <si>
    <t>HAYS COUNTY CONSTABLE PCT 1</t>
  </si>
  <si>
    <t>HAYS COUNTY CONSTABLE PCT 4</t>
  </si>
  <si>
    <t>HEADSETS DIRECT INC.</t>
  </si>
  <si>
    <t>HENGST PRINTING &amp; SUPPLIES</t>
  </si>
  <si>
    <t>HERBERT J BARTSCH JR</t>
  </si>
  <si>
    <t>HI-LINE</t>
  </si>
  <si>
    <t>BASCOM L HODGES JR</t>
  </si>
  <si>
    <t>HODGSON G ECKEL</t>
  </si>
  <si>
    <t>HOLLY TUCKER</t>
  </si>
  <si>
    <t>BD HOLT CO</t>
  </si>
  <si>
    <t>CITIBANK (SOUTH DAKOTA)N.A./THE HOME DEPOT</t>
  </si>
  <si>
    <t>NORTHWEST CASCADE INC</t>
  </si>
  <si>
    <t>MARK DUBE</t>
  </si>
  <si>
    <t>AMERICAS EQUINE WAREHOUSE  INC.</t>
  </si>
  <si>
    <t>GREGORY LUCAS</t>
  </si>
  <si>
    <t>HYDRAULIC HOUSE INC</t>
  </si>
  <si>
    <t>IDEXX DISTRIBUTION INC</t>
  </si>
  <si>
    <t>INCIDENT RESPONSE TECHNOLOGIES INC</t>
  </si>
  <si>
    <t>INDIGENT HEALTHCARE SOLUTIONS</t>
  </si>
  <si>
    <t>INTAB  LLC</t>
  </si>
  <si>
    <t>INTERNATIONAL ECONOMIC DEVELOPMENT COUNCIL</t>
  </si>
  <si>
    <t>IRON MOUNTAIN RECORDS MGMT INC</t>
  </si>
  <si>
    <t>JAMES O. BURKE</t>
  </si>
  <si>
    <t>JAN LANGER  DVM</t>
  </si>
  <si>
    <t>JASON WOMACK</t>
  </si>
  <si>
    <t>JAY'S TIRE &amp; AUTOMOTIVE REPAIR INC</t>
  </si>
  <si>
    <t>JEFF BURNS</t>
  </si>
  <si>
    <t>JENKINS &amp; JENKINS LLP</t>
  </si>
  <si>
    <t>JEREMY RUTHERFORD</t>
  </si>
  <si>
    <t>JIMMY MATHISON</t>
  </si>
  <si>
    <t>JOE CHARLES FRERICH</t>
  </si>
  <si>
    <t>JOHN MENKE</t>
  </si>
  <si>
    <t>JOHN S. PHILLIPS</t>
  </si>
  <si>
    <t>JOHNNIE V THOMAS SR</t>
  </si>
  <si>
    <t>JOHNNY JOHNSTON</t>
  </si>
  <si>
    <t>JORDAN BATTERSBY  MCDONALD</t>
  </si>
  <si>
    <t>JORGE DIAZ SOSA</t>
  </si>
  <si>
    <t>JOSH WALLACE</t>
  </si>
  <si>
    <t>JUSTIN MATTHEW FOHN</t>
  </si>
  <si>
    <t>KADE BIGBEE</t>
  </si>
  <si>
    <t>KAYCI SCHULTZ WATSON</t>
  </si>
  <si>
    <t>KC KYSER</t>
  </si>
  <si>
    <t>KELLY-MOORE PAINT COMPANY  INC</t>
  </si>
  <si>
    <t>KEN FELIX</t>
  </si>
  <si>
    <t>KENNETH E. LIMUEL JR</t>
  </si>
  <si>
    <t>KENT BROUSSARD TOWER RENTAL INC</t>
  </si>
  <si>
    <t>KIMCO SERVICES  INC</t>
  </si>
  <si>
    <t>KLEIBER FORD TRACTOR  INC.</t>
  </si>
  <si>
    <t>KOETTER FIRE PROTECTION OF AUSTIN  LLC</t>
  </si>
  <si>
    <t>KOLTON CATCHINGS</t>
  </si>
  <si>
    <t>LONGHORN INTERNATIONAL TRUCKS LTD</t>
  </si>
  <si>
    <t>L&amp;W SAVVY SEPTIC LLC</t>
  </si>
  <si>
    <t>THE LA GRANGE PARTS HOUSE INC</t>
  </si>
  <si>
    <t>LABATT INSTITUTIONAL SUPPLY CO</t>
  </si>
  <si>
    <t>LANGFORD COMMUNITY MGMT INC</t>
  </si>
  <si>
    <t>LAURA ROBERTSON</t>
  </si>
  <si>
    <t>LEE COUNTY WATER SUPPLY CORP</t>
  </si>
  <si>
    <t>LEXISNEXIS RISK DATA MGMT INC</t>
  </si>
  <si>
    <t>LONE STAR CIRCLE OF CARE</t>
  </si>
  <si>
    <t>UNITED KWB COLLABORATIONS LLC</t>
  </si>
  <si>
    <t>LONNIE LAWRENCE DAVIS JR</t>
  </si>
  <si>
    <t>LORI STIFFLEMIRE</t>
  </si>
  <si>
    <t>SCOTT BRYANT</t>
  </si>
  <si>
    <t>TRUBAR  LLC</t>
  </si>
  <si>
    <t>LUKAS BURKLAND</t>
  </si>
  <si>
    <t>LYLA VINKLAREK</t>
  </si>
  <si>
    <t>LYN TURNER</t>
  </si>
  <si>
    <t>MARATHON FITNESS</t>
  </si>
  <si>
    <t>MARIA ANFOSSO</t>
  </si>
  <si>
    <t>MARIA SALAZAR &amp; ROGELIA CASAS</t>
  </si>
  <si>
    <t>MARK HANNA</t>
  </si>
  <si>
    <t>MARK PERES</t>
  </si>
  <si>
    <t>MARK T. MALONE  M.D. P.A</t>
  </si>
  <si>
    <t>JOHN W GASPARINI INC</t>
  </si>
  <si>
    <t>MARY BETH SCOTT</t>
  </si>
  <si>
    <t>MATHESON TRI-GAS INC</t>
  </si>
  <si>
    <t>McCREARY  VESELKA  BRAGG &amp; ALLEN P</t>
  </si>
  <si>
    <t>499"</t>
  </si>
  <si>
    <t>McKESSON MEDICAL-SURGIVAL GOVERNMENT SOLUTIONS LLC</t>
  </si>
  <si>
    <t>MEDIMPACT HEALTHCARE SYSTEMS INC</t>
  </si>
  <si>
    <t>MELLANIE MICKELSON</t>
  </si>
  <si>
    <t>MELVIN EVANS</t>
  </si>
  <si>
    <t>MICHELE FRITSCHE C.S.R.</t>
  </si>
  <si>
    <t>MICHELLE ROD</t>
  </si>
  <si>
    <t>MIDTEX MATERIALS</t>
  </si>
  <si>
    <t>MIKE HOFFEREK</t>
  </si>
  <si>
    <t>MOTOROLA SOLUTIONS  IN.C</t>
  </si>
  <si>
    <t>MOUNTAIN WEST DERM-AUSTIN PLLC</t>
  </si>
  <si>
    <t>EK&amp;R ENTERPRISES  INC</t>
  </si>
  <si>
    <t>MUSTANG MACHINERY COMPANY LTD</t>
  </si>
  <si>
    <t>NALLEY HVAC MECHANICAL LLC</t>
  </si>
  <si>
    <t>INTERNATIONAL IDENTIFICATION INC.</t>
  </si>
  <si>
    <t>NATIONAL FOOD GROUP INC</t>
  </si>
  <si>
    <t>NICK SHELLY</t>
  </si>
  <si>
    <t>NUECES FARM CENTER</t>
  </si>
  <si>
    <t>O'REILLY AUTOMOTIVE  INC.</t>
  </si>
  <si>
    <t>OFFICE DEPOT</t>
  </si>
  <si>
    <t>ROGER C. OSBORN</t>
  </si>
  <si>
    <t>OSKAR NISIMBLAT</t>
  </si>
  <si>
    <t>OTTO MAROSKO</t>
  </si>
  <si>
    <t>P SQUARED EMULSION PLANTS  LLC</t>
  </si>
  <si>
    <t>PAPER RETRIEVER OF TEXAS</t>
  </si>
  <si>
    <t>PATRICK ELECTRIC SERVICE</t>
  </si>
  <si>
    <t>PATTERSON  VETERINARY SUPPLY INC</t>
  </si>
  <si>
    <t>PAUL GRANADO</t>
  </si>
  <si>
    <t>PAUL SWOYER SEPTICS  LLC</t>
  </si>
  <si>
    <t>PHILIP R DUCLOUX</t>
  </si>
  <si>
    <t>PHILLIP N. SLAUGHTER</t>
  </si>
  <si>
    <t>CLYDE HAYWOOD SR</t>
  </si>
  <si>
    <t>POST OAK HARDWARE  INC.</t>
  </si>
  <si>
    <t>POSTMASTER</t>
  </si>
  <si>
    <t>JOHN DEERE FINANCIAL f.s.b.</t>
  </si>
  <si>
    <t>PRODUCTIVITY CENTER INC</t>
  </si>
  <si>
    <t>ELGIN PROVIDENCE LLC</t>
  </si>
  <si>
    <t>RALPH E. GAULDING  SR.</t>
  </si>
  <si>
    <t>RANDY REED</t>
  </si>
  <si>
    <t>MADTEX  INC.</t>
  </si>
  <si>
    <t>NESTLE WATERS N AMERICA INC</t>
  </si>
  <si>
    <t>REBECCA STRNAD</t>
  </si>
  <si>
    <t>NRG ENERGY INC</t>
  </si>
  <si>
    <t>RESERVE ACCOUNT</t>
  </si>
  <si>
    <t>RIATA FORD</t>
  </si>
  <si>
    <t>RICOH USA INC</t>
  </si>
  <si>
    <t>RUNKLE ENTERPRISES</t>
  </si>
  <si>
    <t>ROADRUNNER PHARMACY  INC.</t>
  </si>
  <si>
    <t>ROADRUNNER RADIOLOGY EQUIP LLC</t>
  </si>
  <si>
    <t>ROBERT MADDEN INDUSTRIES LTD</t>
  </si>
  <si>
    <t>ROCKY ROAD PRINTING</t>
  </si>
  <si>
    <t>RONALD WOLF</t>
  </si>
  <si>
    <t>ROSE PIETSCH COUNTY CLERK</t>
  </si>
  <si>
    <t>RUSH TRUCK CENTERS OF TEXAS  LP</t>
  </si>
  <si>
    <t>SAMMY LERMA III MD</t>
  </si>
  <si>
    <t>SAMMY REESE</t>
  </si>
  <si>
    <t>SAN PATRICIO COUNTY</t>
  </si>
  <si>
    <t>SARA WILEY</t>
  </si>
  <si>
    <t>SARAH STRONG</t>
  </si>
  <si>
    <t>SAUL NAVELLA HINOJOSA</t>
  </si>
  <si>
    <t>SCOTT &amp; WHITE CLINIC</t>
  </si>
  <si>
    <t>SECURUS TECHNOLOGIES INC</t>
  </si>
  <si>
    <t>SETON FAMILY OF HOSPITALS</t>
  </si>
  <si>
    <t>SETON HEALTHCARE SPONSORED PROJECTS</t>
  </si>
  <si>
    <t>FERRELLGAS  LP</t>
  </si>
  <si>
    <t>SHI GOVERNMENT SOLUTIONS INC.</t>
  </si>
  <si>
    <t>SHRED-IT US HOLDCO  INC</t>
  </si>
  <si>
    <t>SILSBEE FORD</t>
  </si>
  <si>
    <t>SINGLETON ASSOCIATES  PA</t>
  </si>
  <si>
    <t>AFCOMM LLC</t>
  </si>
  <si>
    <t>SMITH STORES  INC.</t>
  </si>
  <si>
    <t>SMITHVILLE AREA CHAMBER OF COMMERCE</t>
  </si>
  <si>
    <t>SMITHVILLE AUTO PARTS  INC</t>
  </si>
  <si>
    <t>SOUTHERN COMPUTER WAREHOUSE INC</t>
  </si>
  <si>
    <t>SOUTHERN TIRE MART LLC</t>
  </si>
  <si>
    <t>SPECIALTY VETERINARY PHARMACY INC</t>
  </si>
  <si>
    <t>SRIDHAR P REDDY MD PA</t>
  </si>
  <si>
    <t>ST DAVID'S HEALTHCARE PARTNERSHIP</t>
  </si>
  <si>
    <t>STAPLES  INC.</t>
  </si>
  <si>
    <t>STATE OF TEXAS</t>
  </si>
  <si>
    <t>STEPHEN A. THORNE  PHD  PLLC</t>
  </si>
  <si>
    <t>STEPHEN R BECK</t>
  </si>
  <si>
    <t>STEVE GRANADO</t>
  </si>
  <si>
    <t>MATTHEW LEE SULLINS</t>
  </si>
  <si>
    <t>SUN COAST RESOURCES</t>
  </si>
  <si>
    <t>SUNSHIELD WINDOW TINTING</t>
  </si>
  <si>
    <t>SUSAN PRIHODA</t>
  </si>
  <si>
    <t>T. PAT PUGH</t>
  </si>
  <si>
    <t>TAMARA BATOT</t>
  </si>
  <si>
    <t>TAVCO SERVICES INC</t>
  </si>
  <si>
    <t>TEXAS DISTRICT &amp; COUNTY ATTORNEYS ASSOCIATION</t>
  </si>
  <si>
    <t>TEJAS ELEVATOR COMPANY</t>
  </si>
  <si>
    <t>TERRILL L FLENNIKEN</t>
  </si>
  <si>
    <t>TERRY NEIDIG</t>
  </si>
  <si>
    <t>JOHN J FIETSAM INC</t>
  </si>
  <si>
    <t>TEX-CON OIL CO</t>
  </si>
  <si>
    <t>TEXAN EYE  P.A.</t>
  </si>
  <si>
    <t>TEXAS ASSOCIATES INSURORS AGENCY</t>
  </si>
  <si>
    <t>TEXAS ASSOCIATION OF COUNTIES</t>
  </si>
  <si>
    <t>TEXAS ASSOCIATION OF ELECTIONS ADMINISTRATORS</t>
  </si>
  <si>
    <t>TEXAS CORRUGATORS INC</t>
  </si>
  <si>
    <t>TEXAS DEPT OF PUBLIC SAFETY</t>
  </si>
  <si>
    <t>TEXAS DISPOSAL SYSTEMS  INC.</t>
  </si>
  <si>
    <t>TXFACT  LLC</t>
  </si>
  <si>
    <t>TEXAS MATERIALS GROUP  INC.</t>
  </si>
  <si>
    <t>TEXAS PARKS &amp; WILDLIFE DEPARTMENT</t>
  </si>
  <si>
    <t>TEXAS VISION CLINIC  PLLC</t>
  </si>
  <si>
    <t>BUG MASTER EXTERMINATING SERVICES  LTD</t>
  </si>
  <si>
    <t>JAMES ANDREW CASEY</t>
  </si>
  <si>
    <t>SANDRA FAYE ROBINSON</t>
  </si>
  <si>
    <t>RICHARD NELSON MOORE</t>
  </si>
  <si>
    <t>THE NITSCHE GROUP</t>
  </si>
  <si>
    <t>WEST PUBLISHING CORPORATION</t>
  </si>
  <si>
    <t>TIM MAHONEY  ATTORNEY AT LAW  PC</t>
  </si>
  <si>
    <t>TWE-ADVANCE/NEWHOUSE PARTNERSHIP</t>
  </si>
  <si>
    <t>TINNER STEPHENS</t>
  </si>
  <si>
    <t>TELVA D KESLER</t>
  </si>
  <si>
    <t>TRACTOR SUPPLY CREDIT PLAN</t>
  </si>
  <si>
    <t>TRANE</t>
  </si>
  <si>
    <t>TRAVIS COUNTY CONSTABLE PCT 5</t>
  </si>
  <si>
    <t>TRAVIS COUNTY EMERGENCY PHYSICIANS PA</t>
  </si>
  <si>
    <t>TRAVIS COUNTY MEDICAL EXAMINER</t>
  </si>
  <si>
    <t>TRENTON KAISER</t>
  </si>
  <si>
    <t>TREY MOORE</t>
  </si>
  <si>
    <t>SETON FAMILY OF DOCTORS</t>
  </si>
  <si>
    <t>DANIEL J LADD  DO PA</t>
  </si>
  <si>
    <t>TULL FARLEY</t>
  </si>
  <si>
    <t>TYLER TECHNOLOGIES INC</t>
  </si>
  <si>
    <t>COUFAL-PRATER EQUIPMENT  LLC</t>
  </si>
  <si>
    <t>VERMEER EQUIPMENT OF TEXAS  INC.</t>
  </si>
  <si>
    <t>VINCENT J. UHDE</t>
  </si>
  <si>
    <t>TEXAS DEPARTMENT OF STATE HEALTH SERVICES</t>
  </si>
  <si>
    <t>VIVIAN PAN</t>
  </si>
  <si>
    <t>US BANK NA</t>
  </si>
  <si>
    <t>VTX COMMUNICATIONS  LLC</t>
  </si>
  <si>
    <t>WAGEWORKS INC  FSA/HSA</t>
  </si>
  <si>
    <t>WALKER COUNTY CONSTABLE  PCT 2</t>
  </si>
  <si>
    <t>WALLER COUNTY ASPHALT INC</t>
  </si>
  <si>
    <t>WASHING EQUIPMENT OF TEXAS</t>
  </si>
  <si>
    <t>WASTE CONNECTIONS LONE STAR. INC.</t>
  </si>
  <si>
    <t>WASTE MANAGEMENT OF TEXAS  INC</t>
  </si>
  <si>
    <t>WATCH GUARD VIDEO</t>
  </si>
  <si>
    <t>WIND KNOT INCORPORATED</t>
  </si>
  <si>
    <t>WENDY BEST</t>
  </si>
  <si>
    <t>LEYLA YATIM-ALIN</t>
  </si>
  <si>
    <t>MAO PHARMACY INC</t>
  </si>
  <si>
    <t>WILLIAM L BACA</t>
  </si>
  <si>
    <t>WILLIAMSON COUNTY CONSTABLE PCT 3</t>
  </si>
  <si>
    <t>WILLIE SCHINDLER</t>
  </si>
  <si>
    <t>ZOETIS US LLC</t>
  </si>
  <si>
    <t>CDW GOVERNMENT INC</t>
  </si>
  <si>
    <t>CITY OF AUSTIN</t>
  </si>
  <si>
    <t>FIRST NATIONAL BANK</t>
  </si>
  <si>
    <t>REAX ENGINEERING  INC.</t>
  </si>
  <si>
    <t>SARAH D. JACKSON</t>
  </si>
  <si>
    <t>ST.DAVID'S HEALTHCARE PARTNERSHIP</t>
  </si>
  <si>
    <t>TEXAS DIVISION OF EMERGENCY MANAGEMENT</t>
  </si>
  <si>
    <t>TEXAS STATE UNIVERSITY</t>
  </si>
  <si>
    <t>THOMAS BETTES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</si>
  <si>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</si>
  <si>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</si>
  <si>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</si>
  <si>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</si>
  <si>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</si>
  <si>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GUARDIAN</t>
  </si>
  <si>
    <t>IRS-PAYROLL TAXES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</si>
  <si>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</si>
  <si>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</si>
  <si>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</si>
  <si>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</si>
  <si>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</si>
  <si>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</si>
  <si>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AUSTIN PLASTICS &amp; SUPPLY INC.</t>
  </si>
  <si>
    <t>JIM ATTRA INC</t>
  </si>
  <si>
    <t>CARHARTT  INC.</t>
  </si>
  <si>
    <t>FERGUSON ENTERPRISES  INC.</t>
  </si>
  <si>
    <t>LABOR LAW CENTER  INC.</t>
  </si>
  <si>
    <t>LOWE'S</t>
  </si>
  <si>
    <t>McCOY'S BUILDING SUPPLY CENTER</t>
  </si>
  <si>
    <t>NATIONAL EMERGENCY NUMBER ASSOCIATION</t>
  </si>
  <si>
    <t>TEXAS A&amp;M ENGINEERING EXTENSION SERVICE</t>
  </si>
  <si>
    <t>TX COMMISSION ON ENVIRONMENTAL QUAL</t>
  </si>
  <si>
    <t>WAL-MART  BASTROP</t>
  </si>
  <si>
    <t>HENRY SCHEIN 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</si>
</sst>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mm/d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42" applyFont="1"/>
    <xf numFmtId="0" fontId="18" fillId="0" borderId="0" xfId="0" applyFont="1"/>
    <xf numFmtId="43" fontId="18" fillId="0" borderId="0" xfId="42" applyFont="1"/>
    <xf numFmtId="165" fontId="18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3" fontId="0" fillId="0" borderId="10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7"/>
  <sheetViews>
    <sheetView tabSelected="1" workbookViewId="0"/>
  </sheetViews>
  <sheetFormatPr defaultRowHeight="15" x14ac:dyDescent="0.25"/>
  <cols>
    <col min="1" max="1" width="56.7109375" bestFit="1" customWidth="1"/>
    <col min="2" max="2" width="10" bestFit="1" customWidth="1"/>
    <col min="3" max="3" width="17.7109375" style="1" bestFit="1" customWidth="1"/>
    <col min="4" max="4" width="15.42578125" style="5" bestFit="1" customWidth="1"/>
    <col min="5" max="5" width="19.42578125" bestFit="1" customWidth="1"/>
    <col min="6" max="6" width="35.85546875" bestFit="1" customWidth="1"/>
    <col min="7" max="7" width="19.7109375" style="1" bestFit="1" customWidth="1"/>
    <col min="8" max="8" width="35.85546875" bestFit="1" customWidth="1"/>
  </cols>
  <sheetData>
    <row r="1" spans="1:8" s="2" customFormat="1" x14ac:dyDescent="0.25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3" t="s">
        <v>6</v>
      </c>
      <c r="H1" s="2" t="s">
        <v>7</v>
      </c>
    </row>
    <row r="2" spans="1:8" x14ac:dyDescent="0.25">
      <c r="A2" t="s">
        <v>8</v>
      </c>
      <c r="B2">
        <v>133691</v>
      </c>
      <c r="C2" s="1">
        <v>15</v>
      </c>
      <c r="D2" s="5">
        <v>44158</v>
      </c>
      <c r="E2" t="str">
        <f>"202011170070"</f>
        <v>202011170070</v>
      </c>
      <c r="F2" t="str">
        <f>"REIMBURSE BAIL BOND STICKERS"</f>
        <v>REIMBURSE BAIL BOND STICKERS</v>
      </c>
      <c r="G2" s="1">
        <v>15</v>
      </c>
      <c r="H2" t="str">
        <f>"REIMBURSE BAIL BOND STICKERS"</f>
        <v>REIMBURSE BAIL BOND STICKERS</v>
      </c>
    </row>
    <row r="3" spans="1:8" x14ac:dyDescent="0.25">
      <c r="A3" t="s">
        <v>9</v>
      </c>
      <c r="B3">
        <v>133567</v>
      </c>
      <c r="C3" s="1">
        <v>2200</v>
      </c>
      <c r="D3" s="5">
        <v>44144</v>
      </c>
      <c r="E3" t="str">
        <f>"1614"</f>
        <v>1614</v>
      </c>
      <c r="F3" t="str">
        <f>"30 YD DUMPSTERS/PCT#2"</f>
        <v>30 YD DUMPSTERS/PCT#2</v>
      </c>
      <c r="G3" s="1">
        <v>2200</v>
      </c>
      <c r="H3" t="str">
        <f>"30 YD DUMPSTERS/PCT#2"</f>
        <v>30 YD DUMPSTERS/PCT#2</v>
      </c>
    </row>
    <row r="4" spans="1:8" x14ac:dyDescent="0.25">
      <c r="A4" t="s">
        <v>10</v>
      </c>
      <c r="B4">
        <v>133692</v>
      </c>
      <c r="C4" s="1">
        <v>150</v>
      </c>
      <c r="D4" s="5">
        <v>44158</v>
      </c>
      <c r="E4" t="str">
        <f>"0404"</f>
        <v>0404</v>
      </c>
      <c r="F4" t="str">
        <f>"INV 0404"</f>
        <v>INV 0404</v>
      </c>
      <c r="G4" s="1">
        <v>150</v>
      </c>
      <c r="H4" t="str">
        <f>"INV 0404"</f>
        <v>INV 0404</v>
      </c>
    </row>
    <row r="5" spans="1:8" x14ac:dyDescent="0.25">
      <c r="A5" t="s">
        <v>11</v>
      </c>
      <c r="B5">
        <v>3472</v>
      </c>
      <c r="C5" s="1">
        <v>32070</v>
      </c>
      <c r="D5" s="5">
        <v>44145</v>
      </c>
      <c r="E5" t="str">
        <f>"1052 -20"</f>
        <v>1052 -20</v>
      </c>
      <c r="F5" t="str">
        <f>"PROJ:RFB 20BCP08H"</f>
        <v>PROJ:RFB 20BCP08H</v>
      </c>
      <c r="G5" s="1">
        <v>3207</v>
      </c>
      <c r="H5" t="str">
        <f>"PROJ:RFB 20BCP08H"</f>
        <v>PROJ:RFB 20BCP08H</v>
      </c>
    </row>
    <row r="6" spans="1:8" x14ac:dyDescent="0.25">
      <c r="E6" t="str">
        <f>"1052-20"</f>
        <v>1052-20</v>
      </c>
      <c r="F6" t="str">
        <f>"PROJ:RFB 20BCP08H"</f>
        <v>PROJ:RFB 20BCP08H</v>
      </c>
      <c r="G6" s="1">
        <v>28863</v>
      </c>
      <c r="H6" t="str">
        <f>"PROJ:RFB 20BCP08H"</f>
        <v>PROJ:RFB 20BCP08H</v>
      </c>
    </row>
    <row r="7" spans="1:8" x14ac:dyDescent="0.25">
      <c r="A7" t="s">
        <v>12</v>
      </c>
      <c r="B7">
        <v>3469</v>
      </c>
      <c r="C7" s="1">
        <v>30108.76</v>
      </c>
      <c r="D7" s="5">
        <v>44145</v>
      </c>
      <c r="E7" t="str">
        <f>"9725-001-118437"</f>
        <v>9725-001-118437</v>
      </c>
      <c r="F7" t="str">
        <f t="shared" ref="F7:F26" si="0">"ACCT#9725-001/REC BASE/PCT#2"</f>
        <v>ACCT#9725-001/REC BASE/PCT#2</v>
      </c>
      <c r="G7" s="1">
        <v>1203.22</v>
      </c>
      <c r="H7" t="str">
        <f t="shared" ref="H7:H26" si="1">"ACCT#9725-001/REC BASE/PCT#2"</f>
        <v>ACCT#9725-001/REC BASE/PCT#2</v>
      </c>
    </row>
    <row r="8" spans="1:8" x14ac:dyDescent="0.25">
      <c r="E8" t="str">
        <f>"9725-001-118462"</f>
        <v>9725-001-118462</v>
      </c>
      <c r="F8" t="str">
        <f t="shared" si="0"/>
        <v>ACCT#9725-001/REC BASE/PCT#2</v>
      </c>
      <c r="G8" s="1">
        <v>1658.04</v>
      </c>
      <c r="H8" t="str">
        <f t="shared" si="1"/>
        <v>ACCT#9725-001/REC BASE/PCT#2</v>
      </c>
    </row>
    <row r="9" spans="1:8" x14ac:dyDescent="0.25">
      <c r="E9" t="str">
        <f>"9725-001-118483"</f>
        <v>9725-001-118483</v>
      </c>
      <c r="F9" t="str">
        <f t="shared" si="0"/>
        <v>ACCT#9725-001/REC BASE/PCT#2</v>
      </c>
      <c r="G9" s="1">
        <v>1513.42</v>
      </c>
      <c r="H9" t="str">
        <f t="shared" si="1"/>
        <v>ACCT#9725-001/REC BASE/PCT#2</v>
      </c>
    </row>
    <row r="10" spans="1:8" x14ac:dyDescent="0.25">
      <c r="E10" t="str">
        <f>"9725-001-118510"</f>
        <v>9725-001-118510</v>
      </c>
      <c r="F10" t="str">
        <f t="shared" si="0"/>
        <v>ACCT#9725-001/REC BASE/PCT#2</v>
      </c>
      <c r="G10" s="1">
        <v>412.56</v>
      </c>
      <c r="H10" t="str">
        <f t="shared" si="1"/>
        <v>ACCT#9725-001/REC BASE/PCT#2</v>
      </c>
    </row>
    <row r="11" spans="1:8" x14ac:dyDescent="0.25">
      <c r="E11" t="str">
        <f>"9725-001-118536"</f>
        <v>9725-001-118536</v>
      </c>
      <c r="F11" t="str">
        <f t="shared" si="0"/>
        <v>ACCT#9725-001/REC BASE/PCT#2</v>
      </c>
      <c r="G11" s="1">
        <v>609.16999999999996</v>
      </c>
      <c r="H11" t="str">
        <f t="shared" si="1"/>
        <v>ACCT#9725-001/REC BASE/PCT#2</v>
      </c>
    </row>
    <row r="12" spans="1:8" x14ac:dyDescent="0.25">
      <c r="E12" t="str">
        <f>"9725-001-118555"</f>
        <v>9725-001-118555</v>
      </c>
      <c r="F12" t="str">
        <f t="shared" si="0"/>
        <v>ACCT#9725-001/REC BASE/PCT#2</v>
      </c>
      <c r="G12" s="1">
        <v>1010.55</v>
      </c>
      <c r="H12" t="str">
        <f t="shared" si="1"/>
        <v>ACCT#9725-001/REC BASE/PCT#2</v>
      </c>
    </row>
    <row r="13" spans="1:8" x14ac:dyDescent="0.25">
      <c r="E13" t="str">
        <f>"9725-001-118579"</f>
        <v>9725-001-118579</v>
      </c>
      <c r="F13" t="str">
        <f t="shared" si="0"/>
        <v>ACCT#9725-001/REC BASE/PCT#2</v>
      </c>
      <c r="G13" s="1">
        <v>979.48</v>
      </c>
      <c r="H13" t="str">
        <f t="shared" si="1"/>
        <v>ACCT#9725-001/REC BASE/PCT#2</v>
      </c>
    </row>
    <row r="14" spans="1:8" x14ac:dyDescent="0.25">
      <c r="E14" t="str">
        <f>"9725-001-118603"</f>
        <v>9725-001-118603</v>
      </c>
      <c r="F14" t="str">
        <f t="shared" si="0"/>
        <v>ACCT#9725-001/REC BASE/PCT#2</v>
      </c>
      <c r="G14" s="1">
        <v>1236.81</v>
      </c>
      <c r="H14" t="str">
        <f t="shared" si="1"/>
        <v>ACCT#9725-001/REC BASE/PCT#2</v>
      </c>
    </row>
    <row r="15" spans="1:8" x14ac:dyDescent="0.25">
      <c r="E15" t="str">
        <f>"9725-001-118630"</f>
        <v>9725-001-118630</v>
      </c>
      <c r="F15" t="str">
        <f t="shared" si="0"/>
        <v>ACCT#9725-001/REC BASE/PCT#2</v>
      </c>
      <c r="G15" s="1">
        <v>1060.78</v>
      </c>
      <c r="H15" t="str">
        <f t="shared" si="1"/>
        <v>ACCT#9725-001/REC BASE/PCT#2</v>
      </c>
    </row>
    <row r="16" spans="1:8" x14ac:dyDescent="0.25">
      <c r="E16" t="str">
        <f>"9725-001-118654"</f>
        <v>9725-001-118654</v>
      </c>
      <c r="F16" t="str">
        <f t="shared" si="0"/>
        <v>ACCT#9725-001/REC BASE/PCT#2</v>
      </c>
      <c r="G16" s="1">
        <v>812</v>
      </c>
      <c r="H16" t="str">
        <f t="shared" si="1"/>
        <v>ACCT#9725-001/REC BASE/PCT#2</v>
      </c>
    </row>
    <row r="17" spans="5:8" x14ac:dyDescent="0.25">
      <c r="E17" t="str">
        <f>"9725-001-118682"</f>
        <v>9725-001-118682</v>
      </c>
      <c r="F17" t="str">
        <f t="shared" si="0"/>
        <v>ACCT#9725-001/REC BASE/PCT#2</v>
      </c>
      <c r="G17" s="1">
        <v>603.84</v>
      </c>
      <c r="H17" t="str">
        <f t="shared" si="1"/>
        <v>ACCT#9725-001/REC BASE/PCT#2</v>
      </c>
    </row>
    <row r="18" spans="5:8" x14ac:dyDescent="0.25">
      <c r="E18" t="str">
        <f>"9725-001-118711"</f>
        <v>9725-001-118711</v>
      </c>
      <c r="F18" t="str">
        <f t="shared" si="0"/>
        <v>ACCT#9725-001/REC BASE/PCT#2</v>
      </c>
      <c r="G18" s="1">
        <v>1412.26</v>
      </c>
      <c r="H18" t="str">
        <f t="shared" si="1"/>
        <v>ACCT#9725-001/REC BASE/PCT#2</v>
      </c>
    </row>
    <row r="19" spans="5:8" x14ac:dyDescent="0.25">
      <c r="E19" t="str">
        <f>"9725-001-118733"</f>
        <v>9725-001-118733</v>
      </c>
      <c r="F19" t="str">
        <f t="shared" si="0"/>
        <v>ACCT#9725-001/REC BASE/PCT#2</v>
      </c>
      <c r="G19" s="1">
        <v>1035.3900000000001</v>
      </c>
      <c r="H19" t="str">
        <f t="shared" si="1"/>
        <v>ACCT#9725-001/REC BASE/PCT#2</v>
      </c>
    </row>
    <row r="20" spans="5:8" x14ac:dyDescent="0.25">
      <c r="E20" t="str">
        <f>"9725-001-118755"</f>
        <v>9725-001-118755</v>
      </c>
      <c r="F20" t="str">
        <f t="shared" si="0"/>
        <v>ACCT#9725-001/REC BASE/PCT#2</v>
      </c>
      <c r="G20" s="1">
        <v>645.66999999999996</v>
      </c>
      <c r="H20" t="str">
        <f t="shared" si="1"/>
        <v>ACCT#9725-001/REC BASE/PCT#2</v>
      </c>
    </row>
    <row r="21" spans="5:8" x14ac:dyDescent="0.25">
      <c r="E21" t="str">
        <f>"9725-001-118777"</f>
        <v>9725-001-118777</v>
      </c>
      <c r="F21" t="str">
        <f t="shared" si="0"/>
        <v>ACCT#9725-001/REC BASE/PCT#2</v>
      </c>
      <c r="G21" s="1">
        <v>1497.31</v>
      </c>
      <c r="H21" t="str">
        <f t="shared" si="1"/>
        <v>ACCT#9725-001/REC BASE/PCT#2</v>
      </c>
    </row>
    <row r="22" spans="5:8" x14ac:dyDescent="0.25">
      <c r="E22" t="str">
        <f>"9725-001-118792"</f>
        <v>9725-001-118792</v>
      </c>
      <c r="F22" t="str">
        <f t="shared" si="0"/>
        <v>ACCT#9725-001/REC BASE/PCT#2</v>
      </c>
      <c r="G22" s="1">
        <v>1250.55</v>
      </c>
      <c r="H22" t="str">
        <f t="shared" si="1"/>
        <v>ACCT#9725-001/REC BASE/PCT#2</v>
      </c>
    </row>
    <row r="23" spans="5:8" x14ac:dyDescent="0.25">
      <c r="E23" t="str">
        <f>"9725-001-118821"</f>
        <v>9725-001-118821</v>
      </c>
      <c r="F23" t="str">
        <f t="shared" si="0"/>
        <v>ACCT#9725-001/REC BASE/PCT#2</v>
      </c>
      <c r="G23" s="1">
        <v>627.11</v>
      </c>
      <c r="H23" t="str">
        <f t="shared" si="1"/>
        <v>ACCT#9725-001/REC BASE/PCT#2</v>
      </c>
    </row>
    <row r="24" spans="5:8" x14ac:dyDescent="0.25">
      <c r="E24" t="str">
        <f>"9725-001-118844"</f>
        <v>9725-001-118844</v>
      </c>
      <c r="F24" t="str">
        <f t="shared" si="0"/>
        <v>ACCT#9725-001/REC BASE/PCT#2</v>
      </c>
      <c r="G24" s="1">
        <v>594.83000000000004</v>
      </c>
      <c r="H24" t="str">
        <f t="shared" si="1"/>
        <v>ACCT#9725-001/REC BASE/PCT#2</v>
      </c>
    </row>
    <row r="25" spans="5:8" x14ac:dyDescent="0.25">
      <c r="E25" t="str">
        <f>"9725-001-118860"</f>
        <v>9725-001-118860</v>
      </c>
      <c r="F25" t="str">
        <f t="shared" si="0"/>
        <v>ACCT#9725-001/REC BASE/PCT#2</v>
      </c>
      <c r="G25" s="1">
        <v>1470.46</v>
      </c>
      <c r="H25" t="str">
        <f t="shared" si="1"/>
        <v>ACCT#9725-001/REC BASE/PCT#2</v>
      </c>
    </row>
    <row r="26" spans="5:8" x14ac:dyDescent="0.25">
      <c r="E26" t="str">
        <f>"9725-001-118878"</f>
        <v>9725-001-118878</v>
      </c>
      <c r="F26" t="str">
        <f t="shared" si="0"/>
        <v>ACCT#9725-001/REC BASE/PCT#2</v>
      </c>
      <c r="G26" s="1">
        <v>1264.73</v>
      </c>
      <c r="H26" t="str">
        <f t="shared" si="1"/>
        <v>ACCT#9725-001/REC BASE/PCT#2</v>
      </c>
    </row>
    <row r="27" spans="5:8" x14ac:dyDescent="0.25">
      <c r="E27" t="str">
        <f>"9725-004-118803"</f>
        <v>9725-004-118803</v>
      </c>
      <c r="F27" t="str">
        <f>"ACCT#9725-004/REC BASE/PCT#1"</f>
        <v>ACCT#9725-004/REC BASE/PCT#1</v>
      </c>
      <c r="G27" s="1">
        <v>609.96</v>
      </c>
      <c r="H27" t="str">
        <f>"ACCT#9725-004/REC BASE/PCT#1"</f>
        <v>ACCT#9725-004/REC BASE/PCT#1</v>
      </c>
    </row>
    <row r="28" spans="5:8" x14ac:dyDescent="0.25">
      <c r="E28" t="str">
        <f>"9725-004-118829"</f>
        <v>9725-004-118829</v>
      </c>
      <c r="F28" t="str">
        <f>"ACCT#9725-004/REC BASE/PCT#1"</f>
        <v>ACCT#9725-004/REC BASE/PCT#1</v>
      </c>
      <c r="G28" s="1">
        <v>487.03</v>
      </c>
      <c r="H28" t="str">
        <f>"ACCT#9725-004/REC BASE/PCT#1"</f>
        <v>ACCT#9725-004/REC BASE/PCT#1</v>
      </c>
    </row>
    <row r="29" spans="5:8" x14ac:dyDescent="0.25">
      <c r="E29" t="str">
        <f>"9725-007-118696"</f>
        <v>9725-007-118696</v>
      </c>
      <c r="F29" t="str">
        <f t="shared" ref="F29:F34" si="2">"ACCT#9725-007/REC BASE/PCT#4"</f>
        <v>ACCT#9725-007/REC BASE/PCT#4</v>
      </c>
      <c r="G29" s="1">
        <v>2045.78</v>
      </c>
      <c r="H29" t="str">
        <f t="shared" ref="H29:H34" si="3">"ACCT#9725-007/REC BASE/PCT#4"</f>
        <v>ACCT#9725-007/REC BASE/PCT#4</v>
      </c>
    </row>
    <row r="30" spans="5:8" x14ac:dyDescent="0.25">
      <c r="E30" t="str">
        <f>"9725-007-118744"</f>
        <v>9725-007-118744</v>
      </c>
      <c r="F30" t="str">
        <f t="shared" si="2"/>
        <v>ACCT#9725-007/REC BASE/PCT#4</v>
      </c>
      <c r="G30" s="1">
        <v>605.85</v>
      </c>
      <c r="H30" t="str">
        <f t="shared" si="3"/>
        <v>ACCT#9725-007/REC BASE/PCT#4</v>
      </c>
    </row>
    <row r="31" spans="5:8" x14ac:dyDescent="0.25">
      <c r="E31" t="str">
        <f>"9725-007-118764"</f>
        <v>9725-007-118764</v>
      </c>
      <c r="F31" t="str">
        <f t="shared" si="2"/>
        <v>ACCT#9725-007/REC BASE/PCT#4</v>
      </c>
      <c r="G31" s="1">
        <v>1001.62</v>
      </c>
      <c r="H31" t="str">
        <f t="shared" si="3"/>
        <v>ACCT#9725-007/REC BASE/PCT#4</v>
      </c>
    </row>
    <row r="32" spans="5:8" x14ac:dyDescent="0.25">
      <c r="E32" t="str">
        <f>"9725-007-118852"</f>
        <v>9725-007-118852</v>
      </c>
      <c r="F32" t="str">
        <f t="shared" si="2"/>
        <v>ACCT#9725-007/REC BASE/PCT#4</v>
      </c>
      <c r="G32" s="1">
        <v>3062.35</v>
      </c>
      <c r="H32" t="str">
        <f t="shared" si="3"/>
        <v>ACCT#9725-007/REC BASE/PCT#4</v>
      </c>
    </row>
    <row r="33" spans="1:8" x14ac:dyDescent="0.25">
      <c r="E33" t="str">
        <f>"9725-007-118870"</f>
        <v>9725-007-118870</v>
      </c>
      <c r="F33" t="str">
        <f t="shared" si="2"/>
        <v>ACCT#9725-007/REC BASE/PCT#4</v>
      </c>
      <c r="G33" s="1">
        <v>595.70000000000005</v>
      </c>
      <c r="H33" t="str">
        <f t="shared" si="3"/>
        <v>ACCT#9725-007/REC BASE/PCT#4</v>
      </c>
    </row>
    <row r="34" spans="1:8" x14ac:dyDescent="0.25">
      <c r="E34" t="str">
        <f>"9725-007-118890"</f>
        <v>9725-007-118890</v>
      </c>
      <c r="F34" t="str">
        <f t="shared" si="2"/>
        <v>ACCT#9725-007/REC BASE/PCT#4</v>
      </c>
      <c r="G34" s="1">
        <v>802.29</v>
      </c>
      <c r="H34" t="str">
        <f t="shared" si="3"/>
        <v>ACCT#9725-007/REC BASE/PCT#4</v>
      </c>
    </row>
    <row r="35" spans="1:8" x14ac:dyDescent="0.25">
      <c r="A35" t="s">
        <v>12</v>
      </c>
      <c r="B35">
        <v>3526</v>
      </c>
      <c r="C35" s="1">
        <v>15992.57</v>
      </c>
      <c r="D35" s="5">
        <v>44159</v>
      </c>
      <c r="E35" t="str">
        <f>"9725-001-118906"</f>
        <v>9725-001-118906</v>
      </c>
      <c r="F35" t="str">
        <f t="shared" ref="F35:F43" si="4">"ACCT#9725-001/REC BASE/PCT#2"</f>
        <v>ACCT#9725-001/REC BASE/PCT#2</v>
      </c>
      <c r="G35" s="1">
        <v>1270.69</v>
      </c>
      <c r="H35" t="str">
        <f t="shared" ref="H35:H43" si="5">"ACCT#9725-001/REC BASE/PCT#2"</f>
        <v>ACCT#9725-001/REC BASE/PCT#2</v>
      </c>
    </row>
    <row r="36" spans="1:8" x14ac:dyDescent="0.25">
      <c r="E36" t="str">
        <f>"9725-001-118957"</f>
        <v>9725-001-118957</v>
      </c>
      <c r="F36" t="str">
        <f t="shared" si="4"/>
        <v>ACCT#9725-001/REC BASE/PCT#2</v>
      </c>
      <c r="G36" s="1">
        <v>1029.7</v>
      </c>
      <c r="H36" t="str">
        <f t="shared" si="5"/>
        <v>ACCT#9725-001/REC BASE/PCT#2</v>
      </c>
    </row>
    <row r="37" spans="1:8" x14ac:dyDescent="0.25">
      <c r="E37" t="str">
        <f>"9725-001-118981"</f>
        <v>9725-001-118981</v>
      </c>
      <c r="F37" t="str">
        <f t="shared" si="4"/>
        <v>ACCT#9725-001/REC BASE/PCT#2</v>
      </c>
      <c r="G37" s="1">
        <v>413</v>
      </c>
      <c r="H37" t="str">
        <f t="shared" si="5"/>
        <v>ACCT#9725-001/REC BASE/PCT#2</v>
      </c>
    </row>
    <row r="38" spans="1:8" x14ac:dyDescent="0.25">
      <c r="E38" t="str">
        <f>"9725-001-119002"</f>
        <v>9725-001-119002</v>
      </c>
      <c r="F38" t="str">
        <f t="shared" si="4"/>
        <v>ACCT#9725-001/REC BASE/PCT#2</v>
      </c>
      <c r="G38" s="1">
        <v>1705.13</v>
      </c>
      <c r="H38" t="str">
        <f t="shared" si="5"/>
        <v>ACCT#9725-001/REC BASE/PCT#2</v>
      </c>
    </row>
    <row r="39" spans="1:8" x14ac:dyDescent="0.25">
      <c r="E39" t="str">
        <f>"9725-001-119025"</f>
        <v>9725-001-119025</v>
      </c>
      <c r="F39" t="str">
        <f t="shared" si="4"/>
        <v>ACCT#9725-001/REC BASE/PCT#2</v>
      </c>
      <c r="G39" s="1">
        <v>747.25</v>
      </c>
      <c r="H39" t="str">
        <f t="shared" si="5"/>
        <v>ACCT#9725-001/REC BASE/PCT#2</v>
      </c>
    </row>
    <row r="40" spans="1:8" x14ac:dyDescent="0.25">
      <c r="E40" t="str">
        <f>"9725-001-119054"</f>
        <v>9725-001-119054</v>
      </c>
      <c r="F40" t="str">
        <f t="shared" si="4"/>
        <v>ACCT#9725-001/REC BASE/PCT#2</v>
      </c>
      <c r="G40" s="1">
        <v>624.66</v>
      </c>
      <c r="H40" t="str">
        <f t="shared" si="5"/>
        <v>ACCT#9725-001/REC BASE/PCT#2</v>
      </c>
    </row>
    <row r="41" spans="1:8" x14ac:dyDescent="0.25">
      <c r="E41" t="str">
        <f>"9725-001-119082"</f>
        <v>9725-001-119082</v>
      </c>
      <c r="F41" t="str">
        <f t="shared" si="4"/>
        <v>ACCT#9725-001/REC BASE/PCT#2</v>
      </c>
      <c r="G41" s="1">
        <v>849.98</v>
      </c>
      <c r="H41" t="str">
        <f t="shared" si="5"/>
        <v>ACCT#9725-001/REC BASE/PCT#2</v>
      </c>
    </row>
    <row r="42" spans="1:8" x14ac:dyDescent="0.25">
      <c r="E42" t="str">
        <f>"9725-001-119105"</f>
        <v>9725-001-119105</v>
      </c>
      <c r="F42" t="str">
        <f t="shared" si="4"/>
        <v>ACCT#9725-001/REC BASE/PCT#2</v>
      </c>
      <c r="G42" s="1">
        <v>1043.6199999999999</v>
      </c>
      <c r="H42" t="str">
        <f t="shared" si="5"/>
        <v>ACCT#9725-001/REC BASE/PCT#2</v>
      </c>
    </row>
    <row r="43" spans="1:8" x14ac:dyDescent="0.25">
      <c r="E43" t="str">
        <f>"9725-001-119137"</f>
        <v>9725-001-119137</v>
      </c>
      <c r="F43" t="str">
        <f t="shared" si="4"/>
        <v>ACCT#9725-001/REC BASE/PCT#2</v>
      </c>
      <c r="G43" s="1">
        <v>1058.94</v>
      </c>
      <c r="H43" t="str">
        <f t="shared" si="5"/>
        <v>ACCT#9725-001/REC BASE/PCT#2</v>
      </c>
    </row>
    <row r="44" spans="1:8" x14ac:dyDescent="0.25">
      <c r="E44" t="str">
        <f>"9725-004-119035"</f>
        <v>9725-004-119035</v>
      </c>
      <c r="F44" t="str">
        <f>"ACCT#9725-004/REC BASE/PCT#1"</f>
        <v>ACCT#9725-004/REC BASE/PCT#1</v>
      </c>
      <c r="G44" s="1">
        <v>122.76</v>
      </c>
      <c r="H44" t="str">
        <f>"ACCT#9725-004/REC BASE/PCT#1"</f>
        <v>ACCT#9725-004/REC BASE/PCT#1</v>
      </c>
    </row>
    <row r="45" spans="1:8" x14ac:dyDescent="0.25">
      <c r="E45" t="str">
        <f>"9725-004-119173"</f>
        <v>9725-004-119173</v>
      </c>
      <c r="F45" t="str">
        <f>"ACCT#9725-004/REC BASE/PCT#1"</f>
        <v>ACCT#9725-004/REC BASE/PCT#1</v>
      </c>
      <c r="G45" s="1">
        <v>447.3</v>
      </c>
      <c r="H45" t="str">
        <f>"ACCT#9725-004/REC BASE/PCT#1"</f>
        <v>ACCT#9725-004/REC BASE/PCT#1</v>
      </c>
    </row>
    <row r="46" spans="1:8" x14ac:dyDescent="0.25">
      <c r="E46" t="str">
        <f>"9725-007-118918"</f>
        <v>9725-007-118918</v>
      </c>
      <c r="F46" t="str">
        <f>"ACCT#9725-007/REC BASE/PCT#4"</f>
        <v>ACCT#9725-007/REC BASE/PCT#4</v>
      </c>
      <c r="G46" s="1">
        <v>1820.1</v>
      </c>
      <c r="H46" t="str">
        <f>"ACCT#9725-007/REC BASE/PCT#4"</f>
        <v>ACCT#9725-007/REC BASE/PCT#4</v>
      </c>
    </row>
    <row r="47" spans="1:8" x14ac:dyDescent="0.25">
      <c r="E47" t="str">
        <f>"9725-007-118950"</f>
        <v>9725-007-118950</v>
      </c>
      <c r="F47" t="str">
        <f>"ACCT#9725-007/REC BASE/PCT#4"</f>
        <v>ACCT#9725-007/REC BASE/PCT#4</v>
      </c>
      <c r="G47" s="1">
        <v>2653.12</v>
      </c>
      <c r="H47" t="str">
        <f>"ACCT#9725-007/REC BASE/PCT#4"</f>
        <v>ACCT#9725-007/REC BASE/PCT#4</v>
      </c>
    </row>
    <row r="48" spans="1:8" x14ac:dyDescent="0.25">
      <c r="E48" t="str">
        <f>"9725-007-118971"</f>
        <v>9725-007-118971</v>
      </c>
      <c r="F48" t="str">
        <f>"ACCT#9725-007/REC BASE/PCT#4"</f>
        <v>ACCT#9725-007/REC BASE/PCT#4</v>
      </c>
      <c r="G48" s="1">
        <v>400.05</v>
      </c>
      <c r="H48" t="str">
        <f>"ACCT#9725-007/REC BASE/PCT#4"</f>
        <v>ACCT#9725-007/REC BASE/PCT#4</v>
      </c>
    </row>
    <row r="49" spans="1:8" x14ac:dyDescent="0.25">
      <c r="E49" t="str">
        <f>"9725-007-119036"</f>
        <v>9725-007-119036</v>
      </c>
      <c r="F49" t="str">
        <f>"ACCT#9725-007/REC BASE/PCT#4"</f>
        <v>ACCT#9725-007/REC BASE/PCT#4</v>
      </c>
      <c r="G49" s="1">
        <v>796.08</v>
      </c>
      <c r="H49" t="str">
        <f>"ACCT#9725-007/REC BASE/PCT#4"</f>
        <v>ACCT#9725-007/REC BASE/PCT#4</v>
      </c>
    </row>
    <row r="50" spans="1:8" x14ac:dyDescent="0.25">
      <c r="E50" t="str">
        <f>"9725-007-119065"</f>
        <v>9725-007-119065</v>
      </c>
      <c r="F50" t="str">
        <f>"ACCT#9725-007/REC BASE/PCT#4"</f>
        <v>ACCT#9725-007/REC BASE/PCT#4</v>
      </c>
      <c r="G50" s="1">
        <v>1010.19</v>
      </c>
      <c r="H50" t="str">
        <f>"ACCT#9725-007/REC BASE/PCT#4"</f>
        <v>ACCT#9725-007/REC BASE/PCT#4</v>
      </c>
    </row>
    <row r="51" spans="1:8" x14ac:dyDescent="0.25">
      <c r="A51" t="s">
        <v>13</v>
      </c>
      <c r="B51">
        <v>133693</v>
      </c>
      <c r="C51" s="1">
        <v>60</v>
      </c>
      <c r="D51" s="5">
        <v>44158</v>
      </c>
      <c r="E51" t="str">
        <f>"202011170069"</f>
        <v>202011170069</v>
      </c>
      <c r="F51" t="str">
        <f>"REIMBURSE BAIL BOND STICKERS"</f>
        <v>REIMBURSE BAIL BOND STICKERS</v>
      </c>
      <c r="G51" s="1">
        <v>60</v>
      </c>
      <c r="H51" t="str">
        <f>"REIMBURSE BAIL BOND STICKERS"</f>
        <v>REIMBURSE BAIL BOND STICKERS</v>
      </c>
    </row>
    <row r="52" spans="1:8" x14ac:dyDescent="0.25">
      <c r="A52" t="s">
        <v>14</v>
      </c>
      <c r="B52">
        <v>133568</v>
      </c>
      <c r="C52" s="1">
        <v>1199.9100000000001</v>
      </c>
      <c r="D52" s="5">
        <v>44144</v>
      </c>
      <c r="E52" t="str">
        <f>"202011039907"</f>
        <v>202011039907</v>
      </c>
      <c r="F52" t="str">
        <f>"STMNT#406226/CUST ID:16500/P4"</f>
        <v>STMNT#406226/CUST ID:16500/P4</v>
      </c>
      <c r="G52" s="1">
        <v>1199.9100000000001</v>
      </c>
      <c r="H52" t="str">
        <f>"STMNT#406226/CUST ID:16500/P4"</f>
        <v>STMNT#406226/CUST ID:16500/P4</v>
      </c>
    </row>
    <row r="53" spans="1:8" x14ac:dyDescent="0.25">
      <c r="A53" t="s">
        <v>15</v>
      </c>
      <c r="B53">
        <v>133694</v>
      </c>
      <c r="C53" s="1">
        <v>730</v>
      </c>
      <c r="D53" s="5">
        <v>44158</v>
      </c>
      <c r="E53" t="str">
        <f>"202011180106"</f>
        <v>202011180106</v>
      </c>
      <c r="F53" t="str">
        <f>"19-20002"</f>
        <v>19-20002</v>
      </c>
      <c r="G53" s="1">
        <v>30</v>
      </c>
      <c r="H53" t="str">
        <f>"19-20002"</f>
        <v>19-20002</v>
      </c>
    </row>
    <row r="54" spans="1:8" x14ac:dyDescent="0.25">
      <c r="E54" t="str">
        <f>"202011180107"</f>
        <v>202011180107</v>
      </c>
      <c r="F54" t="str">
        <f>"19-17918"</f>
        <v>19-17918</v>
      </c>
      <c r="G54" s="1">
        <v>340</v>
      </c>
      <c r="H54" t="str">
        <f>"19-17918"</f>
        <v>19-17918</v>
      </c>
    </row>
    <row r="55" spans="1:8" x14ac:dyDescent="0.25">
      <c r="E55" t="str">
        <f>"202011180108"</f>
        <v>202011180108</v>
      </c>
      <c r="F55" t="str">
        <f>"20-20321"</f>
        <v>20-20321</v>
      </c>
      <c r="G55" s="1">
        <v>30</v>
      </c>
      <c r="H55" t="str">
        <f>"20-20321"</f>
        <v>20-20321</v>
      </c>
    </row>
    <row r="56" spans="1:8" x14ac:dyDescent="0.25">
      <c r="E56" t="str">
        <f>"202011180109"</f>
        <v>202011180109</v>
      </c>
      <c r="F56" t="str">
        <f>"19-19963"</f>
        <v>19-19963</v>
      </c>
      <c r="G56" s="1">
        <v>82.5</v>
      </c>
      <c r="H56" t="str">
        <f>"19-19963"</f>
        <v>19-19963</v>
      </c>
    </row>
    <row r="57" spans="1:8" x14ac:dyDescent="0.25">
      <c r="E57" t="str">
        <f>"202011180110"</f>
        <v>202011180110</v>
      </c>
      <c r="F57" t="str">
        <f>"19-19703"</f>
        <v>19-19703</v>
      </c>
      <c r="G57" s="1">
        <v>112.5</v>
      </c>
      <c r="H57" t="str">
        <f>"19-19703"</f>
        <v>19-19703</v>
      </c>
    </row>
    <row r="58" spans="1:8" x14ac:dyDescent="0.25">
      <c r="E58" t="str">
        <f>"202011180111"</f>
        <v>202011180111</v>
      </c>
      <c r="F58" t="str">
        <f>"20-20077"</f>
        <v>20-20077</v>
      </c>
      <c r="G58" s="1">
        <v>22.5</v>
      </c>
      <c r="H58" t="str">
        <f>"20-20077"</f>
        <v>20-20077</v>
      </c>
    </row>
    <row r="59" spans="1:8" x14ac:dyDescent="0.25">
      <c r="E59" t="str">
        <f>"202011180112"</f>
        <v>202011180112</v>
      </c>
      <c r="F59" t="str">
        <f>"19-19864"</f>
        <v>19-19864</v>
      </c>
      <c r="G59" s="1">
        <v>112.5</v>
      </c>
      <c r="H59" t="str">
        <f>"19-19864"</f>
        <v>19-19864</v>
      </c>
    </row>
    <row r="60" spans="1:8" x14ac:dyDescent="0.25">
      <c r="A60" t="s">
        <v>16</v>
      </c>
      <c r="B60">
        <v>3478</v>
      </c>
      <c r="C60" s="1">
        <v>272.01</v>
      </c>
      <c r="D60" s="5">
        <v>44145</v>
      </c>
      <c r="E60" t="str">
        <f>"202010289796"</f>
        <v>202010289796</v>
      </c>
      <c r="F60" t="str">
        <f>"REIMBURSE MAIL/POSTAGE/CONTAIN"</f>
        <v>REIMBURSE MAIL/POSTAGE/CONTAIN</v>
      </c>
      <c r="G60" s="1">
        <v>272.01</v>
      </c>
      <c r="H60" t="str">
        <f>"REIMBURSE MAIL/POSTAGE/CONTAIN"</f>
        <v>REIMBURSE MAIL/POSTAGE/CONTAIN</v>
      </c>
    </row>
    <row r="61" spans="1:8" x14ac:dyDescent="0.25">
      <c r="A61" t="s">
        <v>17</v>
      </c>
      <c r="B61">
        <v>133695</v>
      </c>
      <c r="C61" s="1">
        <v>322.75</v>
      </c>
      <c r="D61" s="5">
        <v>44158</v>
      </c>
      <c r="E61" t="str">
        <f>"205415"</f>
        <v>205415</v>
      </c>
      <c r="F61" t="str">
        <f>"INV 205415"</f>
        <v>INV 205415</v>
      </c>
      <c r="G61" s="1">
        <v>322.75</v>
      </c>
      <c r="H61" t="str">
        <f>"INV 205415"</f>
        <v>INV 205415</v>
      </c>
    </row>
    <row r="62" spans="1:8" x14ac:dyDescent="0.25">
      <c r="A62" t="s">
        <v>18</v>
      </c>
      <c r="B62">
        <v>133569</v>
      </c>
      <c r="C62" s="1">
        <v>10043</v>
      </c>
      <c r="D62" s="5">
        <v>44144</v>
      </c>
      <c r="E62" t="str">
        <f>"SP-38206"</f>
        <v>SP-38206</v>
      </c>
      <c r="F62" t="str">
        <f>"Autel EVO II Drone"</f>
        <v>Autel EVO II Drone</v>
      </c>
      <c r="G62" s="1">
        <v>10043</v>
      </c>
      <c r="H62" t="str">
        <f>"AR-EV2D640"</f>
        <v>AR-EV2D640</v>
      </c>
    </row>
    <row r="63" spans="1:8" x14ac:dyDescent="0.25">
      <c r="E63" t="str">
        <f>""</f>
        <v/>
      </c>
      <c r="F63" t="str">
        <f>""</f>
        <v/>
      </c>
      <c r="H63" t="str">
        <f>"AR-LVDK"</f>
        <v>AR-LVDK</v>
      </c>
    </row>
    <row r="64" spans="1:8" x14ac:dyDescent="0.25">
      <c r="E64" t="str">
        <f>""</f>
        <v/>
      </c>
      <c r="F64" t="str">
        <f>""</f>
        <v/>
      </c>
      <c r="H64" t="str">
        <f>"ADV-EV2SLB"</f>
        <v>ADV-EV2SLB</v>
      </c>
    </row>
    <row r="65" spans="1:8" x14ac:dyDescent="0.25">
      <c r="E65" t="str">
        <f>""</f>
        <v/>
      </c>
      <c r="F65" t="str">
        <f>""</f>
        <v/>
      </c>
      <c r="H65" t="str">
        <f>"Bundle Discount"</f>
        <v>Bundle Discount</v>
      </c>
    </row>
    <row r="66" spans="1:8" x14ac:dyDescent="0.25">
      <c r="A66" t="s">
        <v>19</v>
      </c>
      <c r="B66">
        <v>133570</v>
      </c>
      <c r="C66" s="1">
        <v>1405.76</v>
      </c>
      <c r="D66" s="5">
        <v>44144</v>
      </c>
      <c r="E66" t="str">
        <f>"22666078-001"</f>
        <v>22666078-001</v>
      </c>
      <c r="F66" t="str">
        <f>"CUST#322316/ANIMAL PENS"</f>
        <v>CUST#322316/ANIMAL PENS</v>
      </c>
      <c r="G66" s="1">
        <v>1405.76</v>
      </c>
      <c r="H66" t="str">
        <f>"CUST#322316/ANIMAL PENS"</f>
        <v>CUST#322316/ANIMAL PENS</v>
      </c>
    </row>
    <row r="67" spans="1:8" x14ac:dyDescent="0.25">
      <c r="A67" t="s">
        <v>20</v>
      </c>
      <c r="B67">
        <v>133696</v>
      </c>
      <c r="C67" s="1">
        <v>45</v>
      </c>
      <c r="D67" s="5">
        <v>44158</v>
      </c>
      <c r="E67" t="str">
        <f>"202011180204"</f>
        <v>202011180204</v>
      </c>
      <c r="F67" t="str">
        <f>"FERAL HOGS"</f>
        <v>FERAL HOGS</v>
      </c>
      <c r="G67" s="1">
        <v>45</v>
      </c>
      <c r="H67" t="str">
        <f>"FERAL HOGS"</f>
        <v>FERAL HOGS</v>
      </c>
    </row>
    <row r="68" spans="1:8" x14ac:dyDescent="0.25">
      <c r="A68" t="s">
        <v>21</v>
      </c>
      <c r="B68">
        <v>3473</v>
      </c>
      <c r="C68" s="1">
        <v>6097.04</v>
      </c>
      <c r="D68" s="5">
        <v>44145</v>
      </c>
      <c r="E68" t="str">
        <f>"202011029834"</f>
        <v>202011029834</v>
      </c>
      <c r="F68" t="str">
        <f>"HAULING EXPS 10/19/PCT#3"</f>
        <v>HAULING EXPS 10/19/PCT#3</v>
      </c>
      <c r="G68" s="1">
        <v>255.3</v>
      </c>
      <c r="H68" t="str">
        <f>"HAULING EXPS 10/19/PCT#3"</f>
        <v>HAULING EXPS 10/19/PCT#3</v>
      </c>
    </row>
    <row r="69" spans="1:8" x14ac:dyDescent="0.25">
      <c r="E69" t="str">
        <f>"202011029836"</f>
        <v>202011029836</v>
      </c>
      <c r="F69" t="str">
        <f>"HAULING EXPS 10/19-10/30/PCT#4"</f>
        <v>HAULING EXPS 10/19-10/30/PCT#4</v>
      </c>
      <c r="G69" s="1">
        <v>5841.74</v>
      </c>
      <c r="H69" t="str">
        <f>"HAULING EXPS 10/19-10/30/PCT#4"</f>
        <v>HAULING EXPS 10/19-10/30/PCT#4</v>
      </c>
    </row>
    <row r="70" spans="1:8" x14ac:dyDescent="0.25">
      <c r="A70" t="s">
        <v>21</v>
      </c>
      <c r="B70">
        <v>3533</v>
      </c>
      <c r="C70" s="1">
        <v>4809.24</v>
      </c>
      <c r="D70" s="5">
        <v>44159</v>
      </c>
      <c r="E70" t="str">
        <f>"202011170087"</f>
        <v>202011170087</v>
      </c>
      <c r="F70" t="str">
        <f>"HAULING EXPS 11/02-11/10 / P4"</f>
        <v>HAULING EXPS 11/02-11/10 / P4</v>
      </c>
      <c r="G70" s="1">
        <v>4809.24</v>
      </c>
      <c r="H70" t="str">
        <f>"HAULING EXPS 11/02-11/10 / P4"</f>
        <v>HAULING EXPS 11/02-11/10 / P4</v>
      </c>
    </row>
    <row r="71" spans="1:8" x14ac:dyDescent="0.25">
      <c r="A71" t="s">
        <v>22</v>
      </c>
      <c r="B71">
        <v>133697</v>
      </c>
      <c r="C71" s="1">
        <v>155</v>
      </c>
      <c r="D71" s="5">
        <v>44158</v>
      </c>
      <c r="E71" t="str">
        <f>"202011180205"</f>
        <v>202011180205</v>
      </c>
      <c r="F71" t="str">
        <f>"FERAL HOGS"</f>
        <v>FERAL HOGS</v>
      </c>
      <c r="G71" s="1">
        <v>155</v>
      </c>
      <c r="H71" t="str">
        <f>"FERAL HOGS"</f>
        <v>FERAL HOGS</v>
      </c>
    </row>
    <row r="72" spans="1:8" x14ac:dyDescent="0.25">
      <c r="A72" t="s">
        <v>23</v>
      </c>
      <c r="B72">
        <v>3560</v>
      </c>
      <c r="C72" s="1">
        <v>510.79</v>
      </c>
      <c r="D72" s="5">
        <v>44159</v>
      </c>
      <c r="E72" t="str">
        <f>"1G94-CF19-K9JX"</f>
        <v>1G94-CF19-K9JX</v>
      </c>
      <c r="F72" t="str">
        <f>"Amazon Order"</f>
        <v>Amazon Order</v>
      </c>
      <c r="G72" s="1">
        <v>210.95</v>
      </c>
      <c r="H72" t="str">
        <f>"1G94-CF19-K9JX"</f>
        <v>1G94-CF19-K9JX</v>
      </c>
    </row>
    <row r="73" spans="1:8" x14ac:dyDescent="0.25">
      <c r="E73" t="str">
        <f>"1GGR-VD9X-3HVM"</f>
        <v>1GGR-VD9X-3HVM</v>
      </c>
      <c r="F73" t="str">
        <f>"Amazon Order"</f>
        <v>Amazon Order</v>
      </c>
      <c r="G73" s="1">
        <v>44.41</v>
      </c>
      <c r="H73" t="str">
        <f>"Turn Signal"</f>
        <v>Turn Signal</v>
      </c>
    </row>
    <row r="74" spans="1:8" x14ac:dyDescent="0.25">
      <c r="E74" t="str">
        <f>"1JKD-RFJN-664N"</f>
        <v>1JKD-RFJN-664N</v>
      </c>
      <c r="F74" t="str">
        <f>"Amazon Order"</f>
        <v>Amazon Order</v>
      </c>
      <c r="G74" s="1">
        <v>222.64</v>
      </c>
      <c r="H74" t="str">
        <f>"1JKD-RFJN-664N"</f>
        <v>1JKD-RFJN-664N</v>
      </c>
    </row>
    <row r="75" spans="1:8" x14ac:dyDescent="0.25">
      <c r="E75" t="str">
        <f>"202011170064"</f>
        <v>202011170064</v>
      </c>
      <c r="F75" t="str">
        <f>"Power Supply"</f>
        <v>Power Supply</v>
      </c>
      <c r="G75" s="1">
        <v>32.79</v>
      </c>
      <c r="H75" t="str">
        <f>"Power Supply"</f>
        <v>Power Supply</v>
      </c>
    </row>
    <row r="76" spans="1:8" x14ac:dyDescent="0.25">
      <c r="A76" t="s">
        <v>24</v>
      </c>
      <c r="B76">
        <v>133571</v>
      </c>
      <c r="C76" s="1">
        <v>395.8</v>
      </c>
      <c r="D76" s="5">
        <v>44144</v>
      </c>
      <c r="E76" t="str">
        <f>"1F47-6LWG-FGHK"</f>
        <v>1F47-6LWG-FGHK</v>
      </c>
      <c r="F76" t="str">
        <f>"AMAZON.COM LLC"</f>
        <v>AMAZON.COM LLC</v>
      </c>
      <c r="G76" s="1">
        <v>395.8</v>
      </c>
      <c r="H76" t="str">
        <f>"Accoustic Foam"</f>
        <v>Accoustic Foam</v>
      </c>
    </row>
    <row r="77" spans="1:8" x14ac:dyDescent="0.25">
      <c r="A77" t="s">
        <v>25</v>
      </c>
      <c r="B77">
        <v>133572</v>
      </c>
      <c r="C77" s="1">
        <v>35.619999999999997</v>
      </c>
      <c r="D77" s="5">
        <v>44144</v>
      </c>
      <c r="E77" t="str">
        <f>"01-201333357"</f>
        <v>01-201333357</v>
      </c>
      <c r="F77" t="str">
        <f>"INV 01-201333357"</f>
        <v>INV 01-201333357</v>
      </c>
      <c r="G77" s="1">
        <v>35.619999999999997</v>
      </c>
      <c r="H77" t="str">
        <f>"INV 01-201333357"</f>
        <v>INV 01-201333357</v>
      </c>
    </row>
    <row r="78" spans="1:8" x14ac:dyDescent="0.25">
      <c r="A78" t="s">
        <v>26</v>
      </c>
      <c r="B78">
        <v>133573</v>
      </c>
      <c r="C78" s="1">
        <v>234.86</v>
      </c>
      <c r="D78" s="5">
        <v>44144</v>
      </c>
      <c r="E78" t="str">
        <f>"980809634 98080963"</f>
        <v>980809634 98080963</v>
      </c>
      <c r="F78" t="str">
        <f>"INV 980809634"</f>
        <v>INV 980809634</v>
      </c>
      <c r="G78" s="1">
        <v>234.86</v>
      </c>
      <c r="H78" t="str">
        <f>"INV 980809634"</f>
        <v>INV 980809634</v>
      </c>
    </row>
    <row r="79" spans="1:8" x14ac:dyDescent="0.25">
      <c r="E79" t="str">
        <f>""</f>
        <v/>
      </c>
      <c r="F79" t="str">
        <f>""</f>
        <v/>
      </c>
      <c r="H79" t="str">
        <f>"INV 980809636"</f>
        <v>INV 980809636</v>
      </c>
    </row>
    <row r="80" spans="1:8" x14ac:dyDescent="0.25">
      <c r="E80" t="str">
        <f>""</f>
        <v/>
      </c>
      <c r="F80" t="str">
        <f>""</f>
        <v/>
      </c>
      <c r="H80" t="str">
        <f>"INV 980809635"</f>
        <v>INV 980809635</v>
      </c>
    </row>
    <row r="81" spans="1:8" x14ac:dyDescent="0.25">
      <c r="A81" t="s">
        <v>26</v>
      </c>
      <c r="B81">
        <v>133698</v>
      </c>
      <c r="C81" s="1">
        <v>2375.4499999999998</v>
      </c>
      <c r="D81" s="5">
        <v>44158</v>
      </c>
      <c r="E81" t="str">
        <f>"981240716"</f>
        <v>981240716</v>
      </c>
      <c r="F81" t="str">
        <f>"INV 981240716"</f>
        <v>INV 981240716</v>
      </c>
      <c r="G81" s="1">
        <v>2375.4499999999998</v>
      </c>
      <c r="H81" t="str">
        <f>"INV 981240716"</f>
        <v>INV 981240716</v>
      </c>
    </row>
    <row r="82" spans="1:8" x14ac:dyDescent="0.25">
      <c r="A82" t="s">
        <v>27</v>
      </c>
      <c r="B82">
        <v>133574</v>
      </c>
      <c r="C82" s="1">
        <v>33312.339999999997</v>
      </c>
      <c r="D82" s="5">
        <v>44144</v>
      </c>
      <c r="E82" t="str">
        <f>"113056"</f>
        <v>113056</v>
      </c>
      <c r="F82" t="str">
        <f>"METERING/POSTAGE"</f>
        <v>METERING/POSTAGE</v>
      </c>
      <c r="G82" s="1">
        <v>33312.339999999997</v>
      </c>
      <c r="H82" t="str">
        <f>"METERING/POSTAGE"</f>
        <v>METERING/POSTAGE</v>
      </c>
    </row>
    <row r="83" spans="1:8" x14ac:dyDescent="0.25">
      <c r="E83" t="str">
        <f>""</f>
        <v/>
      </c>
      <c r="F83" t="str">
        <f>""</f>
        <v/>
      </c>
      <c r="H83" t="str">
        <f>"METERING/POSTAGE"</f>
        <v>METERING/POSTAGE</v>
      </c>
    </row>
    <row r="84" spans="1:8" x14ac:dyDescent="0.25">
      <c r="A84" t="s">
        <v>28</v>
      </c>
      <c r="B84">
        <v>3517</v>
      </c>
      <c r="C84" s="1">
        <v>1300</v>
      </c>
      <c r="D84" s="5">
        <v>44145</v>
      </c>
      <c r="E84" t="str">
        <f>"202010279773"</f>
        <v>202010279773</v>
      </c>
      <c r="F84" t="str">
        <f>"JP110172020A"</f>
        <v>JP110172020A</v>
      </c>
      <c r="G84" s="1">
        <v>100</v>
      </c>
      <c r="H84" t="str">
        <f>"JP110172020A"</f>
        <v>JP110172020A</v>
      </c>
    </row>
    <row r="85" spans="1:8" x14ac:dyDescent="0.25">
      <c r="E85" t="str">
        <f>"202010279774"</f>
        <v>202010279774</v>
      </c>
      <c r="F85" t="str">
        <f>"AC-2020-0806W"</f>
        <v>AC-2020-0806W</v>
      </c>
      <c r="G85" s="1">
        <v>400</v>
      </c>
      <c r="H85" t="str">
        <f>"AC-2020-0806W"</f>
        <v>AC-2020-0806W</v>
      </c>
    </row>
    <row r="86" spans="1:8" x14ac:dyDescent="0.25">
      <c r="E86" t="str">
        <f>"202010279775"</f>
        <v>202010279775</v>
      </c>
      <c r="F86" t="str">
        <f>"JP103112019G"</f>
        <v>JP103112019G</v>
      </c>
      <c r="G86" s="1">
        <v>400</v>
      </c>
      <c r="H86" t="str">
        <f>"JP103112019G"</f>
        <v>JP103112019G</v>
      </c>
    </row>
    <row r="87" spans="1:8" x14ac:dyDescent="0.25">
      <c r="E87" t="str">
        <f>"202010279776"</f>
        <v>202010279776</v>
      </c>
      <c r="F87" t="str">
        <f>"17 073"</f>
        <v>17 073</v>
      </c>
      <c r="G87" s="1">
        <v>400</v>
      </c>
      <c r="H87" t="str">
        <f>"17 073"</f>
        <v>17 073</v>
      </c>
    </row>
    <row r="88" spans="1:8" x14ac:dyDescent="0.25">
      <c r="A88" t="s">
        <v>29</v>
      </c>
      <c r="B88">
        <v>133575</v>
      </c>
      <c r="C88" s="1">
        <v>344.18</v>
      </c>
      <c r="D88" s="5">
        <v>44144</v>
      </c>
      <c r="E88" t="str">
        <f>"2010-317221"</f>
        <v>2010-317221</v>
      </c>
      <c r="F88" t="str">
        <f>"ACCT#3-3053/PCT#2"</f>
        <v>ACCT#3-3053/PCT#2</v>
      </c>
      <c r="G88" s="1">
        <v>344.18</v>
      </c>
      <c r="H88" t="str">
        <f>"ACCT#3-3053/PCT#2"</f>
        <v>ACCT#3-3053/PCT#2</v>
      </c>
    </row>
    <row r="89" spans="1:8" x14ac:dyDescent="0.25">
      <c r="A89" t="s">
        <v>30</v>
      </c>
      <c r="B89">
        <v>133576</v>
      </c>
      <c r="C89" s="1">
        <v>366.47</v>
      </c>
      <c r="D89" s="5">
        <v>44144</v>
      </c>
      <c r="E89" t="str">
        <f>"202011029820"</f>
        <v>202011029820</v>
      </c>
      <c r="F89" t="str">
        <f>"ACCT#012231/DIST JUDGE"</f>
        <v>ACCT#012231/DIST JUDGE</v>
      </c>
      <c r="G89" s="1">
        <v>10</v>
      </c>
      <c r="H89" t="str">
        <f>"ACCT#012231/DIST JUDGE"</f>
        <v>ACCT#012231/DIST JUDGE</v>
      </c>
    </row>
    <row r="90" spans="1:8" x14ac:dyDescent="0.25">
      <c r="E90" t="str">
        <f>"202011029821"</f>
        <v>202011029821</v>
      </c>
      <c r="F90" t="str">
        <f>"ACCT#011955/DISTRICT JUDGE"</f>
        <v>ACCT#011955/DISTRICT JUDGE</v>
      </c>
      <c r="G90" s="1">
        <v>18</v>
      </c>
      <c r="H90" t="str">
        <f>"ACCT#011955/DISTRICT JUDGE"</f>
        <v>ACCT#011955/DISTRICT JUDGE</v>
      </c>
    </row>
    <row r="91" spans="1:8" x14ac:dyDescent="0.25">
      <c r="E91" t="str">
        <f>"202011029823"</f>
        <v>202011029823</v>
      </c>
      <c r="F91" t="str">
        <f>"ACCT#010311/COUNTY CT AT LAW"</f>
        <v>ACCT#010311/COUNTY CT AT LAW</v>
      </c>
      <c r="G91" s="1">
        <v>9</v>
      </c>
      <c r="H91" t="str">
        <f>"ACCT#010311/COUNTY CT AT LAW"</f>
        <v>ACCT#010311/COUNTY CT AT LAW</v>
      </c>
    </row>
    <row r="92" spans="1:8" x14ac:dyDescent="0.25">
      <c r="E92" t="str">
        <f>"202011029824"</f>
        <v>202011029824</v>
      </c>
      <c r="F92" t="str">
        <f>"ACCT#010835/COMMISSIONERS PCT1"</f>
        <v>ACCT#010835/COMMISSIONERS PCT1</v>
      </c>
      <c r="G92" s="1">
        <v>19.489999999999998</v>
      </c>
      <c r="H92" t="str">
        <f>"ACCT#010835/COMMISSIONERS PCT1"</f>
        <v>ACCT#010835/COMMISSIONERS PCT1</v>
      </c>
    </row>
    <row r="93" spans="1:8" x14ac:dyDescent="0.25">
      <c r="E93" t="str">
        <f>"202011029829"</f>
        <v>202011029829</v>
      </c>
      <c r="F93" t="str">
        <f>"ACCT#011280/COUNTY CLERK"</f>
        <v>ACCT#011280/COUNTY CLERK</v>
      </c>
      <c r="G93" s="1">
        <v>46.5</v>
      </c>
      <c r="H93" t="str">
        <f>"ACCT#011280/COUNTY CLERK"</f>
        <v>ACCT#011280/COUNTY CLERK</v>
      </c>
    </row>
    <row r="94" spans="1:8" x14ac:dyDescent="0.25">
      <c r="E94" t="str">
        <f>"202011029830"</f>
        <v>202011029830</v>
      </c>
      <c r="F94" t="str">
        <f>"ACCT#010057/AUDITOR"</f>
        <v>ACCT#010057/AUDITOR</v>
      </c>
      <c r="G94" s="1">
        <v>9</v>
      </c>
      <c r="H94" t="str">
        <f>"ACCT#010057/AUDITOR"</f>
        <v>ACCT#010057/AUDITOR</v>
      </c>
    </row>
    <row r="95" spans="1:8" x14ac:dyDescent="0.25">
      <c r="E95" t="str">
        <f>"202011029837"</f>
        <v>202011029837</v>
      </c>
      <c r="F95" t="str">
        <f>"ACCT#014737/ANIMAL SERVICE"</f>
        <v>ACCT#014737/ANIMAL SERVICE</v>
      </c>
      <c r="G95" s="1">
        <v>57.49</v>
      </c>
      <c r="H95" t="str">
        <f>"ACCT#014737/ANIMAL SERVICE"</f>
        <v>ACCT#014737/ANIMAL SERVICE</v>
      </c>
    </row>
    <row r="96" spans="1:8" x14ac:dyDescent="0.25">
      <c r="E96" t="str">
        <f>"202011029838"</f>
        <v>202011029838</v>
      </c>
      <c r="F96" t="str">
        <f>"ACCT#012571/TREASURER"</f>
        <v>ACCT#012571/TREASURER</v>
      </c>
      <c r="G96" s="1">
        <v>22.5</v>
      </c>
      <c r="H96" t="str">
        <f>"ACCT#012571/TREASURER"</f>
        <v>ACCT#012571/TREASURER</v>
      </c>
    </row>
    <row r="97" spans="1:8" x14ac:dyDescent="0.25">
      <c r="E97" t="str">
        <f>"202011039840"</f>
        <v>202011039840</v>
      </c>
      <c r="F97" t="str">
        <f>"ACCT#012803/BASTROP CO JUDGE"</f>
        <v>ACCT#012803/BASTROP CO JUDGE</v>
      </c>
      <c r="G97" s="1">
        <v>16.5</v>
      </c>
      <c r="H97" t="str">
        <f>"ACCT#012803/BASTROP CO JUDGE"</f>
        <v>ACCT#012803/BASTROP CO JUDGE</v>
      </c>
    </row>
    <row r="98" spans="1:8" x14ac:dyDescent="0.25">
      <c r="E98" t="str">
        <f>"202011039902"</f>
        <v>202011039902</v>
      </c>
      <c r="F98" t="str">
        <f>"ACCT#012260/DIST ATTORNEY"</f>
        <v>ACCT#012260/DIST ATTORNEY</v>
      </c>
      <c r="G98" s="1">
        <v>27</v>
      </c>
      <c r="H98" t="str">
        <f>"ACCT#012260/DIST ATTORNEY"</f>
        <v>ACCT#012260/DIST ATTORNEY</v>
      </c>
    </row>
    <row r="99" spans="1:8" x14ac:dyDescent="0.25">
      <c r="E99" t="str">
        <f>"202011039903"</f>
        <v>202011039903</v>
      </c>
      <c r="F99" t="str">
        <f>"ACCT#011033/IT DEPT"</f>
        <v>ACCT#011033/IT DEPT</v>
      </c>
      <c r="G99" s="1">
        <v>9</v>
      </c>
      <c r="H99" t="str">
        <f>"ACCT#011033/IT DEPT"</f>
        <v>ACCT#011033/IT DEPT</v>
      </c>
    </row>
    <row r="100" spans="1:8" x14ac:dyDescent="0.25">
      <c r="E100" t="str">
        <f>"202011039904"</f>
        <v>202011039904</v>
      </c>
      <c r="F100" t="str">
        <f>"ACCT#010149/TX AGRI LIFE EXT"</f>
        <v>ACCT#010149/TX AGRI LIFE EXT</v>
      </c>
      <c r="G100" s="1">
        <v>15</v>
      </c>
      <c r="H100" t="str">
        <f>"ACCT#010149/TX AGRI LIFE EXT"</f>
        <v>ACCT#010149/TX AGRI LIFE EXT</v>
      </c>
    </row>
    <row r="101" spans="1:8" x14ac:dyDescent="0.25">
      <c r="E101" t="str">
        <f>"202011039905"</f>
        <v>202011039905</v>
      </c>
      <c r="F101" t="str">
        <f>"ACCT#015199/JP#1"</f>
        <v>ACCT#015199/JP#1</v>
      </c>
      <c r="G101" s="1">
        <v>9</v>
      </c>
      <c r="H101" t="str">
        <f>"ACCT#015199/JP#1"</f>
        <v>ACCT#015199/JP#1</v>
      </c>
    </row>
    <row r="102" spans="1:8" x14ac:dyDescent="0.25">
      <c r="E102" t="str">
        <f>"202011039914"</f>
        <v>202011039914</v>
      </c>
      <c r="F102" t="str">
        <f>"ACCT#010238/GENERAL SVCS"</f>
        <v>ACCT#010238/GENERAL SVCS</v>
      </c>
      <c r="G102" s="1">
        <v>45.5</v>
      </c>
      <c r="H102" t="str">
        <f>"ACCT#010238/GENERAL SVCS"</f>
        <v>ACCT#010238/GENERAL SVCS</v>
      </c>
    </row>
    <row r="103" spans="1:8" x14ac:dyDescent="0.25">
      <c r="E103" t="str">
        <f>"202011040002"</f>
        <v>202011040002</v>
      </c>
      <c r="F103" t="str">
        <f>"ACCT#014877/INDIGENT HEALTH"</f>
        <v>ACCT#014877/INDIGENT HEALTH</v>
      </c>
      <c r="G103" s="1">
        <v>20.99</v>
      </c>
      <c r="H103" t="str">
        <f>"ACCT#014877/INDIGENT HEALTH"</f>
        <v>ACCT#014877/INDIGENT HEALTH</v>
      </c>
    </row>
    <row r="104" spans="1:8" x14ac:dyDescent="0.25">
      <c r="E104" t="str">
        <f>"202011049987"</f>
        <v>202011049987</v>
      </c>
      <c r="F104" t="str">
        <f>"ACCT#010602/COMMISSIONER OFFIC"</f>
        <v>ACCT#010602/COMMISSIONER OFFIC</v>
      </c>
      <c r="G104" s="1">
        <v>31.5</v>
      </c>
      <c r="H104" t="str">
        <f>"ACCT#010602/COMMISSIONER OFFIC"</f>
        <v>ACCT#010602/COMMISSIONER OFFIC</v>
      </c>
    </row>
    <row r="105" spans="1:8" x14ac:dyDescent="0.25">
      <c r="A105" t="s">
        <v>31</v>
      </c>
      <c r="B105">
        <v>133687</v>
      </c>
      <c r="C105" s="1">
        <v>66.44</v>
      </c>
      <c r="D105" s="5">
        <v>44153</v>
      </c>
      <c r="E105" t="str">
        <f>"202011180191"</f>
        <v>202011180191</v>
      </c>
      <c r="F105" t="str">
        <f>"ACCT#0201855301 / 11052020"</f>
        <v>ACCT#0201855301 / 11052020</v>
      </c>
      <c r="G105" s="1">
        <v>38.630000000000003</v>
      </c>
      <c r="H105" t="str">
        <f>"AQUA WATER SUPPLY CORPORATION"</f>
        <v>AQUA WATER SUPPLY CORPORATION</v>
      </c>
    </row>
    <row r="106" spans="1:8" x14ac:dyDescent="0.25">
      <c r="E106" t="str">
        <f>"202011180192"</f>
        <v>202011180192</v>
      </c>
      <c r="F106" t="str">
        <f>"ACCT#0201891401 / 11052020"</f>
        <v>ACCT#0201891401 / 11052020</v>
      </c>
      <c r="G106" s="1">
        <v>27.81</v>
      </c>
      <c r="H106" t="str">
        <f>"ACCT#0201891401 / 11052020"</f>
        <v>ACCT#0201891401 / 11052020</v>
      </c>
    </row>
    <row r="107" spans="1:8" x14ac:dyDescent="0.25">
      <c r="A107" t="s">
        <v>31</v>
      </c>
      <c r="B107">
        <v>133699</v>
      </c>
      <c r="C107" s="1">
        <v>1682.53</v>
      </c>
      <c r="D107" s="5">
        <v>44158</v>
      </c>
      <c r="E107" t="str">
        <f>"202011160045"</f>
        <v>202011160045</v>
      </c>
      <c r="F107" t="str">
        <f>"ACCT#7700010027/142 LDS WTR/P4"</f>
        <v>ACCT#7700010027/142 LDS WTR/P4</v>
      </c>
      <c r="G107" s="1">
        <v>1455.5</v>
      </c>
      <c r="H107" t="str">
        <f>"ACCT#7700010027/142 LDS WTR/P4"</f>
        <v>ACCT#7700010027/142 LDS WTR/P4</v>
      </c>
    </row>
    <row r="108" spans="1:8" x14ac:dyDescent="0.25">
      <c r="E108" t="str">
        <f>"202011170089"</f>
        <v>202011170089</v>
      </c>
      <c r="F108" t="str">
        <f>"ACCT#7700010019/CEDAR CREEK PK"</f>
        <v>ACCT#7700010019/CEDAR CREEK PK</v>
      </c>
      <c r="G108" s="1">
        <v>22.03</v>
      </c>
      <c r="H108" t="str">
        <f>"ACCT#7700010019/CEDAR CREEK PK"</f>
        <v>ACCT#7700010019/CEDAR CREEK PK</v>
      </c>
    </row>
    <row r="109" spans="1:8" x14ac:dyDescent="0.25">
      <c r="E109" t="str">
        <f>"202011170091"</f>
        <v>202011170091</v>
      </c>
      <c r="F109" t="str">
        <f>"ACCT#7700010025/PCT#2"</f>
        <v>ACCT#7700010025/PCT#2</v>
      </c>
      <c r="G109" s="1">
        <v>205</v>
      </c>
      <c r="H109" t="str">
        <f>"ACCT#7700010025/PCT#2"</f>
        <v>ACCT#7700010025/PCT#2</v>
      </c>
    </row>
    <row r="110" spans="1:8" x14ac:dyDescent="0.25">
      <c r="A110" t="s">
        <v>32</v>
      </c>
      <c r="B110">
        <v>133700</v>
      </c>
      <c r="C110" s="1">
        <v>104.25</v>
      </c>
      <c r="D110" s="5">
        <v>44158</v>
      </c>
      <c r="E110" t="str">
        <f>"202011180141"</f>
        <v>202011180141</v>
      </c>
      <c r="F110" t="str">
        <f>"INDIGENT HEALTH"</f>
        <v>INDIGENT HEALTH</v>
      </c>
      <c r="G110" s="1">
        <v>104.25</v>
      </c>
      <c r="H110" t="str">
        <f>"INDIGENT HEALTH"</f>
        <v>INDIGENT HEALTH</v>
      </c>
    </row>
    <row r="111" spans="1:8" x14ac:dyDescent="0.25">
      <c r="A111" t="s">
        <v>33</v>
      </c>
      <c r="B111">
        <v>133701</v>
      </c>
      <c r="C111" s="1">
        <v>2100</v>
      </c>
      <c r="D111" s="5">
        <v>44158</v>
      </c>
      <c r="E111" t="str">
        <f>"202011170067"</f>
        <v>202011170067</v>
      </c>
      <c r="F111" t="str">
        <f>"Contract"</f>
        <v>Contract</v>
      </c>
      <c r="G111" s="1">
        <v>1600</v>
      </c>
      <c r="H111" t="str">
        <f>"Probable Cost"</f>
        <v>Probable Cost</v>
      </c>
    </row>
    <row r="112" spans="1:8" x14ac:dyDescent="0.25">
      <c r="E112" t="str">
        <f>"202011170068"</f>
        <v>202011170068</v>
      </c>
      <c r="F112" t="str">
        <f>"Contract"</f>
        <v>Contract</v>
      </c>
      <c r="G112" s="1">
        <v>500</v>
      </c>
      <c r="H112" t="str">
        <f>"Master Plan Report"</f>
        <v>Master Plan Report</v>
      </c>
    </row>
    <row r="113" spans="1:8" x14ac:dyDescent="0.25">
      <c r="A113" t="s">
        <v>34</v>
      </c>
      <c r="B113">
        <v>3538</v>
      </c>
      <c r="C113" s="1">
        <v>395</v>
      </c>
      <c r="D113" s="5">
        <v>44159</v>
      </c>
      <c r="E113" t="str">
        <f>"2021-1-3"</f>
        <v>2021-1-3</v>
      </c>
      <c r="F113" t="str">
        <f>"2021 ARCIT MEMBERSHIP"</f>
        <v>2021 ARCIT MEMBERSHIP</v>
      </c>
      <c r="G113" s="1">
        <v>395</v>
      </c>
      <c r="H113" t="str">
        <f>"2021 ARCIT MEMBERSHIP"</f>
        <v>2021 ARCIT MEMBERSHIP</v>
      </c>
    </row>
    <row r="114" spans="1:8" x14ac:dyDescent="0.25">
      <c r="A114" t="s">
        <v>35</v>
      </c>
      <c r="B114">
        <v>133577</v>
      </c>
      <c r="C114" s="1">
        <v>2627.55</v>
      </c>
      <c r="D114" s="5">
        <v>44144</v>
      </c>
      <c r="E114" t="str">
        <f>"4666*149*1"</f>
        <v>4666*149*1</v>
      </c>
      <c r="F114" t="str">
        <f>"JAIL MEDICAL"</f>
        <v>JAIL MEDICAL</v>
      </c>
      <c r="G114" s="1">
        <v>2627.55</v>
      </c>
      <c r="H114" t="str">
        <f>"JAIL MEDICAL"</f>
        <v>JAIL MEDICAL</v>
      </c>
    </row>
    <row r="115" spans="1:8" x14ac:dyDescent="0.25">
      <c r="A115" t="s">
        <v>35</v>
      </c>
      <c r="B115">
        <v>133702</v>
      </c>
      <c r="C115" s="1">
        <v>13492.81</v>
      </c>
      <c r="D115" s="5">
        <v>44158</v>
      </c>
      <c r="E115" t="str">
        <f>"202011180143"</f>
        <v>202011180143</v>
      </c>
      <c r="F115" t="str">
        <f>"INDIGENT HEALTH"</f>
        <v>INDIGENT HEALTH</v>
      </c>
      <c r="G115" s="1">
        <v>5410.73</v>
      </c>
      <c r="H115" t="str">
        <f>"INDIGENT HEALTH"</f>
        <v>INDIGENT HEALTH</v>
      </c>
    </row>
    <row r="116" spans="1:8" x14ac:dyDescent="0.25">
      <c r="E116" t="str">
        <f>"202011180184"</f>
        <v>202011180184</v>
      </c>
      <c r="F116" t="str">
        <f>"JAIL MEDICAL"</f>
        <v>JAIL MEDICAL</v>
      </c>
      <c r="G116" s="1">
        <v>8082.08</v>
      </c>
      <c r="H116" t="str">
        <f>"JAIL MEDICAL"</f>
        <v>JAIL MEDICAL</v>
      </c>
    </row>
    <row r="117" spans="1:8" x14ac:dyDescent="0.25">
      <c r="A117" t="s">
        <v>36</v>
      </c>
      <c r="B117">
        <v>133578</v>
      </c>
      <c r="C117" s="1">
        <v>19.850000000000001</v>
      </c>
      <c r="D117" s="5">
        <v>44144</v>
      </c>
      <c r="E117" t="str">
        <f>"202011029839"</f>
        <v>202011029839</v>
      </c>
      <c r="F117" t="str">
        <f>"REIMBURSE GLUE FOR SURGERY"</f>
        <v>REIMBURSE GLUE FOR SURGERY</v>
      </c>
      <c r="G117" s="1">
        <v>19.850000000000001</v>
      </c>
      <c r="H117" t="str">
        <f>"REIMBURSE GLUE FOR SURGERY"</f>
        <v>REIMBURSE GLUE FOR SURGERY</v>
      </c>
    </row>
    <row r="118" spans="1:8" x14ac:dyDescent="0.25">
      <c r="A118" t="s">
        <v>37</v>
      </c>
      <c r="B118">
        <v>133579</v>
      </c>
      <c r="C118" s="1">
        <v>3732.18</v>
      </c>
      <c r="D118" s="5">
        <v>44144</v>
      </c>
      <c r="E118" t="str">
        <f>"202011039901"</f>
        <v>202011039901</v>
      </c>
      <c r="F118" t="str">
        <f>"ACCT#51249-0048 193 3"</f>
        <v>ACCT#51249-0048 193 3</v>
      </c>
      <c r="G118" s="1">
        <v>2986.34</v>
      </c>
      <c r="H118" t="str">
        <f>"ACCT#51249-0048 193 3"</f>
        <v>ACCT#51249-0048 193 3</v>
      </c>
    </row>
    <row r="119" spans="1:8" x14ac:dyDescent="0.25">
      <c r="E119" t="str">
        <f>""</f>
        <v/>
      </c>
      <c r="F119" t="str">
        <f>""</f>
        <v/>
      </c>
      <c r="H119" t="str">
        <f>"ACCT#51249-0048 193 3"</f>
        <v>ACCT#51249-0048 193 3</v>
      </c>
    </row>
    <row r="120" spans="1:8" x14ac:dyDescent="0.25">
      <c r="E120" t="str">
        <f>""</f>
        <v/>
      </c>
      <c r="F120" t="str">
        <f>""</f>
        <v/>
      </c>
      <c r="H120" t="str">
        <f>"ACCT#51249-0048 193 3"</f>
        <v>ACCT#51249-0048 193 3</v>
      </c>
    </row>
    <row r="121" spans="1:8" x14ac:dyDescent="0.25">
      <c r="E121" t="str">
        <f>""</f>
        <v/>
      </c>
      <c r="F121" t="str">
        <f>""</f>
        <v/>
      </c>
      <c r="H121" t="str">
        <f>"ACCT#51249-0048 193 3"</f>
        <v>ACCT#51249-0048 193 3</v>
      </c>
    </row>
    <row r="122" spans="1:8" x14ac:dyDescent="0.25">
      <c r="E122" t="str">
        <f>"202011039910"</f>
        <v>202011039910</v>
      </c>
      <c r="F122" t="str">
        <f>"ACCT#512 308-9870 530 7"</f>
        <v>ACCT#512 308-9870 530 7</v>
      </c>
      <c r="G122" s="1">
        <v>745.84</v>
      </c>
      <c r="H122" t="str">
        <f>"ACCT#512 308-9870 530 7"</f>
        <v>ACCT#512 308-9870 530 7</v>
      </c>
    </row>
    <row r="123" spans="1:8" x14ac:dyDescent="0.25">
      <c r="A123" t="s">
        <v>37</v>
      </c>
      <c r="B123">
        <v>133580</v>
      </c>
      <c r="C123" s="1">
        <v>150</v>
      </c>
      <c r="D123" s="5">
        <v>44144</v>
      </c>
      <c r="E123" t="str">
        <f>"365051"</f>
        <v>365051</v>
      </c>
      <c r="F123" t="str">
        <f>"INV 365051"</f>
        <v>INV 365051</v>
      </c>
      <c r="G123" s="1">
        <v>150</v>
      </c>
      <c r="H123" t="str">
        <f>"INV 365051"</f>
        <v>INV 365051</v>
      </c>
    </row>
    <row r="124" spans="1:8" x14ac:dyDescent="0.25">
      <c r="A124" t="s">
        <v>37</v>
      </c>
      <c r="B124">
        <v>133581</v>
      </c>
      <c r="C124" s="1">
        <v>6543.48</v>
      </c>
      <c r="D124" s="5">
        <v>44144</v>
      </c>
      <c r="E124" t="str">
        <f>"0337528501"</f>
        <v>0337528501</v>
      </c>
      <c r="F124" t="str">
        <f>"ACCT#831-000-6084 095"</f>
        <v>ACCT#831-000-6084 095</v>
      </c>
      <c r="G124" s="1">
        <v>1684.69</v>
      </c>
      <c r="H124" t="str">
        <f>"ACCT#831-000-6084 095"</f>
        <v>ACCT#831-000-6084 095</v>
      </c>
    </row>
    <row r="125" spans="1:8" x14ac:dyDescent="0.25">
      <c r="E125" t="str">
        <f>"1366397503"</f>
        <v>1366397503</v>
      </c>
      <c r="F125" t="str">
        <f>"ACCT#831-000-9850 451"</f>
        <v>ACCT#831-000-9850 451</v>
      </c>
      <c r="G125" s="1">
        <v>1984.16</v>
      </c>
      <c r="H125" t="str">
        <f>"ACCT#831-000-9850 451"</f>
        <v>ACCT#831-000-9850 451</v>
      </c>
    </row>
    <row r="126" spans="1:8" x14ac:dyDescent="0.25">
      <c r="E126" t="str">
        <f>"3789687503"</f>
        <v>3789687503</v>
      </c>
      <c r="F126" t="str">
        <f>"ACCT#831-000-7919 623"</f>
        <v>ACCT#831-000-7919 623</v>
      </c>
      <c r="G126" s="1">
        <v>2000.38</v>
      </c>
      <c r="H126" t="str">
        <f>"ACCT#831-000-7919 623"</f>
        <v>ACCT#831-000-7919 623</v>
      </c>
    </row>
    <row r="127" spans="1:8" x14ac:dyDescent="0.25">
      <c r="E127" t="str">
        <f>"5601657506"</f>
        <v>5601657506</v>
      </c>
      <c r="F127" t="str">
        <f>"ACCT#831-000-7218 923"</f>
        <v>ACCT#831-000-7218 923</v>
      </c>
      <c r="G127" s="1">
        <v>874.25</v>
      </c>
      <c r="H127" t="str">
        <f>"ACCT#831-000-7218 923"</f>
        <v>ACCT#831-000-7218 923</v>
      </c>
    </row>
    <row r="128" spans="1:8" x14ac:dyDescent="0.25">
      <c r="A128" t="s">
        <v>38</v>
      </c>
      <c r="B128">
        <v>133703</v>
      </c>
      <c r="C128" s="1">
        <v>5840.04</v>
      </c>
      <c r="D128" s="5">
        <v>44158</v>
      </c>
      <c r="E128" t="str">
        <f>"287290524359X1027"</f>
        <v>287290524359X1027</v>
      </c>
      <c r="F128" t="str">
        <f>"ACCT#287290524359/FAN#58143538"</f>
        <v>ACCT#287290524359/FAN#58143538</v>
      </c>
      <c r="G128" s="1">
        <v>1526.26</v>
      </c>
      <c r="H128" t="str">
        <f t="shared" ref="H128:H137" si="6">"ACCT#287290524359/FAN#58143538"</f>
        <v>ACCT#287290524359/FAN#58143538</v>
      </c>
    </row>
    <row r="129" spans="1:8" x14ac:dyDescent="0.25">
      <c r="E129" t="str">
        <f>"287290524359X10272"</f>
        <v>287290524359X10272</v>
      </c>
      <c r="F129" t="str">
        <f>"ACCT#287290524359/FAN#58143538"</f>
        <v>ACCT#287290524359/FAN#58143538</v>
      </c>
      <c r="G129" s="1">
        <v>4313.78</v>
      </c>
      <c r="H129" t="str">
        <f t="shared" si="6"/>
        <v>ACCT#287290524359/FAN#58143538</v>
      </c>
    </row>
    <row r="130" spans="1:8" x14ac:dyDescent="0.25">
      <c r="E130" t="str">
        <f>""</f>
        <v/>
      </c>
      <c r="F130" t="str">
        <f>""</f>
        <v/>
      </c>
      <c r="H130" t="str">
        <f t="shared" si="6"/>
        <v>ACCT#287290524359/FAN#58143538</v>
      </c>
    </row>
    <row r="131" spans="1:8" x14ac:dyDescent="0.25">
      <c r="E131" t="str">
        <f>""</f>
        <v/>
      </c>
      <c r="F131" t="str">
        <f>""</f>
        <v/>
      </c>
      <c r="H131" t="str">
        <f t="shared" si="6"/>
        <v>ACCT#287290524359/FAN#58143538</v>
      </c>
    </row>
    <row r="132" spans="1:8" x14ac:dyDescent="0.25">
      <c r="E132" t="str">
        <f>""</f>
        <v/>
      </c>
      <c r="F132" t="str">
        <f>""</f>
        <v/>
      </c>
      <c r="H132" t="str">
        <f t="shared" si="6"/>
        <v>ACCT#287290524359/FAN#58143538</v>
      </c>
    </row>
    <row r="133" spans="1:8" x14ac:dyDescent="0.25">
      <c r="E133" t="str">
        <f>""</f>
        <v/>
      </c>
      <c r="F133" t="str">
        <f>""</f>
        <v/>
      </c>
      <c r="H133" t="str">
        <f t="shared" si="6"/>
        <v>ACCT#287290524359/FAN#58143538</v>
      </c>
    </row>
    <row r="134" spans="1:8" x14ac:dyDescent="0.25">
      <c r="E134" t="str">
        <f>""</f>
        <v/>
      </c>
      <c r="F134" t="str">
        <f>""</f>
        <v/>
      </c>
      <c r="H134" t="str">
        <f t="shared" si="6"/>
        <v>ACCT#287290524359/FAN#58143538</v>
      </c>
    </row>
    <row r="135" spans="1:8" x14ac:dyDescent="0.25">
      <c r="E135" t="str">
        <f>""</f>
        <v/>
      </c>
      <c r="F135" t="str">
        <f>""</f>
        <v/>
      </c>
      <c r="H135" t="str">
        <f t="shared" si="6"/>
        <v>ACCT#287290524359/FAN#58143538</v>
      </c>
    </row>
    <row r="136" spans="1:8" x14ac:dyDescent="0.25">
      <c r="E136" t="str">
        <f>""</f>
        <v/>
      </c>
      <c r="F136" t="str">
        <f>""</f>
        <v/>
      </c>
      <c r="H136" t="str">
        <f t="shared" si="6"/>
        <v>ACCT#287290524359/FAN#58143538</v>
      </c>
    </row>
    <row r="137" spans="1:8" x14ac:dyDescent="0.25">
      <c r="E137" t="str">
        <f>""</f>
        <v/>
      </c>
      <c r="F137" t="str">
        <f>""</f>
        <v/>
      </c>
      <c r="H137" t="str">
        <f t="shared" si="6"/>
        <v>ACCT#287290524359/FAN#58143538</v>
      </c>
    </row>
    <row r="138" spans="1:8" x14ac:dyDescent="0.25">
      <c r="A138" t="s">
        <v>39</v>
      </c>
      <c r="B138">
        <v>133704</v>
      </c>
      <c r="C138" s="1">
        <v>118.42</v>
      </c>
      <c r="D138" s="5">
        <v>44158</v>
      </c>
      <c r="E138" t="str">
        <f>"11162020"</f>
        <v>11162020</v>
      </c>
      <c r="F138" t="str">
        <f>"INV 11162020"</f>
        <v>INV 11162020</v>
      </c>
      <c r="G138" s="1">
        <v>118.42</v>
      </c>
      <c r="H138" t="str">
        <f>"INV 11162020"</f>
        <v>INV 11162020</v>
      </c>
    </row>
    <row r="139" spans="1:8" x14ac:dyDescent="0.25">
      <c r="E139" t="str">
        <f>""</f>
        <v/>
      </c>
      <c r="F139" t="str">
        <f>""</f>
        <v/>
      </c>
      <c r="H139" t="str">
        <f>"INV 11162020 - SHIP"</f>
        <v>INV 11162020 - SHIP</v>
      </c>
    </row>
    <row r="140" spans="1:8" x14ac:dyDescent="0.25">
      <c r="A140" t="s">
        <v>40</v>
      </c>
      <c r="B140">
        <v>3497</v>
      </c>
      <c r="C140" s="1">
        <v>42.05</v>
      </c>
      <c r="D140" s="5">
        <v>44145</v>
      </c>
      <c r="E140" t="str">
        <f>"2854"</f>
        <v>2854</v>
      </c>
      <c r="F140" t="str">
        <f>"GASKET/CAMLOCK"</f>
        <v>GASKET/CAMLOCK</v>
      </c>
      <c r="G140" s="1">
        <v>42.05</v>
      </c>
      <c r="H140" t="str">
        <f>"GASKET/CAMLOCK"</f>
        <v>GASKET/CAMLOCK</v>
      </c>
    </row>
    <row r="141" spans="1:8" x14ac:dyDescent="0.25">
      <c r="A141" t="s">
        <v>41</v>
      </c>
      <c r="B141">
        <v>133705</v>
      </c>
      <c r="C141" s="1">
        <v>514.25</v>
      </c>
      <c r="D141" s="5">
        <v>44158</v>
      </c>
      <c r="E141" t="str">
        <f>"53812"</f>
        <v>53812</v>
      </c>
      <c r="F141" t="str">
        <f>"INV 53812"</f>
        <v>INV 53812</v>
      </c>
      <c r="G141" s="1">
        <v>514.25</v>
      </c>
      <c r="H141" t="str">
        <f>"INV 53812"</f>
        <v>INV 53812</v>
      </c>
    </row>
    <row r="142" spans="1:8" x14ac:dyDescent="0.25">
      <c r="A142" t="s">
        <v>42</v>
      </c>
      <c r="B142">
        <v>133706</v>
      </c>
      <c r="C142" s="1">
        <v>483.28</v>
      </c>
      <c r="D142" s="5">
        <v>44158</v>
      </c>
      <c r="E142" t="str">
        <f>"156890"</f>
        <v>156890</v>
      </c>
      <c r="F142" t="str">
        <f>"CLUTCH/GAUGE SET/COUPLERS/P3"</f>
        <v>CLUTCH/GAUGE SET/COUPLERS/P3</v>
      </c>
      <c r="G142" s="1">
        <v>402.09</v>
      </c>
      <c r="H142" t="str">
        <f>"CLUTCH/GAUGE SET/COUPLERS/P3"</f>
        <v>CLUTCH/GAUGE SET/COUPLERS/P3</v>
      </c>
    </row>
    <row r="143" spans="1:8" x14ac:dyDescent="0.25">
      <c r="E143" t="str">
        <f>"156894"</f>
        <v>156894</v>
      </c>
      <c r="F143" t="str">
        <f>"HOSE/MATERIAL/PCT#3"</f>
        <v>HOSE/MATERIAL/PCT#3</v>
      </c>
      <c r="G143" s="1">
        <v>81.19</v>
      </c>
      <c r="H143" t="str">
        <f>"HOSE/MATERIAL/PCT#3"</f>
        <v>HOSE/MATERIAL/PCT#3</v>
      </c>
    </row>
    <row r="144" spans="1:8" x14ac:dyDescent="0.25">
      <c r="A144" t="s">
        <v>43</v>
      </c>
      <c r="B144">
        <v>133707</v>
      </c>
      <c r="C144" s="1">
        <v>485</v>
      </c>
      <c r="D144" s="5">
        <v>44158</v>
      </c>
      <c r="E144" t="str">
        <f>"001544"</f>
        <v>001544</v>
      </c>
      <c r="F144" t="str">
        <f>"WHEEL LIFT DAMAGE/PCT#1"</f>
        <v>WHEEL LIFT DAMAGE/PCT#1</v>
      </c>
      <c r="G144" s="1">
        <v>485</v>
      </c>
      <c r="H144" t="str">
        <f>"WHEEL LIFT DAMAGE/PCT#1"</f>
        <v>WHEEL LIFT DAMAGE/PCT#1</v>
      </c>
    </row>
    <row r="145" spans="1:8" x14ac:dyDescent="0.25">
      <c r="A145" t="s">
        <v>44</v>
      </c>
      <c r="B145">
        <v>3500</v>
      </c>
      <c r="C145" s="1">
        <v>1926.94</v>
      </c>
      <c r="D145" s="5">
        <v>44145</v>
      </c>
      <c r="E145" t="str">
        <f>"202011029828"</f>
        <v>202011029828</v>
      </c>
      <c r="F145" t="str">
        <f>"CUST ID:0009/GEN SVCS"</f>
        <v>CUST ID:0009/GEN SVCS</v>
      </c>
      <c r="G145" s="1">
        <v>23</v>
      </c>
      <c r="H145" t="str">
        <f>"CUST ID:0009/GEN SVCS"</f>
        <v>CUST ID:0009/GEN SVCS</v>
      </c>
    </row>
    <row r="146" spans="1:8" x14ac:dyDescent="0.25">
      <c r="E146" t="str">
        <f>"202011029832"</f>
        <v>202011029832</v>
      </c>
      <c r="F146" t="str">
        <f>"CUST ID:0009/PCT#1"</f>
        <v>CUST ID:0009/PCT#1</v>
      </c>
      <c r="G146" s="1">
        <v>107</v>
      </c>
      <c r="H146" t="str">
        <f>"CUST ID:0009/PCT#1"</f>
        <v>CUST ID:0009/PCT#1</v>
      </c>
    </row>
    <row r="147" spans="1:8" x14ac:dyDescent="0.25">
      <c r="E147" t="str">
        <f>"202011029833"</f>
        <v>202011029833</v>
      </c>
      <c r="F147" t="str">
        <f>"CUST ID:0010/PCT#2"</f>
        <v>CUST ID:0010/PCT#2</v>
      </c>
      <c r="G147" s="1">
        <v>152</v>
      </c>
      <c r="H147" t="str">
        <f>"CUST ID:0010/PCT#2"</f>
        <v>CUST ID:0010/PCT#2</v>
      </c>
    </row>
    <row r="148" spans="1:8" x14ac:dyDescent="0.25">
      <c r="E148" t="str">
        <f>"202011029835"</f>
        <v>202011029835</v>
      </c>
      <c r="F148" t="str">
        <f>"CUST ID:0011/PCT#3"</f>
        <v>CUST ID:0011/PCT#3</v>
      </c>
      <c r="G148" s="1">
        <v>1344.94</v>
      </c>
      <c r="H148" t="str">
        <f>"CUST ID:0011/PCT#3"</f>
        <v>CUST ID:0011/PCT#3</v>
      </c>
    </row>
    <row r="149" spans="1:8" x14ac:dyDescent="0.25">
      <c r="E149" t="str">
        <f>"376927"</f>
        <v>376927</v>
      </c>
      <c r="F149" t="str">
        <f>"CUST ID:0017/ANIMAL CONTROL"</f>
        <v>CUST ID:0017/ANIMAL CONTROL</v>
      </c>
      <c r="G149" s="1">
        <v>300</v>
      </c>
      <c r="H149" t="str">
        <f>"CUST ID:0017/ANIMAL CONTROL"</f>
        <v>CUST ID:0017/ANIMAL CONTROL</v>
      </c>
    </row>
    <row r="150" spans="1:8" x14ac:dyDescent="0.25">
      <c r="A150" t="s">
        <v>45</v>
      </c>
      <c r="B150">
        <v>3530</v>
      </c>
      <c r="C150" s="1">
        <v>2700</v>
      </c>
      <c r="D150" s="5">
        <v>44159</v>
      </c>
      <c r="E150" t="str">
        <f>"1616"</f>
        <v>1616</v>
      </c>
      <c r="F150" t="str">
        <f>"REMOVED 2 LARGE TREES/PCT#2"</f>
        <v>REMOVED 2 LARGE TREES/PCT#2</v>
      </c>
      <c r="G150" s="1">
        <v>1800</v>
      </c>
      <c r="H150" t="str">
        <f>"REMOVED 2 LARGE TREES/PCT#2"</f>
        <v>REMOVED 2 LARGE TREES/PCT#2</v>
      </c>
    </row>
    <row r="151" spans="1:8" x14ac:dyDescent="0.25">
      <c r="E151" t="str">
        <f>"1617"</f>
        <v>1617</v>
      </c>
      <c r="F151" t="str">
        <f>"REMOVED LARGE PINE/PCT#2"</f>
        <v>REMOVED LARGE PINE/PCT#2</v>
      </c>
      <c r="G151" s="1">
        <v>900</v>
      </c>
      <c r="H151" t="str">
        <f>"REMOVED LARGE PINE/PCT#2"</f>
        <v>REMOVED LARGE PINE/PCT#2</v>
      </c>
    </row>
    <row r="152" spans="1:8" x14ac:dyDescent="0.25">
      <c r="A152" t="s">
        <v>46</v>
      </c>
      <c r="B152">
        <v>133582</v>
      </c>
      <c r="C152" s="1">
        <v>275</v>
      </c>
      <c r="D152" s="5">
        <v>44144</v>
      </c>
      <c r="E152" t="str">
        <f>"1647"</f>
        <v>1647</v>
      </c>
      <c r="F152" t="str">
        <f>"INV 1647 / UNIT 0804"</f>
        <v>INV 1647 / UNIT 0804</v>
      </c>
      <c r="G152" s="1">
        <v>275</v>
      </c>
      <c r="H152" t="str">
        <f>"INV 1647 / UNIT 0804"</f>
        <v>INV 1647 / UNIT 0804</v>
      </c>
    </row>
    <row r="153" spans="1:8" x14ac:dyDescent="0.25">
      <c r="A153" t="s">
        <v>47</v>
      </c>
      <c r="B153">
        <v>133583</v>
      </c>
      <c r="C153" s="1">
        <v>1720.5</v>
      </c>
      <c r="D153" s="5">
        <v>44144</v>
      </c>
      <c r="E153" t="str">
        <f>"11437"</f>
        <v>11437</v>
      </c>
      <c r="F153" t="str">
        <f>"SERVICE"</f>
        <v>SERVICE</v>
      </c>
      <c r="G153" s="1">
        <v>200</v>
      </c>
      <c r="H153" t="str">
        <f>"SERVICE"</f>
        <v>SERVICE</v>
      </c>
    </row>
    <row r="154" spans="1:8" x14ac:dyDescent="0.25">
      <c r="E154" t="str">
        <f>"12940"</f>
        <v>12940</v>
      </c>
      <c r="F154" t="str">
        <f>"SERVICE"</f>
        <v>SERVICE</v>
      </c>
      <c r="G154" s="1">
        <v>100</v>
      </c>
      <c r="H154" t="str">
        <f>"SERVICE"</f>
        <v>SERVICE</v>
      </c>
    </row>
    <row r="155" spans="1:8" x14ac:dyDescent="0.25">
      <c r="E155" t="str">
        <f>"12973"</f>
        <v>12973</v>
      </c>
      <c r="F155" t="str">
        <f>"SERVICE"</f>
        <v>SERVICE</v>
      </c>
      <c r="G155" s="1">
        <v>250</v>
      </c>
      <c r="H155" t="str">
        <f>"SERVICE"</f>
        <v>SERVICE</v>
      </c>
    </row>
    <row r="156" spans="1:8" x14ac:dyDescent="0.25">
      <c r="E156" t="s">
        <v>48</v>
      </c>
      <c r="F156" s="1" t="str">
        <f>"SERVICE"</f>
        <v>SERVICE</v>
      </c>
      <c r="G156" s="1">
        <v>7</v>
      </c>
      <c r="H156" s="1" t="str">
        <f>"SERVICE"</f>
        <v>SERVICE</v>
      </c>
    </row>
    <row r="157" spans="1:8" x14ac:dyDescent="0.25">
      <c r="E157" t="str">
        <f>"13011"</f>
        <v>13011</v>
      </c>
      <c r="F157" t="str">
        <f>"SERVICE"</f>
        <v>SERVICE</v>
      </c>
      <c r="G157" s="1">
        <v>61</v>
      </c>
      <c r="H157" t="str">
        <f>"SERVICE"</f>
        <v>SERVICE</v>
      </c>
    </row>
    <row r="158" spans="1:8" x14ac:dyDescent="0.25">
      <c r="E158" t="str">
        <f>"13209  09/14/20"</f>
        <v>13209  09/14/20</v>
      </c>
      <c r="F158" t="str">
        <f>"ABST FEE"</f>
        <v>ABST FEE</v>
      </c>
      <c r="G158" s="1">
        <v>225</v>
      </c>
      <c r="H158" t="str">
        <f>"ABST FEE"</f>
        <v>ABST FEE</v>
      </c>
    </row>
    <row r="159" spans="1:8" x14ac:dyDescent="0.25">
      <c r="E159" t="str">
        <f>"13259  09/18/20"</f>
        <v>13259  09/18/20</v>
      </c>
      <c r="F159" t="str">
        <f t="shared" ref="F159:F166" si="7">"SERVICE"</f>
        <v>SERVICE</v>
      </c>
      <c r="G159" s="1">
        <v>75</v>
      </c>
      <c r="H159" t="str">
        <f t="shared" ref="H159:H166" si="8">"SERVICE"</f>
        <v>SERVICE</v>
      </c>
    </row>
    <row r="160" spans="1:8" x14ac:dyDescent="0.25">
      <c r="E160" t="str">
        <f>"13283"</f>
        <v>13283</v>
      </c>
      <c r="F160" t="str">
        <f t="shared" si="7"/>
        <v>SERVICE</v>
      </c>
      <c r="G160" s="1">
        <v>150</v>
      </c>
      <c r="H160" t="str">
        <f t="shared" si="8"/>
        <v>SERVICE</v>
      </c>
    </row>
    <row r="161" spans="1:8" x14ac:dyDescent="0.25">
      <c r="E161" t="str">
        <f>"13337"</f>
        <v>13337</v>
      </c>
      <c r="F161" t="str">
        <f t="shared" si="7"/>
        <v>SERVICE</v>
      </c>
      <c r="G161" s="1">
        <v>150</v>
      </c>
      <c r="H161" t="str">
        <f t="shared" si="8"/>
        <v>SERVICE</v>
      </c>
    </row>
    <row r="162" spans="1:8" x14ac:dyDescent="0.25">
      <c r="E162" t="str">
        <f>"13353 08/19/2020"</f>
        <v>13353 08/19/2020</v>
      </c>
      <c r="F162" t="str">
        <f t="shared" si="7"/>
        <v>SERVICE</v>
      </c>
      <c r="G162" s="1">
        <v>37.5</v>
      </c>
      <c r="H162" t="str">
        <f t="shared" si="8"/>
        <v>SERVICE</v>
      </c>
    </row>
    <row r="163" spans="1:8" x14ac:dyDescent="0.25">
      <c r="E163" t="str">
        <f>"13398"</f>
        <v>13398</v>
      </c>
      <c r="F163" t="str">
        <f t="shared" si="7"/>
        <v>SERVICE</v>
      </c>
      <c r="G163" s="1">
        <v>75</v>
      </c>
      <c r="H163" t="str">
        <f t="shared" si="8"/>
        <v>SERVICE</v>
      </c>
    </row>
    <row r="164" spans="1:8" x14ac:dyDescent="0.25">
      <c r="E164" t="str">
        <f>"13418"</f>
        <v>13418</v>
      </c>
      <c r="F164" t="str">
        <f t="shared" si="7"/>
        <v>SERVICE</v>
      </c>
      <c r="G164" s="1">
        <v>225</v>
      </c>
      <c r="H164" t="str">
        <f t="shared" si="8"/>
        <v>SERVICE</v>
      </c>
    </row>
    <row r="165" spans="1:8" x14ac:dyDescent="0.25">
      <c r="E165" t="str">
        <f>"13470"</f>
        <v>13470</v>
      </c>
      <c r="F165" t="str">
        <f t="shared" si="7"/>
        <v>SERVICE</v>
      </c>
      <c r="G165" s="1">
        <v>15</v>
      </c>
      <c r="H165" t="str">
        <f t="shared" si="8"/>
        <v>SERVICE</v>
      </c>
    </row>
    <row r="166" spans="1:8" x14ac:dyDescent="0.25">
      <c r="E166" t="str">
        <f>"13490"</f>
        <v>13490</v>
      </c>
      <c r="F166" t="str">
        <f t="shared" si="7"/>
        <v>SERVICE</v>
      </c>
      <c r="G166" s="1">
        <v>150</v>
      </c>
      <c r="H166" t="str">
        <f t="shared" si="8"/>
        <v>SERVICE</v>
      </c>
    </row>
    <row r="167" spans="1:8" x14ac:dyDescent="0.25">
      <c r="A167" t="s">
        <v>47</v>
      </c>
      <c r="B167">
        <v>133708</v>
      </c>
      <c r="C167" s="1">
        <v>1318</v>
      </c>
      <c r="D167" s="5">
        <v>44158</v>
      </c>
      <c r="E167" t="s">
        <v>49</v>
      </c>
      <c r="F167" s="1" t="str">
        <f>"SERVICE"</f>
        <v>SERVICE</v>
      </c>
      <c r="G167" s="1">
        <v>100</v>
      </c>
      <c r="H167" s="1" t="str">
        <f>"SERVICE"</f>
        <v>SERVICE</v>
      </c>
    </row>
    <row r="168" spans="1:8" x14ac:dyDescent="0.25">
      <c r="E168" t="str">
        <f>"12205  09/29/20"</f>
        <v>12205  09/29/20</v>
      </c>
      <c r="F168" t="str">
        <f t="shared" ref="F168:F174" si="9">"SERVICE"</f>
        <v>SERVICE</v>
      </c>
      <c r="G168" s="1">
        <v>100</v>
      </c>
      <c r="H168" t="str">
        <f t="shared" ref="H168:H177" si="10">"SERVICE"</f>
        <v>SERVICE</v>
      </c>
    </row>
    <row r="169" spans="1:8" x14ac:dyDescent="0.25">
      <c r="E169" t="str">
        <f>"12694"</f>
        <v>12694</v>
      </c>
      <c r="F169" t="str">
        <f t="shared" si="9"/>
        <v>SERVICE</v>
      </c>
      <c r="G169" s="1">
        <v>225</v>
      </c>
      <c r="H169" t="str">
        <f t="shared" si="10"/>
        <v>SERVICE</v>
      </c>
    </row>
    <row r="170" spans="1:8" x14ac:dyDescent="0.25">
      <c r="E170" t="str">
        <f>"12815  09/25/20"</f>
        <v>12815  09/25/20</v>
      </c>
      <c r="F170" t="str">
        <f t="shared" si="9"/>
        <v>SERVICE</v>
      </c>
      <c r="G170" s="1">
        <v>50</v>
      </c>
      <c r="H170" t="str">
        <f t="shared" si="10"/>
        <v>SERVICE</v>
      </c>
    </row>
    <row r="171" spans="1:8" x14ac:dyDescent="0.25">
      <c r="E171" t="str">
        <f>"12940  10/01/20"</f>
        <v>12940  10/01/20</v>
      </c>
      <c r="F171" t="str">
        <f t="shared" si="9"/>
        <v>SERVICE</v>
      </c>
      <c r="G171" s="1">
        <v>50</v>
      </c>
      <c r="H171" t="str">
        <f t="shared" si="10"/>
        <v>SERVICE</v>
      </c>
    </row>
    <row r="172" spans="1:8" x14ac:dyDescent="0.25">
      <c r="E172" t="str">
        <f>"12972"</f>
        <v>12972</v>
      </c>
      <c r="F172" t="str">
        <f t="shared" si="9"/>
        <v>SERVICE</v>
      </c>
      <c r="G172" s="1">
        <v>150</v>
      </c>
      <c r="H172" t="str">
        <f t="shared" si="10"/>
        <v>SERVICE</v>
      </c>
    </row>
    <row r="173" spans="1:8" x14ac:dyDescent="0.25">
      <c r="E173" t="str">
        <f>"13231"</f>
        <v>13231</v>
      </c>
      <c r="F173" t="str">
        <f t="shared" si="9"/>
        <v>SERVICE</v>
      </c>
      <c r="G173" s="1">
        <v>225</v>
      </c>
      <c r="H173" t="str">
        <f t="shared" si="10"/>
        <v>SERVICE</v>
      </c>
    </row>
    <row r="174" spans="1:8" x14ac:dyDescent="0.25">
      <c r="E174" t="str">
        <f>"13301"</f>
        <v>13301</v>
      </c>
      <c r="F174" t="str">
        <f t="shared" si="9"/>
        <v>SERVICE</v>
      </c>
      <c r="G174" s="1">
        <v>53</v>
      </c>
      <c r="H174" t="str">
        <f t="shared" si="10"/>
        <v>SERVICE</v>
      </c>
    </row>
    <row r="175" spans="1:8" x14ac:dyDescent="0.25">
      <c r="E175" t="str">
        <f>"13356"</f>
        <v>13356</v>
      </c>
      <c r="F175" t="str">
        <f>"SERVICE  09/23/20"</f>
        <v>SERVICE  09/23/20</v>
      </c>
      <c r="G175" s="1">
        <v>225</v>
      </c>
      <c r="H175" t="str">
        <f t="shared" si="10"/>
        <v>SERVICE</v>
      </c>
    </row>
    <row r="176" spans="1:8" x14ac:dyDescent="0.25">
      <c r="E176" t="str">
        <f>"13403"</f>
        <v>13403</v>
      </c>
      <c r="F176" t="str">
        <f>"SERVICE"</f>
        <v>SERVICE</v>
      </c>
      <c r="G176" s="1">
        <v>4</v>
      </c>
      <c r="H176" t="str">
        <f t="shared" si="10"/>
        <v>SERVICE</v>
      </c>
    </row>
    <row r="177" spans="1:8" x14ac:dyDescent="0.25">
      <c r="E177" t="str">
        <f>"13479"</f>
        <v>13479</v>
      </c>
      <c r="F177" t="str">
        <f>"SERVICE"</f>
        <v>SERVICE</v>
      </c>
      <c r="G177" s="1">
        <v>75</v>
      </c>
      <c r="H177" t="str">
        <f t="shared" si="10"/>
        <v>SERVICE</v>
      </c>
    </row>
    <row r="178" spans="1:8" x14ac:dyDescent="0.25">
      <c r="E178" t="str">
        <f>"202011180174"</f>
        <v>202011180174</v>
      </c>
      <c r="F178" t="str">
        <f>"13470"</f>
        <v>13470</v>
      </c>
      <c r="G178" s="1">
        <v>61</v>
      </c>
      <c r="H178" t="str">
        <f>"13470"</f>
        <v>13470</v>
      </c>
    </row>
    <row r="179" spans="1:8" x14ac:dyDescent="0.25">
      <c r="A179" t="s">
        <v>50</v>
      </c>
      <c r="B179">
        <v>3573</v>
      </c>
      <c r="C179" s="1">
        <v>167</v>
      </c>
      <c r="D179" s="5">
        <v>44159</v>
      </c>
      <c r="E179" t="str">
        <f>"16038 &amp; 16063"</f>
        <v>16038 &amp; 16063</v>
      </c>
      <c r="F179" t="str">
        <f>"ACCT#BC01"</f>
        <v>ACCT#BC01</v>
      </c>
      <c r="G179" s="1">
        <v>157</v>
      </c>
      <c r="H179" t="str">
        <f>"ACCT#BC01"</f>
        <v>ACCT#BC01</v>
      </c>
    </row>
    <row r="180" spans="1:8" x14ac:dyDescent="0.25">
      <c r="E180" t="str">
        <f>"16200"</f>
        <v>16200</v>
      </c>
      <c r="F180" t="str">
        <f>"ACCT#BC01"</f>
        <v>ACCT#BC01</v>
      </c>
      <c r="G180" s="1">
        <v>10</v>
      </c>
      <c r="H180" t="str">
        <f>"ACCT#BC01"</f>
        <v>ACCT#BC01</v>
      </c>
    </row>
    <row r="181" spans="1:8" x14ac:dyDescent="0.25">
      <c r="A181" t="s">
        <v>51</v>
      </c>
      <c r="B181">
        <v>3490</v>
      </c>
      <c r="C181" s="1">
        <v>124879.73</v>
      </c>
      <c r="D181" s="5">
        <v>44145</v>
      </c>
      <c r="E181" t="str">
        <f>"202011039911"</f>
        <v>202011039911</v>
      </c>
      <c r="F181" t="str">
        <f>"GRANT REIMBURSEMENT"</f>
        <v>GRANT REIMBURSEMENT</v>
      </c>
      <c r="G181" s="1">
        <v>124879.73</v>
      </c>
      <c r="H181" t="str">
        <f>"GRANT REIMBURSEMENT"</f>
        <v>GRANT REIMBURSEMENT</v>
      </c>
    </row>
    <row r="182" spans="1:8" x14ac:dyDescent="0.25">
      <c r="A182" t="s">
        <v>52</v>
      </c>
      <c r="B182">
        <v>3510</v>
      </c>
      <c r="C182" s="1">
        <v>59</v>
      </c>
      <c r="D182" s="5">
        <v>44145</v>
      </c>
      <c r="E182" t="str">
        <f>"202010289797"</f>
        <v>202010289797</v>
      </c>
      <c r="F182" t="str">
        <f>"VEHICLE REGISTRATIONS/PCT#4"</f>
        <v>VEHICLE REGISTRATIONS/PCT#4</v>
      </c>
      <c r="G182" s="1">
        <v>51.5</v>
      </c>
      <c r="H182" t="str">
        <f>"VEHICLE REGISTRATIONS/PCT#4"</f>
        <v>VEHICLE REGISTRATIONS/PCT#4</v>
      </c>
    </row>
    <row r="183" spans="1:8" x14ac:dyDescent="0.25">
      <c r="E183" t="str">
        <f>"202011029825"</f>
        <v>202011029825</v>
      </c>
      <c r="F183" t="str">
        <f>"VEHICLE REGISTRATION/PCT#4"</f>
        <v>VEHICLE REGISTRATION/PCT#4</v>
      </c>
      <c r="G183" s="1">
        <v>7.5</v>
      </c>
      <c r="H183" t="str">
        <f>"VEHICLE REGISTRATION/PCT#4"</f>
        <v>VEHICLE REGISTRATION/PCT#4</v>
      </c>
    </row>
    <row r="184" spans="1:8" x14ac:dyDescent="0.25">
      <c r="A184" t="s">
        <v>51</v>
      </c>
      <c r="B184">
        <v>3562</v>
      </c>
      <c r="C184" s="1">
        <v>21258.46</v>
      </c>
      <c r="D184" s="5">
        <v>44159</v>
      </c>
      <c r="E184" t="str">
        <f>"202011160031"</f>
        <v>202011160031</v>
      </c>
      <c r="F184" t="str">
        <f>"GRANT REIMBURSEMENT"</f>
        <v>GRANT REIMBURSEMENT</v>
      </c>
      <c r="G184" s="1">
        <v>4980.01</v>
      </c>
      <c r="H184" t="str">
        <f>"GRANT REIMBURSEMENT"</f>
        <v>GRANT REIMBURSEMENT</v>
      </c>
    </row>
    <row r="185" spans="1:8" x14ac:dyDescent="0.25">
      <c r="E185" t="str">
        <f>"202011160050"</f>
        <v>202011160050</v>
      </c>
      <c r="F185" t="str">
        <f>"GRANT REIMBURSEMENT"</f>
        <v>GRANT REIMBURSEMENT</v>
      </c>
      <c r="G185" s="1">
        <v>7000</v>
      </c>
      <c r="H185" t="str">
        <f>"GRANT REIMBURSEMENT"</f>
        <v>GRANT REIMBURSEMENT</v>
      </c>
    </row>
    <row r="186" spans="1:8" x14ac:dyDescent="0.25">
      <c r="E186" t="str">
        <f>"202011160054"</f>
        <v>202011160054</v>
      </c>
      <c r="F186" t="str">
        <f>"GRANT REIMBURSEMENT"</f>
        <v>GRANT REIMBURSEMENT</v>
      </c>
      <c r="G186" s="1">
        <v>9278.4500000000007</v>
      </c>
      <c r="H186" t="str">
        <f>"GRANT REIMBURSEMENT"</f>
        <v>GRANT REIMBURSEMENT</v>
      </c>
    </row>
    <row r="187" spans="1:8" x14ac:dyDescent="0.25">
      <c r="A187" t="s">
        <v>52</v>
      </c>
      <c r="B187">
        <v>3580</v>
      </c>
      <c r="C187" s="1">
        <v>112.5</v>
      </c>
      <c r="D187" s="5">
        <v>44159</v>
      </c>
      <c r="E187" t="str">
        <f>"202011160014"</f>
        <v>202011160014</v>
      </c>
      <c r="F187" t="str">
        <f>"VEHICLE REGISTRATIONS/DVLP SVC"</f>
        <v>VEHICLE REGISTRATIONS/DVLP SVC</v>
      </c>
      <c r="G187" s="1">
        <v>15</v>
      </c>
      <c r="H187" t="str">
        <f>"VEHICLE REGISTRATIONS/DVLP SVC"</f>
        <v>VEHICLE REGISTRATIONS/DVLP SVC</v>
      </c>
    </row>
    <row r="188" spans="1:8" x14ac:dyDescent="0.25">
      <c r="E188" t="str">
        <f>"202011170074"</f>
        <v>202011170074</v>
      </c>
      <c r="F188" t="str">
        <f>"VEHICLE REGISTRATION-GEN SVCS"</f>
        <v>VEHICLE REGISTRATION-GEN SVCS</v>
      </c>
      <c r="G188" s="1">
        <v>7.5</v>
      </c>
      <c r="H188" t="str">
        <f>"VEHICLE REGISTRATION-GEN SVCS"</f>
        <v>VEHICLE REGISTRATION-GEN SVCS</v>
      </c>
    </row>
    <row r="189" spans="1:8" x14ac:dyDescent="0.25">
      <c r="E189" t="str">
        <f>"202011170076"</f>
        <v>202011170076</v>
      </c>
      <c r="F189" t="str">
        <f>"VEHICLE REGISTRATION-ANIMAL CO"</f>
        <v>VEHICLE REGISTRATION-ANIMAL CO</v>
      </c>
      <c r="G189" s="1">
        <v>7.5</v>
      </c>
      <c r="H189" t="str">
        <f>"VEHICLE REGISTRATION-ANIMAL CO"</f>
        <v>VEHICLE REGISTRATION-ANIMAL CO</v>
      </c>
    </row>
    <row r="190" spans="1:8" x14ac:dyDescent="0.25">
      <c r="E190" t="str">
        <f>"202011180101"</f>
        <v>202011180101</v>
      </c>
      <c r="F190" t="str">
        <f>"VEHICLE REGISTRATIONS/SHERIFF"</f>
        <v>VEHICLE REGISTRATIONS/SHERIFF</v>
      </c>
      <c r="G190" s="1">
        <v>82.5</v>
      </c>
      <c r="H190" t="str">
        <f>"VEHICLE REGISTRATIONS/SHERIFF"</f>
        <v>VEHICLE REGISTRATIONS/SHERIFF</v>
      </c>
    </row>
    <row r="191" spans="1:8" x14ac:dyDescent="0.25">
      <c r="A191" t="s">
        <v>53</v>
      </c>
      <c r="B191">
        <v>3585</v>
      </c>
      <c r="C191" s="1">
        <v>74.84</v>
      </c>
      <c r="D191" s="5">
        <v>44159</v>
      </c>
      <c r="E191" t="str">
        <f>"202011180145"</f>
        <v>202011180145</v>
      </c>
      <c r="F191" t="str">
        <f>"INDIGENT HEALTH"</f>
        <v>INDIGENT HEALTH</v>
      </c>
      <c r="G191" s="1">
        <v>74.84</v>
      </c>
      <c r="H191" t="str">
        <f>"INDIGENT HEALTH"</f>
        <v>INDIGENT HEALTH</v>
      </c>
    </row>
    <row r="192" spans="1:8" x14ac:dyDescent="0.25">
      <c r="A192" t="s">
        <v>54</v>
      </c>
      <c r="B192">
        <v>3528</v>
      </c>
      <c r="C192" s="1">
        <v>1885</v>
      </c>
      <c r="D192" s="5">
        <v>44159</v>
      </c>
      <c r="E192" t="str">
        <f>"2020165"</f>
        <v>2020165</v>
      </c>
      <c r="F192" t="str">
        <f>"TRANSPORT - L.N. CASTILLO"</f>
        <v>TRANSPORT - L.N. CASTILLO</v>
      </c>
      <c r="G192" s="1">
        <v>695</v>
      </c>
      <c r="H192" t="str">
        <f>"TRANSPORT - L.N. CASTILLO"</f>
        <v>TRANSPORT - L.N. CASTILLO</v>
      </c>
    </row>
    <row r="193" spans="1:8" x14ac:dyDescent="0.25">
      <c r="E193" t="str">
        <f>"2020166"</f>
        <v>2020166</v>
      </c>
      <c r="F193" t="str">
        <f>"TRANSPORT - M. DALTON"</f>
        <v>TRANSPORT - M. DALTON</v>
      </c>
      <c r="G193" s="1">
        <v>495</v>
      </c>
      <c r="H193" t="str">
        <f>"TRANSPORT - M. DALTON"</f>
        <v>TRANSPORT - M. DALTON</v>
      </c>
    </row>
    <row r="194" spans="1:8" x14ac:dyDescent="0.25">
      <c r="E194" t="str">
        <f>"2020167"</f>
        <v>2020167</v>
      </c>
      <c r="F194" t="str">
        <f>"TRANSPORT - G.W. LAPPERT"</f>
        <v>TRANSPORT - G.W. LAPPERT</v>
      </c>
      <c r="G194" s="1">
        <v>695</v>
      </c>
      <c r="H194" t="str">
        <f>"TRANSPORT - G.W. LAPPERT"</f>
        <v>TRANSPORT - G.W. LAPPERT</v>
      </c>
    </row>
    <row r="195" spans="1:8" x14ac:dyDescent="0.25">
      <c r="A195" t="s">
        <v>55</v>
      </c>
      <c r="B195">
        <v>133584</v>
      </c>
      <c r="C195" s="1">
        <v>293.89999999999998</v>
      </c>
      <c r="D195" s="5">
        <v>44144</v>
      </c>
      <c r="E195" t="str">
        <f>"1168899"</f>
        <v>1168899</v>
      </c>
      <c r="F195" t="str">
        <f>"INV 1168899"</f>
        <v>INV 1168899</v>
      </c>
      <c r="G195" s="1">
        <v>293.89999999999998</v>
      </c>
      <c r="H195" t="str">
        <f>"INV 1168899"</f>
        <v>INV 1168899</v>
      </c>
    </row>
    <row r="196" spans="1:8" x14ac:dyDescent="0.25">
      <c r="A196" t="s">
        <v>56</v>
      </c>
      <c r="B196">
        <v>3465</v>
      </c>
      <c r="C196" s="1">
        <v>2415</v>
      </c>
      <c r="D196" s="5">
        <v>44145</v>
      </c>
      <c r="E196" t="str">
        <f>"202011029827"</f>
        <v>202011029827</v>
      </c>
      <c r="F196" t="str">
        <f>"INVESTIGATIVE SVCS-OCTOBER"</f>
        <v>INVESTIGATIVE SVCS-OCTOBER</v>
      </c>
      <c r="G196" s="1">
        <v>490</v>
      </c>
      <c r="H196" t="str">
        <f>"INVESTIGATIVE SVCS-OCTOBER"</f>
        <v>INVESTIGATIVE SVCS-OCTOBER</v>
      </c>
    </row>
    <row r="197" spans="1:8" x14ac:dyDescent="0.25">
      <c r="E197" t="str">
        <f>"202011039974"</f>
        <v>202011039974</v>
      </c>
      <c r="F197" t="str">
        <f>"INV NOVEMBER 02  2020"</f>
        <v>INV NOVEMBER 02  2020</v>
      </c>
      <c r="G197" s="1">
        <v>1925</v>
      </c>
      <c r="H197" t="str">
        <f>"JAIL BACKGROUND"</f>
        <v>JAIL BACKGROUND</v>
      </c>
    </row>
    <row r="198" spans="1:8" x14ac:dyDescent="0.25">
      <c r="A198" t="s">
        <v>57</v>
      </c>
      <c r="B198">
        <v>133585</v>
      </c>
      <c r="C198" s="1">
        <v>75940</v>
      </c>
      <c r="D198" s="5">
        <v>44144</v>
      </c>
      <c r="E198" t="str">
        <f>"Bastrop 01"</f>
        <v>Bastrop 01</v>
      </c>
      <c r="F198" t="str">
        <f>"RFB20BCP08E - REPAIR PROJECT"</f>
        <v>RFB20BCP08E - REPAIR PROJECT</v>
      </c>
      <c r="G198" s="1">
        <v>75940</v>
      </c>
      <c r="H198" t="str">
        <f>"RFB20BCP08E - REPAIR PROJECT"</f>
        <v>RFB20BCP08E - REPAIR PROJECT</v>
      </c>
    </row>
    <row r="199" spans="1:8" x14ac:dyDescent="0.25">
      <c r="A199" t="s">
        <v>58</v>
      </c>
      <c r="B199">
        <v>133586</v>
      </c>
      <c r="C199" s="1">
        <v>1517.48</v>
      </c>
      <c r="D199" s="5">
        <v>44144</v>
      </c>
      <c r="E199" t="str">
        <f>"75702260  75709250"</f>
        <v>75702260  75709250</v>
      </c>
      <c r="F199" t="str">
        <f>"INV 75702260"</f>
        <v>INV 75702260</v>
      </c>
      <c r="G199" s="1">
        <v>1517.48</v>
      </c>
      <c r="H199" t="str">
        <f>"INV 75702260"</f>
        <v>INV 75702260</v>
      </c>
    </row>
    <row r="200" spans="1:8" x14ac:dyDescent="0.25">
      <c r="E200" t="str">
        <f>""</f>
        <v/>
      </c>
      <c r="F200" t="str">
        <f>""</f>
        <v/>
      </c>
      <c r="H200" t="str">
        <f>"INV 75709250"</f>
        <v>INV 75709250</v>
      </c>
    </row>
    <row r="201" spans="1:8" x14ac:dyDescent="0.25">
      <c r="A201" t="s">
        <v>58</v>
      </c>
      <c r="B201">
        <v>133709</v>
      </c>
      <c r="C201" s="1">
        <v>1944.47</v>
      </c>
      <c r="D201" s="5">
        <v>44158</v>
      </c>
      <c r="E201" t="str">
        <f>"75718682 75727725"</f>
        <v>75718682 75727725</v>
      </c>
      <c r="F201" t="str">
        <f>"INV 75718682"</f>
        <v>INV 75718682</v>
      </c>
      <c r="G201" s="1">
        <v>1944.47</v>
      </c>
      <c r="H201" t="str">
        <f>"INV 75718682"</f>
        <v>INV 75718682</v>
      </c>
    </row>
    <row r="202" spans="1:8" x14ac:dyDescent="0.25">
      <c r="E202" t="str">
        <f>""</f>
        <v/>
      </c>
      <c r="F202" t="str">
        <f>""</f>
        <v/>
      </c>
      <c r="H202" t="str">
        <f>"INV 75727725"</f>
        <v>INV 75727725</v>
      </c>
    </row>
    <row r="203" spans="1:8" x14ac:dyDescent="0.25">
      <c r="A203" t="s">
        <v>59</v>
      </c>
      <c r="B203">
        <v>133710</v>
      </c>
      <c r="C203" s="1">
        <v>4107.79</v>
      </c>
      <c r="D203" s="5">
        <v>44158</v>
      </c>
      <c r="E203" t="str">
        <f>"202011160042"</f>
        <v>202011160042</v>
      </c>
      <c r="F203" t="str">
        <f>"ACCT#7110/PCT#3"</f>
        <v>ACCT#7110/PCT#3</v>
      </c>
      <c r="G203" s="1">
        <v>4107.79</v>
      </c>
      <c r="H203" t="str">
        <f>"ACCT#7110/PCT#3"</f>
        <v>ACCT#7110/PCT#3</v>
      </c>
    </row>
    <row r="204" spans="1:8" x14ac:dyDescent="0.25">
      <c r="A204" t="s">
        <v>60</v>
      </c>
      <c r="B204">
        <v>3511</v>
      </c>
      <c r="C204" s="1">
        <v>3649</v>
      </c>
      <c r="D204" s="5">
        <v>44145</v>
      </c>
      <c r="E204" t="str">
        <f>"24932"</f>
        <v>24932</v>
      </c>
      <c r="F204" t="str">
        <f>"INV 24932"</f>
        <v>INV 24932</v>
      </c>
      <c r="G204" s="1">
        <v>3649</v>
      </c>
      <c r="H204" t="str">
        <f>"INV 24932"</f>
        <v>INV 24932</v>
      </c>
    </row>
    <row r="205" spans="1:8" x14ac:dyDescent="0.25">
      <c r="A205" t="s">
        <v>61</v>
      </c>
      <c r="B205">
        <v>3549</v>
      </c>
      <c r="C205" s="1">
        <v>1976.95</v>
      </c>
      <c r="D205" s="5">
        <v>44159</v>
      </c>
      <c r="E205" t="str">
        <f>"5527"</f>
        <v>5527</v>
      </c>
      <c r="F205" t="str">
        <f>"2017 INTL/PCT#1"</f>
        <v>2017 INTL/PCT#1</v>
      </c>
      <c r="G205" s="1">
        <v>1149.06</v>
      </c>
      <c r="H205" t="str">
        <f>"2017 INTL/PCT#1"</f>
        <v>2017 INTL/PCT#1</v>
      </c>
    </row>
    <row r="206" spans="1:8" x14ac:dyDescent="0.25">
      <c r="E206" t="str">
        <f>"5529"</f>
        <v>5529</v>
      </c>
      <c r="F206" t="str">
        <f>"07 FREIGHTLINER/PCT#4"</f>
        <v>07 FREIGHTLINER/PCT#4</v>
      </c>
      <c r="G206" s="1">
        <v>827.89</v>
      </c>
      <c r="H206" t="str">
        <f>"07 FREIGHTLINER/PCT#4"</f>
        <v>07 FREIGHTLINER/PCT#4</v>
      </c>
    </row>
    <row r="207" spans="1:8" x14ac:dyDescent="0.25">
      <c r="A207" t="s">
        <v>62</v>
      </c>
      <c r="B207">
        <v>133711</v>
      </c>
      <c r="C207" s="1">
        <v>120</v>
      </c>
      <c r="D207" s="5">
        <v>44158</v>
      </c>
      <c r="E207" t="str">
        <f>"202011180206"</f>
        <v>202011180206</v>
      </c>
      <c r="F207" t="str">
        <f>"FERAL HOGS"</f>
        <v>FERAL HOGS</v>
      </c>
      <c r="G207" s="1">
        <v>120</v>
      </c>
      <c r="H207" t="str">
        <f>"FERAL HOGS"</f>
        <v>FERAL HOGS</v>
      </c>
    </row>
    <row r="208" spans="1:8" x14ac:dyDescent="0.25">
      <c r="A208" t="s">
        <v>63</v>
      </c>
      <c r="B208">
        <v>133587</v>
      </c>
      <c r="C208" s="1">
        <v>507.52</v>
      </c>
      <c r="D208" s="5">
        <v>44144</v>
      </c>
      <c r="E208" t="str">
        <f>"84078906905 840789"</f>
        <v>84078906905 840789</v>
      </c>
      <c r="F208" t="str">
        <f>"INV 84078906905"</f>
        <v>INV 84078906905</v>
      </c>
      <c r="G208" s="1">
        <v>507.52</v>
      </c>
      <c r="H208" t="str">
        <f>"INV 84078906905"</f>
        <v>INV 84078906905</v>
      </c>
    </row>
    <row r="209" spans="1:8" x14ac:dyDescent="0.25">
      <c r="E209" t="str">
        <f>""</f>
        <v/>
      </c>
      <c r="F209" t="str">
        <f>""</f>
        <v/>
      </c>
      <c r="H209" t="str">
        <f>"INV 84078906966"</f>
        <v>INV 84078906966</v>
      </c>
    </row>
    <row r="210" spans="1:8" x14ac:dyDescent="0.25">
      <c r="A210" t="s">
        <v>63</v>
      </c>
      <c r="B210">
        <v>133712</v>
      </c>
      <c r="C210" s="1">
        <v>541.88</v>
      </c>
      <c r="D210" s="5">
        <v>44158</v>
      </c>
      <c r="E210" t="str">
        <f>"84078907046 / 7122"</f>
        <v>84078907046 / 7122</v>
      </c>
      <c r="F210" t="str">
        <f>"INV 84078907046"</f>
        <v>INV 84078907046</v>
      </c>
      <c r="G210" s="1">
        <v>541.88</v>
      </c>
      <c r="H210" t="str">
        <f>"INV 84078907046"</f>
        <v>INV 84078907046</v>
      </c>
    </row>
    <row r="211" spans="1:8" x14ac:dyDescent="0.25">
      <c r="E211" t="str">
        <f>""</f>
        <v/>
      </c>
      <c r="F211" t="str">
        <f>""</f>
        <v/>
      </c>
      <c r="H211" t="str">
        <f>"INV 84078907122"</f>
        <v>INV 84078907122</v>
      </c>
    </row>
    <row r="212" spans="1:8" x14ac:dyDescent="0.25">
      <c r="A212" t="s">
        <v>64</v>
      </c>
      <c r="B212">
        <v>133713</v>
      </c>
      <c r="C212" s="1">
        <v>42.21</v>
      </c>
      <c r="D212" s="5">
        <v>44158</v>
      </c>
      <c r="E212" t="str">
        <f>"202011170079"</f>
        <v>202011170079</v>
      </c>
      <c r="F212" t="str">
        <f>"CRIME STOPPER FEES OCT 2020"</f>
        <v>CRIME STOPPER FEES OCT 2020</v>
      </c>
      <c r="G212" s="1">
        <v>42.21</v>
      </c>
      <c r="H212" t="str">
        <f>"CRIME STOPPER FEES OCT 2020"</f>
        <v>CRIME STOPPER FEES OCT 2020</v>
      </c>
    </row>
    <row r="213" spans="1:8" x14ac:dyDescent="0.25">
      <c r="A213" t="s">
        <v>65</v>
      </c>
      <c r="B213">
        <v>133689</v>
      </c>
      <c r="C213" s="1">
        <v>3332.67</v>
      </c>
      <c r="D213" s="5">
        <v>44153</v>
      </c>
      <c r="E213" t="str">
        <f>"202011180193"</f>
        <v>202011180193</v>
      </c>
      <c r="F213" t="str">
        <f>"ACCT#5000057374 / 11022020"</f>
        <v>ACCT#5000057374 / 11022020</v>
      </c>
      <c r="G213" s="1">
        <v>3185.51</v>
      </c>
      <c r="H213" t="str">
        <f>"ACCT#5000057374 / 11022020"</f>
        <v>ACCT#5000057374 / 11022020</v>
      </c>
    </row>
    <row r="214" spans="1:8" x14ac:dyDescent="0.25">
      <c r="E214" t="str">
        <f>""</f>
        <v/>
      </c>
      <c r="F214" t="str">
        <f>""</f>
        <v/>
      </c>
      <c r="H214" t="str">
        <f>"ACCT#5000057374 / 11022020"</f>
        <v>ACCT#5000057374 / 11022020</v>
      </c>
    </row>
    <row r="215" spans="1:8" x14ac:dyDescent="0.25">
      <c r="E215" t="str">
        <f>""</f>
        <v/>
      </c>
      <c r="F215" t="str">
        <f>""</f>
        <v/>
      </c>
      <c r="H215" t="str">
        <f>"ACCT#5000057374 / 11022020"</f>
        <v>ACCT#5000057374 / 11022020</v>
      </c>
    </row>
    <row r="216" spans="1:8" x14ac:dyDescent="0.25">
      <c r="E216" t="str">
        <f>""</f>
        <v/>
      </c>
      <c r="F216" t="str">
        <f>""</f>
        <v/>
      </c>
      <c r="H216" t="str">
        <f>"ACCT#5000057374 / 11022020"</f>
        <v>ACCT#5000057374 / 11022020</v>
      </c>
    </row>
    <row r="217" spans="1:8" x14ac:dyDescent="0.25">
      <c r="E217" t="str">
        <f>"202011180195"</f>
        <v>202011180195</v>
      </c>
      <c r="F217" t="str">
        <f>"ACCT#5500090397 / 11012020"</f>
        <v>ACCT#5500090397 / 11012020</v>
      </c>
      <c r="G217" s="1">
        <v>147.16</v>
      </c>
      <c r="H217" t="str">
        <f>"ACCT#5500090397 / 11012020"</f>
        <v>ACCT#5500090397 / 11012020</v>
      </c>
    </row>
    <row r="218" spans="1:8" x14ac:dyDescent="0.25">
      <c r="A218" t="s">
        <v>66</v>
      </c>
      <c r="B218">
        <v>3515</v>
      </c>
      <c r="C218" s="1">
        <v>25401.81</v>
      </c>
      <c r="D218" s="5">
        <v>44145</v>
      </c>
      <c r="E218" t="str">
        <f>"202011039912"</f>
        <v>202011039912</v>
      </c>
      <c r="F218" t="str">
        <f>"GRANT REIMBURSEMENT"</f>
        <v>GRANT REIMBURSEMENT</v>
      </c>
      <c r="G218" s="1">
        <v>23901.81</v>
      </c>
      <c r="H218" t="str">
        <f>"GRANT REIMBURSEMENT"</f>
        <v>GRANT REIMBURSEMENT</v>
      </c>
    </row>
    <row r="219" spans="1:8" x14ac:dyDescent="0.25">
      <c r="E219" t="str">
        <f>"25-10-2020"</f>
        <v>25-10-2020</v>
      </c>
      <c r="F219" t="str">
        <f>"INV 25-10-2020"</f>
        <v>INV 25-10-2020</v>
      </c>
      <c r="G219" s="1">
        <v>1500</v>
      </c>
      <c r="H219" t="str">
        <f>"INV 25-10-2020"</f>
        <v>INV 25-10-2020</v>
      </c>
    </row>
    <row r="220" spans="1:8" x14ac:dyDescent="0.25">
      <c r="A220" t="s">
        <v>66</v>
      </c>
      <c r="B220">
        <v>3590</v>
      </c>
      <c r="C220" s="1">
        <v>17811.22</v>
      </c>
      <c r="D220" s="5">
        <v>44159</v>
      </c>
      <c r="E220" t="str">
        <f>"202011160030"</f>
        <v>202011160030</v>
      </c>
      <c r="F220" t="str">
        <f>"GRANT REIMBURSEMENT"</f>
        <v>GRANT REIMBURSEMENT</v>
      </c>
      <c r="G220" s="1">
        <v>17811.22</v>
      </c>
      <c r="H220" t="str">
        <f>"GRANT REIMBURSEMENT"</f>
        <v>GRANT REIMBURSEMENT</v>
      </c>
    </row>
    <row r="221" spans="1:8" x14ac:dyDescent="0.25">
      <c r="A221" t="s">
        <v>67</v>
      </c>
      <c r="B221">
        <v>133588</v>
      </c>
      <c r="C221" s="1">
        <v>716.8</v>
      </c>
      <c r="D221" s="5">
        <v>44144</v>
      </c>
      <c r="E221" t="str">
        <f>"CT191252"</f>
        <v>CT191252</v>
      </c>
      <c r="F221" t="str">
        <f>"ACCT#B02137/PCT#3"</f>
        <v>ACCT#B02137/PCT#3</v>
      </c>
      <c r="G221" s="1">
        <v>716.8</v>
      </c>
      <c r="H221" t="str">
        <f>"ACCT#B02137/PCT#3"</f>
        <v>ACCT#B02137/PCT#3</v>
      </c>
    </row>
    <row r="222" spans="1:8" x14ac:dyDescent="0.25">
      <c r="A222" t="s">
        <v>68</v>
      </c>
      <c r="B222">
        <v>133589</v>
      </c>
      <c r="C222" s="1">
        <v>64556.160000000003</v>
      </c>
      <c r="D222" s="5">
        <v>44144</v>
      </c>
      <c r="E222" t="str">
        <f>"115092"</f>
        <v>115092</v>
      </c>
      <c r="F222" t="str">
        <f>"ACCT#1268/PCT#3"</f>
        <v>ACCT#1268/PCT#3</v>
      </c>
      <c r="G222" s="1">
        <v>21599.68</v>
      </c>
      <c r="H222" t="str">
        <f>"ACCT#1268/PCT#3"</f>
        <v>ACCT#1268/PCT#3</v>
      </c>
    </row>
    <row r="223" spans="1:8" x14ac:dyDescent="0.25">
      <c r="E223" t="str">
        <f>"115483"</f>
        <v>115483</v>
      </c>
      <c r="F223" t="str">
        <f>"ACCT#1268/PCT#3"</f>
        <v>ACCT#1268/PCT#3</v>
      </c>
      <c r="G223" s="1">
        <v>37186</v>
      </c>
      <c r="H223" t="str">
        <f>"ACCT#1268/PCT#3"</f>
        <v>ACCT#1268/PCT#3</v>
      </c>
    </row>
    <row r="224" spans="1:8" x14ac:dyDescent="0.25">
      <c r="E224" t="str">
        <f>"115484"</f>
        <v>115484</v>
      </c>
      <c r="F224" t="str">
        <f>"ACCT#1268/PCT#3"</f>
        <v>ACCT#1268/PCT#3</v>
      </c>
      <c r="G224" s="1">
        <v>3025.88</v>
      </c>
      <c r="H224" t="str">
        <f>"ACCT#1268/PCT#3"</f>
        <v>ACCT#1268/PCT#3</v>
      </c>
    </row>
    <row r="225" spans="1:8" x14ac:dyDescent="0.25">
      <c r="E225" t="str">
        <f>"115485"</f>
        <v>115485</v>
      </c>
      <c r="F225" t="str">
        <f>"ACCT#1269/PCT#4"</f>
        <v>ACCT#1269/PCT#4</v>
      </c>
      <c r="G225" s="1">
        <v>2744.6</v>
      </c>
      <c r="H225" t="str">
        <f>"ACCT#1269/PCT#4"</f>
        <v>ACCT#1269/PCT#4</v>
      </c>
    </row>
    <row r="226" spans="1:8" x14ac:dyDescent="0.25">
      <c r="A226" t="s">
        <v>68</v>
      </c>
      <c r="B226">
        <v>133714</v>
      </c>
      <c r="C226" s="1">
        <v>27412.959999999999</v>
      </c>
      <c r="D226" s="5">
        <v>44158</v>
      </c>
      <c r="E226" t="str">
        <f>"115655"</f>
        <v>115655</v>
      </c>
      <c r="F226" t="str">
        <f>"ACCT#1268/PCT#3"</f>
        <v>ACCT#1268/PCT#3</v>
      </c>
      <c r="G226" s="1">
        <v>1210.04</v>
      </c>
      <c r="H226" t="str">
        <f>"ACCT#1268/PCT#3"</f>
        <v>ACCT#1268/PCT#3</v>
      </c>
    </row>
    <row r="227" spans="1:8" x14ac:dyDescent="0.25">
      <c r="E227" t="str">
        <f>"115728"</f>
        <v>115728</v>
      </c>
      <c r="F227" t="str">
        <f>"ACCT#1268/PCT#3"</f>
        <v>ACCT#1268/PCT#3</v>
      </c>
      <c r="G227" s="1">
        <v>13242.84</v>
      </c>
      <c r="H227" t="str">
        <f>"ACCT#1268/PCT#3"</f>
        <v>ACCT#1268/PCT#3</v>
      </c>
    </row>
    <row r="228" spans="1:8" x14ac:dyDescent="0.25">
      <c r="E228" t="str">
        <f>"115729"</f>
        <v>115729</v>
      </c>
      <c r="F228" t="str">
        <f>"ACCT#1268/PCT#3"</f>
        <v>ACCT#1268/PCT#3</v>
      </c>
      <c r="G228" s="1">
        <v>1029.08</v>
      </c>
      <c r="H228" t="str">
        <f>"ACCT#1268/PCT#3"</f>
        <v>ACCT#1268/PCT#3</v>
      </c>
    </row>
    <row r="229" spans="1:8" x14ac:dyDescent="0.25">
      <c r="E229" t="str">
        <f>"115730"</f>
        <v>115730</v>
      </c>
      <c r="F229" t="str">
        <f>"ACCT#1269/WASHED ROCK/PCT#4"</f>
        <v>ACCT#1269/WASHED ROCK/PCT#4</v>
      </c>
      <c r="G229" s="1">
        <v>11931</v>
      </c>
      <c r="H229" t="str">
        <f>"ACCT#1269/WASHED ROCK/PCT#4"</f>
        <v>ACCT#1269/WASHED ROCK/PCT#4</v>
      </c>
    </row>
    <row r="230" spans="1:8" x14ac:dyDescent="0.25">
      <c r="A230" t="s">
        <v>69</v>
      </c>
      <c r="B230">
        <v>133590</v>
      </c>
      <c r="C230" s="1">
        <v>75</v>
      </c>
      <c r="D230" s="5">
        <v>44144</v>
      </c>
      <c r="E230" t="str">
        <f>"13512"</f>
        <v>13512</v>
      </c>
      <c r="F230" t="str">
        <f>"SERVICE"</f>
        <v>SERVICE</v>
      </c>
      <c r="G230" s="1">
        <v>75</v>
      </c>
      <c r="H230" t="str">
        <f>"SERVICE"</f>
        <v>SERVICE</v>
      </c>
    </row>
    <row r="231" spans="1:8" x14ac:dyDescent="0.25">
      <c r="A231" t="s">
        <v>70</v>
      </c>
      <c r="B231">
        <v>3519</v>
      </c>
      <c r="C231" s="1">
        <v>500</v>
      </c>
      <c r="D231" s="5">
        <v>44145</v>
      </c>
      <c r="E231" t="str">
        <f>"202011039922"</f>
        <v>202011039922</v>
      </c>
      <c r="F231" t="str">
        <f>"57 025"</f>
        <v>57 025</v>
      </c>
      <c r="G231" s="1">
        <v>250</v>
      </c>
      <c r="H231" t="str">
        <f>"57 025"</f>
        <v>57 025</v>
      </c>
    </row>
    <row r="232" spans="1:8" x14ac:dyDescent="0.25">
      <c r="E232" t="str">
        <f>"202011039923"</f>
        <v>202011039923</v>
      </c>
      <c r="F232" t="str">
        <f>"57 090"</f>
        <v>57 090</v>
      </c>
      <c r="G232" s="1">
        <v>250</v>
      </c>
      <c r="H232" t="str">
        <f>"57 090"</f>
        <v>57 090</v>
      </c>
    </row>
    <row r="233" spans="1:8" x14ac:dyDescent="0.25">
      <c r="A233" t="s">
        <v>71</v>
      </c>
      <c r="B233">
        <v>133591</v>
      </c>
      <c r="C233" s="1">
        <v>30</v>
      </c>
      <c r="D233" s="5">
        <v>44144</v>
      </c>
      <c r="E233" t="str">
        <f>"423-7498"</f>
        <v>423-7498</v>
      </c>
      <c r="F233" t="str">
        <f>"CAR FUND"</f>
        <v>CAR FUND</v>
      </c>
      <c r="G233" s="1">
        <v>15</v>
      </c>
      <c r="H233" t="str">
        <f>"CAR FUND"</f>
        <v>CAR FUND</v>
      </c>
    </row>
    <row r="234" spans="1:8" x14ac:dyDescent="0.25">
      <c r="E234" t="str">
        <f>"423-7515"</f>
        <v>423-7515</v>
      </c>
      <c r="F234" t="str">
        <f>"CENTRAL ADOPTION REGISTRY FUND"</f>
        <v>CENTRAL ADOPTION REGISTRY FUND</v>
      </c>
      <c r="G234" s="1">
        <v>15</v>
      </c>
      <c r="H234" t="str">
        <f>"CENTRAL ADOPTION REGISTRY FUND"</f>
        <v>CENTRAL ADOPTION REGISTRY FUND</v>
      </c>
    </row>
    <row r="235" spans="1:8" x14ac:dyDescent="0.25">
      <c r="A235" t="s">
        <v>71</v>
      </c>
      <c r="B235">
        <v>133715</v>
      </c>
      <c r="C235" s="1">
        <v>30</v>
      </c>
      <c r="D235" s="5">
        <v>44158</v>
      </c>
      <c r="E235" t="str">
        <f>"20-20457"</f>
        <v>20-20457</v>
      </c>
      <c r="F235" t="str">
        <f>"CAR FUND"</f>
        <v>CAR FUND</v>
      </c>
      <c r="G235" s="1">
        <v>15</v>
      </c>
      <c r="H235" t="str">
        <f>"CAR FUND"</f>
        <v>CAR FUND</v>
      </c>
    </row>
    <row r="236" spans="1:8" x14ac:dyDescent="0.25">
      <c r="E236" t="str">
        <f>"20-20472"</f>
        <v>20-20472</v>
      </c>
      <c r="F236" t="str">
        <f>"CENTRAL ADOPTION REGISTRY"</f>
        <v>CENTRAL ADOPTION REGISTRY</v>
      </c>
      <c r="G236" s="1">
        <v>15</v>
      </c>
      <c r="H236" t="str">
        <f>"CENTRAL ADOPTION REGISTRY"</f>
        <v>CENTRAL ADOPTION REGISTRY</v>
      </c>
    </row>
    <row r="237" spans="1:8" x14ac:dyDescent="0.25">
      <c r="A237" t="s">
        <v>72</v>
      </c>
      <c r="B237">
        <v>133716</v>
      </c>
      <c r="C237" s="1">
        <v>31</v>
      </c>
      <c r="D237" s="5">
        <v>44158</v>
      </c>
      <c r="E237" t="str">
        <f>"13280"</f>
        <v>13280</v>
      </c>
      <c r="F237" t="str">
        <f>"SERVICE"</f>
        <v>SERVICE</v>
      </c>
      <c r="G237" s="1">
        <v>31</v>
      </c>
      <c r="H237" t="str">
        <f>"SERVICE"</f>
        <v>SERVICE</v>
      </c>
    </row>
    <row r="238" spans="1:8" x14ac:dyDescent="0.25">
      <c r="A238" t="s">
        <v>73</v>
      </c>
      <c r="B238">
        <v>133592</v>
      </c>
      <c r="C238" s="1">
        <v>23.76</v>
      </c>
      <c r="D238" s="5">
        <v>44144</v>
      </c>
      <c r="E238" t="str">
        <f>"2020PS 280"</f>
        <v>2020PS 280</v>
      </c>
      <c r="F238" t="str">
        <f>"DATA/SYSTEM MONITORING"</f>
        <v>DATA/SYSTEM MONITORING</v>
      </c>
      <c r="G238" s="1">
        <v>23.76</v>
      </c>
      <c r="H238" t="str">
        <f>"DATA/SYSTEM MONITORING"</f>
        <v>DATA/SYSTEM MONITORING</v>
      </c>
    </row>
    <row r="239" spans="1:8" x14ac:dyDescent="0.25">
      <c r="A239" t="s">
        <v>74</v>
      </c>
      <c r="B239">
        <v>3501</v>
      </c>
      <c r="C239" s="1">
        <v>7.94</v>
      </c>
      <c r="D239" s="5">
        <v>44145</v>
      </c>
      <c r="E239" t="str">
        <f>"01810621"</f>
        <v>01810621</v>
      </c>
      <c r="F239" t="str">
        <f>"ACCT#000690/PCT#4"</f>
        <v>ACCT#000690/PCT#4</v>
      </c>
      <c r="G239" s="1">
        <v>7.94</v>
      </c>
      <c r="H239" t="str">
        <f>"ACCT#000690/PCT#4"</f>
        <v>ACCT#000690/PCT#4</v>
      </c>
    </row>
    <row r="240" spans="1:8" x14ac:dyDescent="0.25">
      <c r="A240" t="s">
        <v>75</v>
      </c>
      <c r="B240">
        <v>773</v>
      </c>
      <c r="C240" s="1">
        <v>1424.33</v>
      </c>
      <c r="D240" s="5">
        <v>44158</v>
      </c>
      <c r="E240" t="str">
        <f>"202011180105"</f>
        <v>202011180105</v>
      </c>
      <c r="F240" t="str">
        <f>"Statement"</f>
        <v>Statement</v>
      </c>
      <c r="G240" s="1">
        <v>1424.33</v>
      </c>
      <c r="H240" t="str">
        <f>"walmart.com"</f>
        <v>walmart.com</v>
      </c>
    </row>
    <row r="241" spans="5:8" x14ac:dyDescent="0.25">
      <c r="E241" t="str">
        <f>""</f>
        <v/>
      </c>
      <c r="F241" t="str">
        <f>""</f>
        <v/>
      </c>
      <c r="H241" t="str">
        <f>"walmart.com"</f>
        <v>walmart.com</v>
      </c>
    </row>
    <row r="242" spans="5:8" x14ac:dyDescent="0.25">
      <c r="E242" t="str">
        <f>""</f>
        <v/>
      </c>
      <c r="F242" t="str">
        <f>""</f>
        <v/>
      </c>
      <c r="H242" t="str">
        <f>"walmart"</f>
        <v>walmart</v>
      </c>
    </row>
    <row r="243" spans="5:8" x14ac:dyDescent="0.25">
      <c r="E243" t="str">
        <f>""</f>
        <v/>
      </c>
      <c r="F243" t="str">
        <f>""</f>
        <v/>
      </c>
      <c r="H243" t="str">
        <f>"google"</f>
        <v>google</v>
      </c>
    </row>
    <row r="244" spans="5:8" x14ac:dyDescent="0.25">
      <c r="E244" t="str">
        <f>""</f>
        <v/>
      </c>
      <c r="F244" t="str">
        <f>""</f>
        <v/>
      </c>
      <c r="H244" t="str">
        <f>"go daddy"</f>
        <v>go daddy</v>
      </c>
    </row>
    <row r="245" spans="5:8" x14ac:dyDescent="0.25">
      <c r="E245" t="str">
        <f>""</f>
        <v/>
      </c>
      <c r="F245" t="str">
        <f>""</f>
        <v/>
      </c>
      <c r="H245" t="str">
        <f>"harbor freight"</f>
        <v>harbor freight</v>
      </c>
    </row>
    <row r="246" spans="5:8" x14ac:dyDescent="0.25">
      <c r="E246" t="str">
        <f>""</f>
        <v/>
      </c>
      <c r="F246" t="str">
        <f>""</f>
        <v/>
      </c>
      <c r="H246" t="str">
        <f>"best buy"</f>
        <v>best buy</v>
      </c>
    </row>
    <row r="247" spans="5:8" x14ac:dyDescent="0.25">
      <c r="E247" t="str">
        <f>""</f>
        <v/>
      </c>
      <c r="F247" t="str">
        <f>""</f>
        <v/>
      </c>
      <c r="H247" t="str">
        <f>"hobby lobby"</f>
        <v>hobby lobby</v>
      </c>
    </row>
    <row r="248" spans="5:8" x14ac:dyDescent="0.25">
      <c r="E248" t="str">
        <f>""</f>
        <v/>
      </c>
      <c r="F248" t="str">
        <f>""</f>
        <v/>
      </c>
      <c r="H248" t="str">
        <f>"thundercloud"</f>
        <v>thundercloud</v>
      </c>
    </row>
    <row r="249" spans="5:8" x14ac:dyDescent="0.25">
      <c r="E249" t="str">
        <f>""</f>
        <v/>
      </c>
      <c r="F249" t="str">
        <f>""</f>
        <v/>
      </c>
      <c r="H249" t="str">
        <f>"whataburger"</f>
        <v>whataburger</v>
      </c>
    </row>
    <row r="250" spans="5:8" x14ac:dyDescent="0.25">
      <c r="E250" t="str">
        <f>""</f>
        <v/>
      </c>
      <c r="F250" t="str">
        <f>""</f>
        <v/>
      </c>
      <c r="H250" t="str">
        <f>"HEB"</f>
        <v>HEB</v>
      </c>
    </row>
    <row r="251" spans="5:8" x14ac:dyDescent="0.25">
      <c r="E251" t="str">
        <f>""</f>
        <v/>
      </c>
      <c r="F251" t="str">
        <f>""</f>
        <v/>
      </c>
      <c r="H251" t="str">
        <f>"HEB"</f>
        <v>HEB</v>
      </c>
    </row>
    <row r="252" spans="5:8" x14ac:dyDescent="0.25">
      <c r="E252" t="str">
        <f>""</f>
        <v/>
      </c>
      <c r="F252" t="str">
        <f>""</f>
        <v/>
      </c>
      <c r="H252" t="str">
        <f>"humane educators"</f>
        <v>humane educators</v>
      </c>
    </row>
    <row r="253" spans="5:8" x14ac:dyDescent="0.25">
      <c r="E253" t="str">
        <f>""</f>
        <v/>
      </c>
      <c r="F253" t="str">
        <f>""</f>
        <v/>
      </c>
      <c r="H253" t="str">
        <f>"humane educators"</f>
        <v>humane educators</v>
      </c>
    </row>
    <row r="254" spans="5:8" x14ac:dyDescent="0.25">
      <c r="E254" t="str">
        <f>""</f>
        <v/>
      </c>
      <c r="F254" t="str">
        <f>""</f>
        <v/>
      </c>
      <c r="H254" t="str">
        <f>"walmart"</f>
        <v>walmart</v>
      </c>
    </row>
    <row r="255" spans="5:8" x14ac:dyDescent="0.25">
      <c r="E255" t="str">
        <f>""</f>
        <v/>
      </c>
      <c r="F255" t="str">
        <f>""</f>
        <v/>
      </c>
      <c r="H255" t="str">
        <f>"harbor freight"</f>
        <v>harbor freight</v>
      </c>
    </row>
    <row r="256" spans="5:8" x14ac:dyDescent="0.25">
      <c r="E256" t="str">
        <f>""</f>
        <v/>
      </c>
      <c r="F256" t="str">
        <f>""</f>
        <v/>
      </c>
      <c r="H256" t="str">
        <f>"texaco"</f>
        <v>texaco</v>
      </c>
    </row>
    <row r="257" spans="1:8" x14ac:dyDescent="0.25">
      <c r="E257" t="str">
        <f>""</f>
        <v/>
      </c>
      <c r="F257" t="str">
        <f>""</f>
        <v/>
      </c>
      <c r="H257" t="str">
        <f>"UPS"</f>
        <v>UPS</v>
      </c>
    </row>
    <row r="258" spans="1:8" x14ac:dyDescent="0.25">
      <c r="E258" t="str">
        <f>""</f>
        <v/>
      </c>
      <c r="F258" t="str">
        <f>""</f>
        <v/>
      </c>
      <c r="H258" t="str">
        <f>"academy"</f>
        <v>academy</v>
      </c>
    </row>
    <row r="259" spans="1:8" x14ac:dyDescent="0.25">
      <c r="E259" t="str">
        <f>""</f>
        <v/>
      </c>
      <c r="F259" t="str">
        <f>""</f>
        <v/>
      </c>
      <c r="H259" t="str">
        <f>"walmart"</f>
        <v>walmart</v>
      </c>
    </row>
    <row r="260" spans="1:8" x14ac:dyDescent="0.25">
      <c r="A260" t="s">
        <v>75</v>
      </c>
      <c r="B260">
        <v>769</v>
      </c>
      <c r="C260" s="1">
        <v>3066.7</v>
      </c>
      <c r="D260" s="5">
        <v>44148</v>
      </c>
      <c r="E260" t="str">
        <f>"202011170083"</f>
        <v>202011170083</v>
      </c>
      <c r="F260" t="str">
        <f>"CARD 0574 STATEMENT"</f>
        <v>CARD 0574 STATEMENT</v>
      </c>
      <c r="G260" s="1">
        <v>3066.7</v>
      </c>
      <c r="H260" t="str">
        <f>"4IMPRINT"</f>
        <v>4IMPRINT</v>
      </c>
    </row>
    <row r="261" spans="1:8" x14ac:dyDescent="0.25">
      <c r="E261" t="str">
        <f>""</f>
        <v/>
      </c>
      <c r="F261" t="str">
        <f>""</f>
        <v/>
      </c>
      <c r="H261" t="str">
        <f>"USPS"</f>
        <v>USPS</v>
      </c>
    </row>
    <row r="262" spans="1:8" x14ac:dyDescent="0.25">
      <c r="E262" t="str">
        <f>""</f>
        <v/>
      </c>
      <c r="F262" t="str">
        <f>""</f>
        <v/>
      </c>
      <c r="H262" t="str">
        <f>"MASTER LOCK CO."</f>
        <v>MASTER LOCK CO.</v>
      </c>
    </row>
    <row r="263" spans="1:8" x14ac:dyDescent="0.25">
      <c r="A263" t="s">
        <v>76</v>
      </c>
      <c r="B263">
        <v>133717</v>
      </c>
      <c r="C263" s="1">
        <v>300</v>
      </c>
      <c r="D263" s="5">
        <v>44158</v>
      </c>
      <c r="E263" t="str">
        <f>"202011180113"</f>
        <v>202011180113</v>
      </c>
      <c r="F263" t="str">
        <f>"19-19572"</f>
        <v>19-19572</v>
      </c>
      <c r="G263" s="1">
        <v>300</v>
      </c>
      <c r="H263" t="str">
        <f>"19-19572"</f>
        <v>19-19572</v>
      </c>
    </row>
    <row r="264" spans="1:8" x14ac:dyDescent="0.25">
      <c r="A264" t="s">
        <v>77</v>
      </c>
      <c r="B264">
        <v>3594</v>
      </c>
      <c r="C264" s="1">
        <v>875</v>
      </c>
      <c r="D264" s="5">
        <v>44159</v>
      </c>
      <c r="E264" t="str">
        <f>"202011180114"</f>
        <v>202011180114</v>
      </c>
      <c r="F264" t="str">
        <f>"57 448 AC2020831WA"</f>
        <v>57 448 AC2020831WA</v>
      </c>
      <c r="G264" s="1">
        <v>625</v>
      </c>
      <c r="H264" t="str">
        <f>"57 448 AC2020831WA"</f>
        <v>57 448 AC2020831WA</v>
      </c>
    </row>
    <row r="265" spans="1:8" x14ac:dyDescent="0.25">
      <c r="E265" t="str">
        <f>"202011180115"</f>
        <v>202011180115</v>
      </c>
      <c r="F265" t="str">
        <f>"57 455"</f>
        <v>57 455</v>
      </c>
      <c r="G265" s="1">
        <v>250</v>
      </c>
      <c r="H265" t="str">
        <f>"57 455"</f>
        <v>57 455</v>
      </c>
    </row>
    <row r="266" spans="1:8" x14ac:dyDescent="0.25">
      <c r="A266" t="s">
        <v>78</v>
      </c>
      <c r="B266">
        <v>133593</v>
      </c>
      <c r="C266" s="1">
        <v>328.35</v>
      </c>
      <c r="D266" s="5">
        <v>44144</v>
      </c>
      <c r="E266" t="str">
        <f>"5037282271"</f>
        <v>5037282271</v>
      </c>
      <c r="F266" t="str">
        <f>"CUST#11167190/PCT#1"</f>
        <v>CUST#11167190/PCT#1</v>
      </c>
      <c r="G266" s="1">
        <v>53.08</v>
      </c>
      <c r="H266" t="str">
        <f>"CUST#11167190/PCT#1"</f>
        <v>CUST#11167190/PCT#1</v>
      </c>
    </row>
    <row r="267" spans="1:8" x14ac:dyDescent="0.25">
      <c r="E267" t="str">
        <f>"5038367494"</f>
        <v>5038367494</v>
      </c>
      <c r="F267" t="str">
        <f>"CUST#11167190/PCT#1"</f>
        <v>CUST#11167190/PCT#1</v>
      </c>
      <c r="G267" s="1">
        <v>125.27</v>
      </c>
      <c r="H267" t="str">
        <f>"CUST#11167190/PCT#1"</f>
        <v>CUST#11167190/PCT#1</v>
      </c>
    </row>
    <row r="268" spans="1:8" x14ac:dyDescent="0.25">
      <c r="E268" t="str">
        <f>"910736608"</f>
        <v>910736608</v>
      </c>
      <c r="F268" t="str">
        <f>"INV 9107366008"</f>
        <v>INV 9107366008</v>
      </c>
      <c r="G268" s="1">
        <v>50</v>
      </c>
      <c r="H268" t="str">
        <f>"INV 9107366008"</f>
        <v>INV 9107366008</v>
      </c>
    </row>
    <row r="269" spans="1:8" x14ac:dyDescent="0.25">
      <c r="E269" t="str">
        <f>"9108366007"</f>
        <v>9108366007</v>
      </c>
      <c r="F269" t="str">
        <f>"INV 9108366007"</f>
        <v>INV 9108366007</v>
      </c>
      <c r="G269" s="1">
        <v>100</v>
      </c>
      <c r="H269" t="str">
        <f>"INV 9108366007"</f>
        <v>INV 9108366007</v>
      </c>
    </row>
    <row r="270" spans="1:8" x14ac:dyDescent="0.25">
      <c r="A270" t="s">
        <v>79</v>
      </c>
      <c r="B270">
        <v>133718</v>
      </c>
      <c r="C270" s="1">
        <v>5470.06</v>
      </c>
      <c r="D270" s="5">
        <v>44158</v>
      </c>
      <c r="E270" t="str">
        <f>"202011160015"</f>
        <v>202011160015</v>
      </c>
      <c r="F270" t="str">
        <f>"PAYER#14108463/ANIMAL SHELTER"</f>
        <v>PAYER#14108463/ANIMAL SHELTER</v>
      </c>
      <c r="G270" s="1">
        <v>281.68</v>
      </c>
      <c r="H270" t="str">
        <f>"PAYER#14108463/ANIMAL SHELTER"</f>
        <v>PAYER#14108463/ANIMAL SHELTER</v>
      </c>
    </row>
    <row r="271" spans="1:8" x14ac:dyDescent="0.25">
      <c r="E271" t="str">
        <f>"202011160027"</f>
        <v>202011160027</v>
      </c>
      <c r="F271" t="str">
        <f>"PAYER#14108375/GEN SVCS"</f>
        <v>PAYER#14108375/GEN SVCS</v>
      </c>
      <c r="G271" s="1">
        <v>1838.28</v>
      </c>
      <c r="H271" t="str">
        <f>"PAYER#14108375/GEN SVCS"</f>
        <v>PAYER#14108375/GEN SVCS</v>
      </c>
    </row>
    <row r="272" spans="1:8" x14ac:dyDescent="0.25">
      <c r="E272" t="str">
        <f>"202011160029"</f>
        <v>202011160029</v>
      </c>
      <c r="F272" t="str">
        <f>"PAYER#14108431"</f>
        <v>PAYER#14108431</v>
      </c>
      <c r="G272" s="1">
        <v>63.51</v>
      </c>
      <c r="H272" t="str">
        <f>"PAYER#14108431"</f>
        <v>PAYER#14108431</v>
      </c>
    </row>
    <row r="273" spans="1:8" x14ac:dyDescent="0.25">
      <c r="E273" t="str">
        <f>"202011160036"</f>
        <v>202011160036</v>
      </c>
      <c r="F273" t="str">
        <f>"PAYER#14108431/PCT#1"</f>
        <v>PAYER#14108431/PCT#1</v>
      </c>
      <c r="G273" s="1">
        <v>725</v>
      </c>
      <c r="H273" t="str">
        <f>"PAYER#14108431/PCT#1"</f>
        <v>PAYER#14108431/PCT#1</v>
      </c>
    </row>
    <row r="274" spans="1:8" x14ac:dyDescent="0.25">
      <c r="E274" t="str">
        <f>"202011160039"</f>
        <v>202011160039</v>
      </c>
      <c r="F274" t="str">
        <f>"PAYER#14108367/PCT#2"</f>
        <v>PAYER#14108367/PCT#2</v>
      </c>
      <c r="G274" s="1">
        <v>931.54</v>
      </c>
      <c r="H274" t="str">
        <f>"PAYER#14108367/PCT#2"</f>
        <v>PAYER#14108367/PCT#2</v>
      </c>
    </row>
    <row r="275" spans="1:8" x14ac:dyDescent="0.25">
      <c r="E275" t="str">
        <f>"202011160048"</f>
        <v>202011160048</v>
      </c>
      <c r="F275" t="str">
        <f>"PAYER#14108430/PCT#4"</f>
        <v>PAYER#14108430/PCT#4</v>
      </c>
      <c r="G275" s="1">
        <v>1630.05</v>
      </c>
      <c r="H275" t="str">
        <f>"PAYER#14108430/PCT#4"</f>
        <v>PAYER#14108430/PCT#4</v>
      </c>
    </row>
    <row r="276" spans="1:8" x14ac:dyDescent="0.25">
      <c r="A276" t="s">
        <v>79</v>
      </c>
      <c r="B276">
        <v>133719</v>
      </c>
      <c r="C276" s="1">
        <v>645.53</v>
      </c>
      <c r="D276" s="5">
        <v>44158</v>
      </c>
      <c r="E276" t="str">
        <f>"8404882702"</f>
        <v>8404882702</v>
      </c>
      <c r="F276" t="str">
        <f>"CUST#10377368/PCT#3"</f>
        <v>CUST#10377368/PCT#3</v>
      </c>
      <c r="G276" s="1">
        <v>645.53</v>
      </c>
      <c r="H276" t="str">
        <f>"CUST#10377368/PCT#3"</f>
        <v>CUST#10377368/PCT#3</v>
      </c>
    </row>
    <row r="277" spans="1:8" x14ac:dyDescent="0.25">
      <c r="A277" t="s">
        <v>80</v>
      </c>
      <c r="B277">
        <v>3550</v>
      </c>
      <c r="C277" s="1">
        <v>8530</v>
      </c>
      <c r="D277" s="5">
        <v>44159</v>
      </c>
      <c r="E277" t="str">
        <f>"202011170065"</f>
        <v>202011170065</v>
      </c>
      <c r="F277" t="str">
        <f>"CISTERA NETWORKS  INC."</f>
        <v>CISTERA NETWORKS  INC.</v>
      </c>
      <c r="G277" s="1">
        <v>8530</v>
      </c>
      <c r="H277" t="str">
        <f>"Cistera Software"</f>
        <v>Cistera Software</v>
      </c>
    </row>
    <row r="278" spans="1:8" x14ac:dyDescent="0.25">
      <c r="A278" t="s">
        <v>81</v>
      </c>
      <c r="B278">
        <v>801</v>
      </c>
      <c r="C278" s="1">
        <v>9173.44</v>
      </c>
      <c r="D278" s="5">
        <v>44159</v>
      </c>
      <c r="E278" t="str">
        <f>"202011240292"</f>
        <v>202011240292</v>
      </c>
      <c r="F278" t="str">
        <f>"ACCT#72-5613 / 11032020"</f>
        <v>ACCT#72-5613 / 11032020</v>
      </c>
      <c r="G278" s="1">
        <v>9173.44</v>
      </c>
      <c r="H278" t="str">
        <f>"ACCT#72-5613 / 11032020"</f>
        <v>ACCT#72-5613 / 11032020</v>
      </c>
    </row>
    <row r="279" spans="1:8" x14ac:dyDescent="0.25">
      <c r="A279" t="s">
        <v>82</v>
      </c>
      <c r="B279">
        <v>133688</v>
      </c>
      <c r="C279" s="1">
        <v>44731.81</v>
      </c>
      <c r="D279" s="5">
        <v>44153</v>
      </c>
      <c r="E279" t="str">
        <f>"202011180196"</f>
        <v>202011180196</v>
      </c>
      <c r="F279" t="str">
        <f>"ACCT#02-2083-04 / 10292020"</f>
        <v>ACCT#02-2083-04 / 10292020</v>
      </c>
      <c r="G279" s="1">
        <v>5380.49</v>
      </c>
      <c r="H279" t="str">
        <f>"ACCT#02-2083-04 / 10292020"</f>
        <v>ACCT#02-2083-04 / 10292020</v>
      </c>
    </row>
    <row r="280" spans="1:8" x14ac:dyDescent="0.25">
      <c r="E280" t="str">
        <f>"202011180197"</f>
        <v>202011180197</v>
      </c>
      <c r="F280" t="str">
        <f>"COUNTY DEV CTR / 10292020"</f>
        <v>COUNTY DEV CTR / 10292020</v>
      </c>
      <c r="G280" s="1">
        <v>2204.63</v>
      </c>
      <c r="H280" t="str">
        <f>"COUNTY DEV CTR / 10292020"</f>
        <v>COUNTY DEV CTR / 10292020</v>
      </c>
    </row>
    <row r="281" spans="1:8" x14ac:dyDescent="0.25">
      <c r="E281" t="str">
        <f>"202011180198"</f>
        <v>202011180198</v>
      </c>
      <c r="F281" t="str">
        <f>"COUNTY LAW CTR / 10292020"</f>
        <v>COUNTY LAW CTR / 10292020</v>
      </c>
      <c r="G281" s="1">
        <v>24132.12</v>
      </c>
      <c r="H281" t="str">
        <f>"COUNTY LAW CTR / 10292020"</f>
        <v>COUNTY LAW CTR / 10292020</v>
      </c>
    </row>
    <row r="282" spans="1:8" x14ac:dyDescent="0.25">
      <c r="E282" t="str">
        <f>"202011180199"</f>
        <v>202011180199</v>
      </c>
      <c r="F282" t="str">
        <f>"BASTROP COURTHOUSE / 10292020"</f>
        <v>BASTROP COURTHOUSE / 10292020</v>
      </c>
      <c r="G282" s="1">
        <v>13014.57</v>
      </c>
      <c r="H282" t="str">
        <f>"BASTROP COURTHOUSE / 10292020"</f>
        <v>BASTROP COURTHOUSE / 10292020</v>
      </c>
    </row>
    <row r="283" spans="1:8" x14ac:dyDescent="0.25">
      <c r="A283" t="s">
        <v>82</v>
      </c>
      <c r="B283">
        <v>133720</v>
      </c>
      <c r="C283" s="1">
        <v>2948.5</v>
      </c>
      <c r="D283" s="5">
        <v>44158</v>
      </c>
      <c r="E283" t="str">
        <f>"20-000075"</f>
        <v>20-000075</v>
      </c>
      <c r="F283" t="str">
        <f>"TECH FEE/PLAN REVIEW"</f>
        <v>TECH FEE/PLAN REVIEW</v>
      </c>
      <c r="G283" s="1">
        <v>2198.5</v>
      </c>
      <c r="H283" t="str">
        <f>"TECH FEE/PLAN REVIEW"</f>
        <v>TECH FEE/PLAN REVIEW</v>
      </c>
    </row>
    <row r="284" spans="1:8" x14ac:dyDescent="0.25">
      <c r="E284" t="str">
        <f>"202011160033"</f>
        <v>202011160033</v>
      </c>
      <c r="F284" t="str">
        <f>"RENTAL - PARKING LOT"</f>
        <v>RENTAL - PARKING LOT</v>
      </c>
      <c r="G284" s="1">
        <v>750</v>
      </c>
      <c r="H284" t="str">
        <f>"RENTAL - PARKING LOT"</f>
        <v>RENTAL - PARKING LOT</v>
      </c>
    </row>
    <row r="285" spans="1:8" x14ac:dyDescent="0.25">
      <c r="A285" t="s">
        <v>83</v>
      </c>
      <c r="B285">
        <v>133562</v>
      </c>
      <c r="C285" s="1">
        <v>3005.23</v>
      </c>
      <c r="D285" s="5">
        <v>44139</v>
      </c>
      <c r="E285" t="str">
        <f>"202011049988"</f>
        <v>202011049988</v>
      </c>
      <c r="F285" t="str">
        <f>"ACCT#007-0000388-000/10292020"</f>
        <v>ACCT#007-0000388-000/10292020</v>
      </c>
      <c r="G285" s="1">
        <v>532.22</v>
      </c>
      <c r="H285" t="str">
        <f>"ACCT#007-0000388-000/10292020"</f>
        <v>ACCT#007-0000388-000/10292020</v>
      </c>
    </row>
    <row r="286" spans="1:8" x14ac:dyDescent="0.25">
      <c r="E286" t="str">
        <f>"202011049989"</f>
        <v>202011049989</v>
      </c>
      <c r="F286" t="str">
        <f>"ACCT#007-0000389-000/1029200"</f>
        <v>ACCT#007-0000389-000/1029200</v>
      </c>
      <c r="G286" s="1">
        <v>224.48</v>
      </c>
      <c r="H286" t="str">
        <f>"ACCT#007-0000389-000/1029200"</f>
        <v>ACCT#007-0000389-000/1029200</v>
      </c>
    </row>
    <row r="287" spans="1:8" x14ac:dyDescent="0.25">
      <c r="E287" t="str">
        <f>"202011049990"</f>
        <v>202011049990</v>
      </c>
      <c r="F287" t="str">
        <f>"ACCT#044-0001240-000/10292020"</f>
        <v>ACCT#044-0001240-000/10292020</v>
      </c>
      <c r="G287" s="1">
        <v>362.1</v>
      </c>
      <c r="H287" t="str">
        <f>"ACCT#044-0001240-000/10292020"</f>
        <v>ACCT#044-0001240-000/10292020</v>
      </c>
    </row>
    <row r="288" spans="1:8" x14ac:dyDescent="0.25">
      <c r="E288" t="str">
        <f>"202011049991"</f>
        <v>202011049991</v>
      </c>
      <c r="F288" t="str">
        <f>"ACCT#044-0001250-000/10292020"</f>
        <v>ACCT#044-0001250-000/10292020</v>
      </c>
      <c r="G288" s="1">
        <v>88.42</v>
      </c>
      <c r="H288" t="str">
        <f>"ACCT#044-0001250-000/10292020"</f>
        <v>ACCT#044-0001250-000/10292020</v>
      </c>
    </row>
    <row r="289" spans="1:8" x14ac:dyDescent="0.25">
      <c r="E289" t="str">
        <f>"202011049992"</f>
        <v>202011049992</v>
      </c>
      <c r="F289" t="str">
        <f>"ACCT#044-0001252-000/10292020"</f>
        <v>ACCT#044-0001252-000/10292020</v>
      </c>
      <c r="G289" s="1">
        <v>1638.63</v>
      </c>
      <c r="H289" t="str">
        <f>"ACCT#044-0001252-000/10292020"</f>
        <v>ACCT#044-0001252-000/10292020</v>
      </c>
    </row>
    <row r="290" spans="1:8" x14ac:dyDescent="0.25">
      <c r="E290" t="str">
        <f>"202011049993"</f>
        <v>202011049993</v>
      </c>
      <c r="F290" t="str">
        <f>"ACCT#044-0001253-000/10292020"</f>
        <v>ACCT#044-0001253-000/10292020</v>
      </c>
      <c r="G290" s="1">
        <v>159.38</v>
      </c>
      <c r="H290" t="str">
        <f>"ACCT#044-0001253-000/10292020"</f>
        <v>ACCT#044-0001253-000/10292020</v>
      </c>
    </row>
    <row r="291" spans="1:8" x14ac:dyDescent="0.25">
      <c r="A291" t="s">
        <v>84</v>
      </c>
      <c r="B291">
        <v>133721</v>
      </c>
      <c r="C291" s="1">
        <v>190</v>
      </c>
      <c r="D291" s="5">
        <v>44158</v>
      </c>
      <c r="E291" t="str">
        <f>"202011180207"</f>
        <v>202011180207</v>
      </c>
      <c r="F291" t="str">
        <f>"FERAL HOGS"</f>
        <v>FERAL HOGS</v>
      </c>
      <c r="G291" s="1">
        <v>190</v>
      </c>
      <c r="H291" t="str">
        <f>"FERAL HOGS"</f>
        <v>FERAL HOGS</v>
      </c>
    </row>
    <row r="292" spans="1:8" x14ac:dyDescent="0.25">
      <c r="A292" t="s">
        <v>85</v>
      </c>
      <c r="B292">
        <v>133594</v>
      </c>
      <c r="C292" s="1">
        <v>2450</v>
      </c>
      <c r="D292" s="5">
        <v>44144</v>
      </c>
      <c r="E292" t="str">
        <f>"148491"</f>
        <v>148491</v>
      </c>
      <c r="F292" t="str">
        <f>"INV 148491"</f>
        <v>INV 148491</v>
      </c>
      <c r="G292" s="1">
        <v>2450</v>
      </c>
      <c r="H292" t="str">
        <f>"INV 148491"</f>
        <v>INV 148491</v>
      </c>
    </row>
    <row r="293" spans="1:8" x14ac:dyDescent="0.25">
      <c r="A293" t="s">
        <v>86</v>
      </c>
      <c r="B293">
        <v>133722</v>
      </c>
      <c r="C293" s="1">
        <v>10</v>
      </c>
      <c r="D293" s="5">
        <v>44158</v>
      </c>
      <c r="E293" t="str">
        <f>"202011180208"</f>
        <v>202011180208</v>
      </c>
      <c r="F293" t="str">
        <f>"FERAL HOGS"</f>
        <v>FERAL HOGS</v>
      </c>
      <c r="G293" s="1">
        <v>10</v>
      </c>
      <c r="H293" t="str">
        <f>"FERAL HOGS"</f>
        <v>FERAL HOGS</v>
      </c>
    </row>
    <row r="294" spans="1:8" x14ac:dyDescent="0.25">
      <c r="A294" t="s">
        <v>87</v>
      </c>
      <c r="B294">
        <v>3574</v>
      </c>
      <c r="C294" s="1">
        <v>716.24</v>
      </c>
      <c r="D294" s="5">
        <v>44159</v>
      </c>
      <c r="E294" t="str">
        <f>"202009-0  202010-0"</f>
        <v>202009-0  202010-0</v>
      </c>
      <c r="F294" t="str">
        <f>"INV 202009-0"</f>
        <v>INV 202009-0</v>
      </c>
      <c r="G294" s="1">
        <v>417.15</v>
      </c>
      <c r="H294" t="str">
        <f>"INV 202009-0"</f>
        <v>INV 202009-0</v>
      </c>
    </row>
    <row r="295" spans="1:8" x14ac:dyDescent="0.25">
      <c r="E295" t="str">
        <f>""</f>
        <v/>
      </c>
      <c r="F295" t="str">
        <f>""</f>
        <v/>
      </c>
      <c r="H295" t="str">
        <f>"INV 202010-0"</f>
        <v>INV 202010-0</v>
      </c>
    </row>
    <row r="296" spans="1:8" x14ac:dyDescent="0.25">
      <c r="E296" t="str">
        <f>"202011180146"</f>
        <v>202011180146</v>
      </c>
      <c r="F296" t="str">
        <f>"INDIGENT HEALTH"</f>
        <v>INDIGENT HEALTH</v>
      </c>
      <c r="G296" s="1">
        <v>53.13</v>
      </c>
      <c r="H296" t="str">
        <f>"INDIGENT HEALTH"</f>
        <v>INDIGENT HEALTH</v>
      </c>
    </row>
    <row r="297" spans="1:8" x14ac:dyDescent="0.25">
      <c r="E297" t="str">
        <f>"202011180148"</f>
        <v>202011180148</v>
      </c>
      <c r="F297" t="str">
        <f>"INDIGENT HEALTH"</f>
        <v>INDIGENT HEALTH</v>
      </c>
      <c r="G297" s="1">
        <v>245.96</v>
      </c>
      <c r="H297" t="str">
        <f>"INDIGENT HEALTH"</f>
        <v>INDIGENT HEALTH</v>
      </c>
    </row>
    <row r="298" spans="1:8" x14ac:dyDescent="0.25">
      <c r="A298" t="s">
        <v>88</v>
      </c>
      <c r="B298">
        <v>133595</v>
      </c>
      <c r="C298" s="1">
        <v>177.5</v>
      </c>
      <c r="D298" s="5">
        <v>44144</v>
      </c>
      <c r="E298" t="str">
        <f>"202011029831"</f>
        <v>202011029831</v>
      </c>
      <c r="F298" t="str">
        <f>"BOND#61524169/P PAPE"</f>
        <v>BOND#61524169/P PAPE</v>
      </c>
      <c r="G298" s="1">
        <v>177.5</v>
      </c>
      <c r="H298" t="str">
        <f>"BOND#61524169/P PAPE"</f>
        <v>BOND#61524169/P PAPE</v>
      </c>
    </row>
    <row r="299" spans="1:8" x14ac:dyDescent="0.25">
      <c r="A299" t="s">
        <v>88</v>
      </c>
      <c r="B299">
        <v>133723</v>
      </c>
      <c r="C299" s="1">
        <v>150</v>
      </c>
      <c r="D299" s="5">
        <v>44158</v>
      </c>
      <c r="E299" t="str">
        <f>"202011160026"</f>
        <v>202011160026</v>
      </c>
      <c r="F299" t="str">
        <f>"BOND#15528646/RAYMAH DAVIS"</f>
        <v>BOND#15528646/RAYMAH DAVIS</v>
      </c>
      <c r="G299" s="1">
        <v>50</v>
      </c>
      <c r="H299" t="str">
        <f>"BOND#15528646"</f>
        <v>BOND#15528646</v>
      </c>
    </row>
    <row r="300" spans="1:8" x14ac:dyDescent="0.25">
      <c r="E300" t="str">
        <f>"202011160028"</f>
        <v>202011160028</v>
      </c>
      <c r="F300" t="str">
        <f>"BOND#15528644/BRYAN GOERTZ"</f>
        <v>BOND#15528644/BRYAN GOERTZ</v>
      </c>
      <c r="G300" s="1">
        <v>50</v>
      </c>
      <c r="H300" t="str">
        <f>"BOND#15528644/BRYAN GOERTZ"</f>
        <v>BOND#15528644/BRYAN GOERTZ</v>
      </c>
    </row>
    <row r="301" spans="1:8" x14ac:dyDescent="0.25">
      <c r="E301" t="str">
        <f>"202011180180"</f>
        <v>202011180180</v>
      </c>
      <c r="F301" t="str">
        <f>"BOND#69447529/MICHAEL OLSON"</f>
        <v>BOND#69447529/MICHAEL OLSON</v>
      </c>
      <c r="G301" s="1">
        <v>50</v>
      </c>
      <c r="H301" t="str">
        <f>"BOND#69447529/MICHAEL OLSON"</f>
        <v>BOND#69447529/MICHAEL OLSON</v>
      </c>
    </row>
    <row r="302" spans="1:8" x14ac:dyDescent="0.25">
      <c r="A302" t="s">
        <v>89</v>
      </c>
      <c r="B302">
        <v>133596</v>
      </c>
      <c r="C302" s="1">
        <v>573.32000000000005</v>
      </c>
      <c r="D302" s="5">
        <v>44144</v>
      </c>
      <c r="E302" t="str">
        <f>"4715*151*1"</f>
        <v>4715*151*1</v>
      </c>
      <c r="F302" t="str">
        <f>"JAIL MEDICAL"</f>
        <v>JAIL MEDICAL</v>
      </c>
      <c r="G302" s="1">
        <v>573.32000000000005</v>
      </c>
      <c r="H302" t="str">
        <f>"JAIL MEDICAL"</f>
        <v>JAIL MEDICAL</v>
      </c>
    </row>
    <row r="303" spans="1:8" x14ac:dyDescent="0.25">
      <c r="A303" t="s">
        <v>90</v>
      </c>
      <c r="B303">
        <v>133597</v>
      </c>
      <c r="C303" s="1">
        <v>75</v>
      </c>
      <c r="D303" s="5">
        <v>44144</v>
      </c>
      <c r="E303" t="str">
        <f>"12940"</f>
        <v>12940</v>
      </c>
      <c r="F303" t="str">
        <f>"SERVICE"</f>
        <v>SERVICE</v>
      </c>
      <c r="G303" s="1">
        <v>75</v>
      </c>
      <c r="H303" t="str">
        <f>"SERVICE"</f>
        <v>SERVICE</v>
      </c>
    </row>
    <row r="304" spans="1:8" x14ac:dyDescent="0.25">
      <c r="A304" t="s">
        <v>91</v>
      </c>
      <c r="B304">
        <v>133598</v>
      </c>
      <c r="C304" s="1">
        <v>256.35000000000002</v>
      </c>
      <c r="D304" s="5">
        <v>44144</v>
      </c>
      <c r="E304" t="str">
        <f>"4721*02198*2/3/1"</f>
        <v>4721*02198*2/3/1</v>
      </c>
      <c r="F304" t="str">
        <f>"JAIL MEDICAL"</f>
        <v>JAIL MEDICAL</v>
      </c>
      <c r="G304" s="1">
        <v>256.35000000000002</v>
      </c>
      <c r="H304" t="str">
        <f>"JAIL MEDICAL"</f>
        <v>JAIL MEDICAL</v>
      </c>
    </row>
    <row r="305" spans="1:8" x14ac:dyDescent="0.25">
      <c r="A305" t="s">
        <v>91</v>
      </c>
      <c r="B305">
        <v>133724</v>
      </c>
      <c r="C305" s="1">
        <v>137.4</v>
      </c>
      <c r="D305" s="5">
        <v>44158</v>
      </c>
      <c r="E305" t="str">
        <f>"202011180183"</f>
        <v>202011180183</v>
      </c>
      <c r="F305" t="str">
        <f>"JAIL MEDICAL"</f>
        <v>JAIL MEDICAL</v>
      </c>
      <c r="G305" s="1">
        <v>137.4</v>
      </c>
      <c r="H305" t="str">
        <f>"JAIL MEDICAL"</f>
        <v>JAIL MEDICAL</v>
      </c>
    </row>
    <row r="306" spans="1:8" x14ac:dyDescent="0.25">
      <c r="A306" t="s">
        <v>92</v>
      </c>
      <c r="B306">
        <v>3537</v>
      </c>
      <c r="C306" s="1">
        <v>198</v>
      </c>
      <c r="D306" s="5">
        <v>44159</v>
      </c>
      <c r="E306" t="str">
        <f>"12457031640"</f>
        <v>12457031640</v>
      </c>
      <c r="F306" t="str">
        <f>"INV 12457031640"</f>
        <v>INV 12457031640</v>
      </c>
      <c r="G306" s="1">
        <v>198</v>
      </c>
      <c r="H306" t="str">
        <f>"INV 12457031640"</f>
        <v>INV 12457031640</v>
      </c>
    </row>
    <row r="307" spans="1:8" x14ac:dyDescent="0.25">
      <c r="A307" t="s">
        <v>93</v>
      </c>
      <c r="B307">
        <v>133599</v>
      </c>
      <c r="C307" s="1">
        <v>6429.6</v>
      </c>
      <c r="D307" s="5">
        <v>44144</v>
      </c>
      <c r="E307" t="str">
        <f>"21680212"</f>
        <v>21680212</v>
      </c>
      <c r="F307" t="str">
        <f>"ACCT#434304/PCT#2"</f>
        <v>ACCT#434304/PCT#2</v>
      </c>
      <c r="G307" s="1">
        <v>6429.6</v>
      </c>
      <c r="H307" t="str">
        <f>"ACCT#434304/PCT#2"</f>
        <v>ACCT#434304/PCT#2</v>
      </c>
    </row>
    <row r="308" spans="1:8" x14ac:dyDescent="0.25">
      <c r="A308" t="s">
        <v>94</v>
      </c>
      <c r="B308">
        <v>3542</v>
      </c>
      <c r="C308" s="1">
        <v>1555</v>
      </c>
      <c r="D308" s="5">
        <v>44159</v>
      </c>
      <c r="E308" t="str">
        <f>"20562"</f>
        <v>20562</v>
      </c>
      <c r="F308" t="str">
        <f>"DATA CABLE FOR COURTHOUSE"</f>
        <v>DATA CABLE FOR COURTHOUSE</v>
      </c>
      <c r="G308" s="1">
        <v>778</v>
      </c>
      <c r="H308" t="str">
        <f>"DATA CABLE FOR COURTHOUSE"</f>
        <v>DATA CABLE FOR COURTHOUSE</v>
      </c>
    </row>
    <row r="309" spans="1:8" x14ac:dyDescent="0.25">
      <c r="E309" t="str">
        <f>"20588"</f>
        <v>20588</v>
      </c>
      <c r="F309" t="str">
        <f>"TEST CABLE/LABOR"</f>
        <v>TEST CABLE/LABOR</v>
      </c>
      <c r="G309" s="1">
        <v>82</v>
      </c>
      <c r="H309" t="str">
        <f>"TEST CABLE/LABOR"</f>
        <v>TEST CABLE/LABOR</v>
      </c>
    </row>
    <row r="310" spans="1:8" x14ac:dyDescent="0.25">
      <c r="E310" t="str">
        <f>"20592"</f>
        <v>20592</v>
      </c>
      <c r="F310" t="str">
        <f>"INSTALL CABLE/MATERIAL/LABOR"</f>
        <v>INSTALL CABLE/MATERIAL/LABOR</v>
      </c>
      <c r="G310" s="1">
        <v>695</v>
      </c>
      <c r="H310" t="str">
        <f>"INSTALL CABLE/MATERIAL/LABOR"</f>
        <v>INSTALL CABLE/MATERIAL/LABOR</v>
      </c>
    </row>
    <row r="311" spans="1:8" x14ac:dyDescent="0.25">
      <c r="A311" t="s">
        <v>95</v>
      </c>
      <c r="B311">
        <v>3502</v>
      </c>
      <c r="C311" s="1">
        <v>1262.3</v>
      </c>
      <c r="D311" s="5">
        <v>44145</v>
      </c>
      <c r="E311" t="str">
        <f>"IG00557"</f>
        <v>IG00557</v>
      </c>
      <c r="F311" t="str">
        <f>"ACCT#063/PARTS/PCT#1"</f>
        <v>ACCT#063/PARTS/PCT#1</v>
      </c>
      <c r="G311" s="1">
        <v>1262.3</v>
      </c>
      <c r="H311" t="str">
        <f>"ACCT#063/PARTS/PCT#1"</f>
        <v>ACCT#063/PARTS/PCT#1</v>
      </c>
    </row>
    <row r="312" spans="1:8" x14ac:dyDescent="0.25">
      <c r="A312" t="s">
        <v>96</v>
      </c>
      <c r="B312">
        <v>133600</v>
      </c>
      <c r="C312" s="1">
        <v>1360.46</v>
      </c>
      <c r="D312" s="5">
        <v>44144</v>
      </c>
      <c r="E312" t="str">
        <f>"TP91730"</f>
        <v>TP91730</v>
      </c>
      <c r="F312" t="str">
        <f>"ACCT#68930/ANIMAL SERVICES"</f>
        <v>ACCT#68930/ANIMAL SERVICES</v>
      </c>
      <c r="G312" s="1">
        <v>154.53</v>
      </c>
      <c r="H312" t="str">
        <f t="shared" ref="H312:H319" si="11">"ACCT#68930/ANIMAL SERVICES"</f>
        <v>ACCT#68930/ANIMAL SERVICES</v>
      </c>
    </row>
    <row r="313" spans="1:8" x14ac:dyDescent="0.25">
      <c r="E313" t="str">
        <f>""</f>
        <v/>
      </c>
      <c r="F313" t="str">
        <f>""</f>
        <v/>
      </c>
      <c r="H313" t="str">
        <f t="shared" si="11"/>
        <v>ACCT#68930/ANIMAL SERVICES</v>
      </c>
    </row>
    <row r="314" spans="1:8" x14ac:dyDescent="0.25">
      <c r="E314" t="str">
        <f>""</f>
        <v/>
      </c>
      <c r="F314" t="str">
        <f>""</f>
        <v/>
      </c>
      <c r="H314" t="str">
        <f t="shared" si="11"/>
        <v>ACCT#68930/ANIMAL SERVICES</v>
      </c>
    </row>
    <row r="315" spans="1:8" x14ac:dyDescent="0.25">
      <c r="E315" t="str">
        <f>"TR21745"</f>
        <v>TR21745</v>
      </c>
      <c r="F315" t="str">
        <f>"ACCT#68930/ANIMAL SERVICES"</f>
        <v>ACCT#68930/ANIMAL SERVICES</v>
      </c>
      <c r="G315" s="1">
        <v>129.51</v>
      </c>
      <c r="H315" t="str">
        <f t="shared" si="11"/>
        <v>ACCT#68930/ANIMAL SERVICES</v>
      </c>
    </row>
    <row r="316" spans="1:8" x14ac:dyDescent="0.25">
      <c r="E316" t="str">
        <f>"TR34218"</f>
        <v>TR34218</v>
      </c>
      <c r="F316" t="str">
        <f>"ACCT#68930/ANIMAL SERVICES"</f>
        <v>ACCT#68930/ANIMAL SERVICES</v>
      </c>
      <c r="G316" s="1">
        <v>54.2</v>
      </c>
      <c r="H316" t="str">
        <f t="shared" si="11"/>
        <v>ACCT#68930/ANIMAL SERVICES</v>
      </c>
    </row>
    <row r="317" spans="1:8" x14ac:dyDescent="0.25">
      <c r="E317" t="str">
        <f>"TR75571"</f>
        <v>TR75571</v>
      </c>
      <c r="F317" t="str">
        <f>"ACCT#68930/ANIMAL SERVICES"</f>
        <v>ACCT#68930/ANIMAL SERVICES</v>
      </c>
      <c r="G317" s="1">
        <v>161.22</v>
      </c>
      <c r="H317" t="str">
        <f t="shared" si="11"/>
        <v>ACCT#68930/ANIMAL SERVICES</v>
      </c>
    </row>
    <row r="318" spans="1:8" x14ac:dyDescent="0.25">
      <c r="E318" t="str">
        <f>"TR85608"</f>
        <v>TR85608</v>
      </c>
      <c r="F318" t="str">
        <f>"ACCT#68930/ANIMAL SERVICES"</f>
        <v>ACCT#68930/ANIMAL SERVICES</v>
      </c>
      <c r="G318" s="1">
        <v>861</v>
      </c>
      <c r="H318" t="str">
        <f t="shared" si="11"/>
        <v>ACCT#68930/ANIMAL SERVICES</v>
      </c>
    </row>
    <row r="319" spans="1:8" x14ac:dyDescent="0.25">
      <c r="E319" t="str">
        <f>""</f>
        <v/>
      </c>
      <c r="F319" t="str">
        <f>""</f>
        <v/>
      </c>
      <c r="H319" t="str">
        <f t="shared" si="11"/>
        <v>ACCT#68930/ANIMAL SERVICES</v>
      </c>
    </row>
    <row r="320" spans="1:8" x14ac:dyDescent="0.25">
      <c r="A320" t="s">
        <v>96</v>
      </c>
      <c r="B320">
        <v>133725</v>
      </c>
      <c r="C320" s="1">
        <v>1705.14</v>
      </c>
      <c r="D320" s="5">
        <v>44158</v>
      </c>
      <c r="E320" t="str">
        <f>"TS18566"</f>
        <v>TS18566</v>
      </c>
      <c r="F320" t="str">
        <f t="shared" ref="F320:F325" si="12">"ACCT#68930/ANIMAL SVCS"</f>
        <v>ACCT#68930/ANIMAL SVCS</v>
      </c>
      <c r="G320" s="1">
        <v>133.29</v>
      </c>
      <c r="H320" t="str">
        <f t="shared" ref="H320:H325" si="13">"ACCT#68930/ANIMAL SVCS"</f>
        <v>ACCT#68930/ANIMAL SVCS</v>
      </c>
    </row>
    <row r="321" spans="1:8" x14ac:dyDescent="0.25">
      <c r="E321" t="str">
        <f>"TS31786"</f>
        <v>TS31786</v>
      </c>
      <c r="F321" t="str">
        <f t="shared" si="12"/>
        <v>ACCT#68930/ANIMAL SVCS</v>
      </c>
      <c r="G321" s="1">
        <v>168</v>
      </c>
      <c r="H321" t="str">
        <f t="shared" si="13"/>
        <v>ACCT#68930/ANIMAL SVCS</v>
      </c>
    </row>
    <row r="322" spans="1:8" x14ac:dyDescent="0.25">
      <c r="E322" t="str">
        <f>"TS53723"</f>
        <v>TS53723</v>
      </c>
      <c r="F322" t="str">
        <f t="shared" si="12"/>
        <v>ACCT#68930/ANIMAL SVCS</v>
      </c>
      <c r="G322" s="1">
        <v>24.45</v>
      </c>
      <c r="H322" t="str">
        <f t="shared" si="13"/>
        <v>ACCT#68930/ANIMAL SVCS</v>
      </c>
    </row>
    <row r="323" spans="1:8" x14ac:dyDescent="0.25">
      <c r="E323" t="str">
        <f>"TT27326"</f>
        <v>TT27326</v>
      </c>
      <c r="F323" t="str">
        <f t="shared" si="12"/>
        <v>ACCT#68930/ANIMAL SVCS</v>
      </c>
      <c r="G323" s="1">
        <v>203.6</v>
      </c>
      <c r="H323" t="str">
        <f t="shared" si="13"/>
        <v>ACCT#68930/ANIMAL SVCS</v>
      </c>
    </row>
    <row r="324" spans="1:8" x14ac:dyDescent="0.25">
      <c r="E324" t="str">
        <f>"TT28189"</f>
        <v>TT28189</v>
      </c>
      <c r="F324" t="str">
        <f t="shared" si="12"/>
        <v>ACCT#68930/ANIMAL SVCS</v>
      </c>
      <c r="G324" s="1">
        <v>790.8</v>
      </c>
      <c r="H324" t="str">
        <f t="shared" si="13"/>
        <v>ACCT#68930/ANIMAL SVCS</v>
      </c>
    </row>
    <row r="325" spans="1:8" x14ac:dyDescent="0.25">
      <c r="E325" t="str">
        <f>"TT32577"</f>
        <v>TT32577</v>
      </c>
      <c r="F325" t="str">
        <f t="shared" si="12"/>
        <v>ACCT#68930/ANIMAL SVCS</v>
      </c>
      <c r="G325" s="1">
        <v>385</v>
      </c>
      <c r="H325" t="str">
        <f t="shared" si="13"/>
        <v>ACCT#68930/ANIMAL SVCS</v>
      </c>
    </row>
    <row r="326" spans="1:8" x14ac:dyDescent="0.25">
      <c r="A326" t="s">
        <v>97</v>
      </c>
      <c r="B326">
        <v>133726</v>
      </c>
      <c r="C326" s="1">
        <v>70</v>
      </c>
      <c r="D326" s="5">
        <v>44158</v>
      </c>
      <c r="E326" t="str">
        <f>"202011180209"</f>
        <v>202011180209</v>
      </c>
      <c r="F326" t="str">
        <f>"FERAL HOGS"</f>
        <v>FERAL HOGS</v>
      </c>
      <c r="G326" s="1">
        <v>70</v>
      </c>
      <c r="H326" t="str">
        <f>"FERAL HOGS"</f>
        <v>FERAL HOGS</v>
      </c>
    </row>
    <row r="327" spans="1:8" x14ac:dyDescent="0.25">
      <c r="A327" t="s">
        <v>98</v>
      </c>
      <c r="B327">
        <v>133727</v>
      </c>
      <c r="C327" s="1">
        <v>2000</v>
      </c>
      <c r="D327" s="5">
        <v>44158</v>
      </c>
      <c r="E327" t="str">
        <f>"202011160023"</f>
        <v>202011160023</v>
      </c>
      <c r="F327" t="str">
        <f>"PSYCHOLOGICAL EVAL"</f>
        <v>PSYCHOLOGICAL EVAL</v>
      </c>
      <c r="G327" s="1">
        <v>250</v>
      </c>
      <c r="H327" t="str">
        <f>"PSYCHOLOGICAL EVAL"</f>
        <v>PSYCHOLOGICAL EVAL</v>
      </c>
    </row>
    <row r="328" spans="1:8" x14ac:dyDescent="0.25">
      <c r="E328" t="str">
        <f>"202011170092"</f>
        <v>202011170092</v>
      </c>
      <c r="F328" t="str">
        <f>"PSYCH EVALS"</f>
        <v>PSYCH EVALS</v>
      </c>
      <c r="G328" s="1">
        <v>1750</v>
      </c>
      <c r="H328" t="str">
        <f>"PSYCH EVALS"</f>
        <v>PSYCH EVALS</v>
      </c>
    </row>
    <row r="329" spans="1:8" x14ac:dyDescent="0.25">
      <c r="A329" t="s">
        <v>99</v>
      </c>
      <c r="B329">
        <v>133728</v>
      </c>
      <c r="C329" s="1">
        <v>24.9</v>
      </c>
      <c r="D329" s="5">
        <v>44158</v>
      </c>
      <c r="E329" t="str">
        <f>"49641"</f>
        <v>49641</v>
      </c>
      <c r="F329" t="str">
        <f>"ACCT#6795/COUNTY CONSTABLE"</f>
        <v>ACCT#6795/COUNTY CONSTABLE</v>
      </c>
      <c r="G329" s="1">
        <v>24.9</v>
      </c>
      <c r="H329" t="str">
        <f>"ACCT#6795/COUNTY CONSTABLE"</f>
        <v>ACCT#6795/COUNTY CONSTABLE</v>
      </c>
    </row>
    <row r="330" spans="1:8" x14ac:dyDescent="0.25">
      <c r="A330" t="s">
        <v>100</v>
      </c>
      <c r="B330">
        <v>133729</v>
      </c>
      <c r="C330" s="1">
        <v>190</v>
      </c>
      <c r="D330" s="5">
        <v>44158</v>
      </c>
      <c r="E330" t="str">
        <f>"202011180210"</f>
        <v>202011180210</v>
      </c>
      <c r="F330" t="str">
        <f>"FERAL HOGS"</f>
        <v>FERAL HOGS</v>
      </c>
      <c r="G330" s="1">
        <v>190</v>
      </c>
      <c r="H330" t="str">
        <f>"FERAL HOGS"</f>
        <v>FERAL HOGS</v>
      </c>
    </row>
    <row r="331" spans="1:8" x14ac:dyDescent="0.25">
      <c r="A331" t="s">
        <v>101</v>
      </c>
      <c r="B331">
        <v>133730</v>
      </c>
      <c r="C331" s="1">
        <v>950</v>
      </c>
      <c r="D331" s="5">
        <v>44158</v>
      </c>
      <c r="E331" t="str">
        <f>"202011180211"</f>
        <v>202011180211</v>
      </c>
      <c r="F331" t="str">
        <f>"FERAL HOGS"</f>
        <v>FERAL HOGS</v>
      </c>
      <c r="G331" s="1">
        <v>950</v>
      </c>
      <c r="H331" t="str">
        <f>"FERAL HOGS"</f>
        <v>FERAL HOGS</v>
      </c>
    </row>
    <row r="332" spans="1:8" x14ac:dyDescent="0.25">
      <c r="A332" t="s">
        <v>102</v>
      </c>
      <c r="B332">
        <v>133601</v>
      </c>
      <c r="C332" s="1">
        <v>880</v>
      </c>
      <c r="D332" s="5">
        <v>44144</v>
      </c>
      <c r="E332" t="str">
        <f>"13011"</f>
        <v>13011</v>
      </c>
      <c r="F332" t="str">
        <f>"SERVICE"</f>
        <v>SERVICE</v>
      </c>
      <c r="G332" s="1">
        <v>80</v>
      </c>
      <c r="H332" t="str">
        <f>"SERVICE"</f>
        <v>SERVICE</v>
      </c>
    </row>
    <row r="333" spans="1:8" x14ac:dyDescent="0.25">
      <c r="E333" t="str">
        <f>"13274"</f>
        <v>13274</v>
      </c>
      <c r="F333" t="str">
        <f>"SERVICE"</f>
        <v>SERVICE</v>
      </c>
      <c r="G333" s="1">
        <v>640</v>
      </c>
      <c r="H333" t="str">
        <f>"SERVICE"</f>
        <v>SERVICE</v>
      </c>
    </row>
    <row r="334" spans="1:8" x14ac:dyDescent="0.25">
      <c r="E334" t="str">
        <f>"13490"</f>
        <v>13490</v>
      </c>
      <c r="F334" t="str">
        <f>"SERVICE"</f>
        <v>SERVICE</v>
      </c>
      <c r="G334" s="1">
        <v>160</v>
      </c>
      <c r="H334" t="str">
        <f>"SERVICE"</f>
        <v>SERVICE</v>
      </c>
    </row>
    <row r="335" spans="1:8" x14ac:dyDescent="0.25">
      <c r="A335" t="s">
        <v>102</v>
      </c>
      <c r="B335">
        <v>133731</v>
      </c>
      <c r="C335" s="1">
        <v>80</v>
      </c>
      <c r="D335" s="5">
        <v>44158</v>
      </c>
      <c r="E335" t="str">
        <f>"13356"</f>
        <v>13356</v>
      </c>
      <c r="F335" t="str">
        <f>"SERVICE"</f>
        <v>SERVICE</v>
      </c>
      <c r="G335" s="1">
        <v>80</v>
      </c>
      <c r="H335" t="str">
        <f>"SERVICE"</f>
        <v>SERVICE</v>
      </c>
    </row>
    <row r="336" spans="1:8" x14ac:dyDescent="0.25">
      <c r="A336" t="s">
        <v>103</v>
      </c>
      <c r="B336">
        <v>3496</v>
      </c>
      <c r="C336" s="1">
        <v>400</v>
      </c>
      <c r="D336" s="5">
        <v>44145</v>
      </c>
      <c r="E336" t="str">
        <f>"202010279782"</f>
        <v>202010279782</v>
      </c>
      <c r="F336" t="str">
        <f>"16884"</f>
        <v>16884</v>
      </c>
      <c r="G336" s="1">
        <v>400</v>
      </c>
      <c r="H336" t="str">
        <f>"16884"</f>
        <v>16884</v>
      </c>
    </row>
    <row r="337" spans="1:8" x14ac:dyDescent="0.25">
      <c r="A337" t="s">
        <v>104</v>
      </c>
      <c r="B337">
        <v>133732</v>
      </c>
      <c r="C337" s="1">
        <v>100</v>
      </c>
      <c r="D337" s="5">
        <v>44158</v>
      </c>
      <c r="E337" t="str">
        <f>"202011180212"</f>
        <v>202011180212</v>
      </c>
      <c r="F337" t="str">
        <f>"FERAL HOGS"</f>
        <v>FERAL HOGS</v>
      </c>
      <c r="G337" s="1">
        <v>100</v>
      </c>
      <c r="H337" t="str">
        <f>"FERAL HOGS"</f>
        <v>FERAL HOGS</v>
      </c>
    </row>
    <row r="338" spans="1:8" x14ac:dyDescent="0.25">
      <c r="A338" t="s">
        <v>105</v>
      </c>
      <c r="B338">
        <v>133733</v>
      </c>
      <c r="C338" s="1">
        <v>650</v>
      </c>
      <c r="D338" s="5">
        <v>44158</v>
      </c>
      <c r="E338" t="str">
        <f>"202011180213"</f>
        <v>202011180213</v>
      </c>
      <c r="F338" t="str">
        <f>"FERAL HOGS"</f>
        <v>FERAL HOGS</v>
      </c>
      <c r="G338" s="1">
        <v>600</v>
      </c>
      <c r="H338" t="str">
        <f>"FERAL HOGS"</f>
        <v>FERAL HOGS</v>
      </c>
    </row>
    <row r="339" spans="1:8" x14ac:dyDescent="0.25">
      <c r="E339" t="str">
        <f>"202011180214"</f>
        <v>202011180214</v>
      </c>
      <c r="F339" t="str">
        <f>"FERAL HOGS"</f>
        <v>FERAL HOGS</v>
      </c>
      <c r="G339" s="1">
        <v>50</v>
      </c>
      <c r="H339" t="str">
        <f>"FERAL HOGS"</f>
        <v>FERAL HOGS</v>
      </c>
    </row>
    <row r="340" spans="1:8" x14ac:dyDescent="0.25">
      <c r="A340" t="s">
        <v>106</v>
      </c>
      <c r="B340">
        <v>3499</v>
      </c>
      <c r="C340" s="1">
        <v>300</v>
      </c>
      <c r="D340" s="5">
        <v>44145</v>
      </c>
      <c r="E340" t="str">
        <f>"202011039915"</f>
        <v>202011039915</v>
      </c>
      <c r="F340" t="str">
        <f>"LEGAL CONSULT SVCS - OCTOBER"</f>
        <v>LEGAL CONSULT SVCS - OCTOBER</v>
      </c>
      <c r="G340" s="1">
        <v>300</v>
      </c>
      <c r="H340" t="str">
        <f>"LEGAL CONSULT SVCS - OCTOBER"</f>
        <v>LEGAL CONSULT SVCS - OCTOBER</v>
      </c>
    </row>
    <row r="341" spans="1:8" x14ac:dyDescent="0.25">
      <c r="A341" t="s">
        <v>107</v>
      </c>
      <c r="B341">
        <v>133734</v>
      </c>
      <c r="C341" s="1">
        <v>835</v>
      </c>
      <c r="D341" s="5">
        <v>44158</v>
      </c>
      <c r="E341" t="str">
        <f>"202011180215"</f>
        <v>202011180215</v>
      </c>
      <c r="F341" t="str">
        <f>"FERAL HOGS"</f>
        <v>FERAL HOGS</v>
      </c>
      <c r="G341" s="1">
        <v>835</v>
      </c>
      <c r="H341" t="str">
        <f>"FERAL HOGS"</f>
        <v>FERAL HOGS</v>
      </c>
    </row>
    <row r="342" spans="1:8" x14ac:dyDescent="0.25">
      <c r="A342" t="s">
        <v>108</v>
      </c>
      <c r="B342">
        <v>3480</v>
      </c>
      <c r="C342" s="1">
        <v>1585.5</v>
      </c>
      <c r="D342" s="5">
        <v>44145</v>
      </c>
      <c r="E342" t="str">
        <f>"202011039924"</f>
        <v>202011039924</v>
      </c>
      <c r="F342" t="str">
        <f>"19-19931"</f>
        <v>19-19931</v>
      </c>
      <c r="G342" s="1">
        <v>400.5</v>
      </c>
      <c r="H342" t="str">
        <f>"19-19931"</f>
        <v>19-19931</v>
      </c>
    </row>
    <row r="343" spans="1:8" x14ac:dyDescent="0.25">
      <c r="E343" t="str">
        <f>"202011039925"</f>
        <v>202011039925</v>
      </c>
      <c r="F343" t="str">
        <f>"17-18754"</f>
        <v>17-18754</v>
      </c>
      <c r="G343" s="1">
        <v>300</v>
      </c>
      <c r="H343" t="str">
        <f>"17-18754"</f>
        <v>17-18754</v>
      </c>
    </row>
    <row r="344" spans="1:8" x14ac:dyDescent="0.25">
      <c r="E344" t="str">
        <f>"202011039926"</f>
        <v>202011039926</v>
      </c>
      <c r="F344" t="str">
        <f>"19-19641"</f>
        <v>19-19641</v>
      </c>
      <c r="G344" s="1">
        <v>212.5</v>
      </c>
      <c r="H344" t="str">
        <f>"19-19641"</f>
        <v>19-19641</v>
      </c>
    </row>
    <row r="345" spans="1:8" x14ac:dyDescent="0.25">
      <c r="E345" t="str">
        <f>"202011039927"</f>
        <v>202011039927</v>
      </c>
      <c r="F345" t="str">
        <f>"20-20207"</f>
        <v>20-20207</v>
      </c>
      <c r="G345" s="1">
        <v>150</v>
      </c>
      <c r="H345" t="str">
        <f>"20-20207"</f>
        <v>20-20207</v>
      </c>
    </row>
    <row r="346" spans="1:8" x14ac:dyDescent="0.25">
      <c r="E346" t="str">
        <f>"202011049980"</f>
        <v>202011049980</v>
      </c>
      <c r="F346" t="str">
        <f>"20-20426"</f>
        <v>20-20426</v>
      </c>
      <c r="G346" s="1">
        <v>522.5</v>
      </c>
      <c r="H346" t="str">
        <f>"20-20426"</f>
        <v>20-20426</v>
      </c>
    </row>
    <row r="347" spans="1:8" x14ac:dyDescent="0.25">
      <c r="A347" t="s">
        <v>108</v>
      </c>
      <c r="B347">
        <v>3539</v>
      </c>
      <c r="C347" s="1">
        <v>812.5</v>
      </c>
      <c r="D347" s="5">
        <v>44159</v>
      </c>
      <c r="E347" t="str">
        <f>"202011180116"</f>
        <v>202011180116</v>
      </c>
      <c r="F347" t="str">
        <f>"20-20096"</f>
        <v>20-20096</v>
      </c>
      <c r="G347" s="1">
        <v>67.5</v>
      </c>
      <c r="H347" t="str">
        <f>"20-20096"</f>
        <v>20-20096</v>
      </c>
    </row>
    <row r="348" spans="1:8" x14ac:dyDescent="0.25">
      <c r="E348" t="str">
        <f>"202011180117"</f>
        <v>202011180117</v>
      </c>
      <c r="F348" t="str">
        <f>"20-20030"</f>
        <v>20-20030</v>
      </c>
      <c r="G348" s="1">
        <v>135</v>
      </c>
      <c r="H348" t="str">
        <f>"20-20030"</f>
        <v>20-20030</v>
      </c>
    </row>
    <row r="349" spans="1:8" x14ac:dyDescent="0.25">
      <c r="E349" t="str">
        <f>"202011180119"</f>
        <v>202011180119</v>
      </c>
      <c r="F349" t="str">
        <f>"20-20056"</f>
        <v>20-20056</v>
      </c>
      <c r="G349" s="1">
        <v>165</v>
      </c>
      <c r="H349" t="str">
        <f>"20-20056"</f>
        <v>20-20056</v>
      </c>
    </row>
    <row r="350" spans="1:8" x14ac:dyDescent="0.25">
      <c r="E350" t="str">
        <f>"202011180120"</f>
        <v>202011180120</v>
      </c>
      <c r="F350" t="str">
        <f>"20-20207"</f>
        <v>20-20207</v>
      </c>
      <c r="G350" s="1">
        <v>127.5</v>
      </c>
      <c r="H350" t="str">
        <f>"20-20207"</f>
        <v>20-20207</v>
      </c>
    </row>
    <row r="351" spans="1:8" x14ac:dyDescent="0.25">
      <c r="E351" t="str">
        <f>"202011180121"</f>
        <v>202011180121</v>
      </c>
      <c r="F351" t="str">
        <f>"19-19967"</f>
        <v>19-19967</v>
      </c>
      <c r="G351" s="1">
        <v>127.5</v>
      </c>
      <c r="H351" t="str">
        <f>"19-19967"</f>
        <v>19-19967</v>
      </c>
    </row>
    <row r="352" spans="1:8" x14ac:dyDescent="0.25">
      <c r="E352" t="str">
        <f>"202011180122"</f>
        <v>202011180122</v>
      </c>
      <c r="F352" t="str">
        <f>"20-20455"</f>
        <v>20-20455</v>
      </c>
      <c r="G352" s="1">
        <v>190</v>
      </c>
      <c r="H352" t="str">
        <f>"20-20455"</f>
        <v>20-20455</v>
      </c>
    </row>
    <row r="353" spans="1:8" x14ac:dyDescent="0.25">
      <c r="A353" t="s">
        <v>109</v>
      </c>
      <c r="B353">
        <v>133602</v>
      </c>
      <c r="C353" s="1">
        <v>1203.4000000000001</v>
      </c>
      <c r="D353" s="5">
        <v>44144</v>
      </c>
      <c r="E353" t="str">
        <f>"2062906 2068428"</f>
        <v>2062906 2068428</v>
      </c>
      <c r="F353" t="str">
        <f>"INV 2062906"</f>
        <v>INV 2062906</v>
      </c>
      <c r="G353" s="1">
        <v>1203.4000000000001</v>
      </c>
      <c r="H353" t="str">
        <f>"INV 2062906"</f>
        <v>INV 2062906</v>
      </c>
    </row>
    <row r="354" spans="1:8" x14ac:dyDescent="0.25">
      <c r="E354" t="str">
        <f>""</f>
        <v/>
      </c>
      <c r="F354" t="str">
        <f>""</f>
        <v/>
      </c>
      <c r="H354" t="str">
        <f>"INV 2068428"</f>
        <v>INV 2068428</v>
      </c>
    </row>
    <row r="355" spans="1:8" x14ac:dyDescent="0.25">
      <c r="A355" t="s">
        <v>109</v>
      </c>
      <c r="B355">
        <v>133735</v>
      </c>
      <c r="C355" s="1">
        <v>1155.6600000000001</v>
      </c>
      <c r="D355" s="5">
        <v>44158</v>
      </c>
      <c r="E355" t="str">
        <f>"207155 / 2079600"</f>
        <v>207155 / 2079600</v>
      </c>
      <c r="F355" t="str">
        <f>"INV 2074155"</f>
        <v>INV 2074155</v>
      </c>
      <c r="G355" s="1">
        <v>1155.6600000000001</v>
      </c>
      <c r="H355" t="str">
        <f>"INV 2074155"</f>
        <v>INV 2074155</v>
      </c>
    </row>
    <row r="356" spans="1:8" x14ac:dyDescent="0.25">
      <c r="E356" t="str">
        <f>""</f>
        <v/>
      </c>
      <c r="F356" t="str">
        <f>""</f>
        <v/>
      </c>
      <c r="H356" t="str">
        <f>"INV 2079600"</f>
        <v>INV 2079600</v>
      </c>
    </row>
    <row r="357" spans="1:8" x14ac:dyDescent="0.25">
      <c r="A357" t="s">
        <v>110</v>
      </c>
      <c r="B357">
        <v>133736</v>
      </c>
      <c r="C357" s="1">
        <v>425</v>
      </c>
      <c r="D357" s="5">
        <v>44158</v>
      </c>
      <c r="E357" t="str">
        <f>"202011180216"</f>
        <v>202011180216</v>
      </c>
      <c r="F357" t="str">
        <f>"FERAL HOGS"</f>
        <v>FERAL HOGS</v>
      </c>
      <c r="G357" s="1">
        <v>425</v>
      </c>
      <c r="H357" t="str">
        <f>"FERAL HOGS"</f>
        <v>FERAL HOGS</v>
      </c>
    </row>
    <row r="358" spans="1:8" x14ac:dyDescent="0.25">
      <c r="A358" t="s">
        <v>111</v>
      </c>
      <c r="B358">
        <v>133603</v>
      </c>
      <c r="C358" s="1">
        <v>50181.27</v>
      </c>
      <c r="D358" s="5">
        <v>44144</v>
      </c>
      <c r="E358" t="str">
        <f>"80619966"</f>
        <v>80619966</v>
      </c>
      <c r="F358" t="str">
        <f>"DELL"</f>
        <v>DELL</v>
      </c>
      <c r="G358" s="1">
        <v>50093.279999999999</v>
      </c>
      <c r="H358" t="str">
        <f>"Dell Lease Payment"</f>
        <v>Dell Lease Payment</v>
      </c>
    </row>
    <row r="359" spans="1:8" x14ac:dyDescent="0.25">
      <c r="E359" t="str">
        <f>"C0000000069927098."</f>
        <v>C0000000069927098.</v>
      </c>
      <c r="F359" t="str">
        <f>"Memory Upgrade"</f>
        <v>Memory Upgrade</v>
      </c>
      <c r="G359" s="1">
        <v>87.99</v>
      </c>
      <c r="H359" t="str">
        <f>"Memory Upgrade"</f>
        <v>Memory Upgrade</v>
      </c>
    </row>
    <row r="360" spans="1:8" x14ac:dyDescent="0.25">
      <c r="A360" t="s">
        <v>112</v>
      </c>
      <c r="B360">
        <v>133737</v>
      </c>
      <c r="C360" s="1">
        <v>5</v>
      </c>
      <c r="D360" s="5">
        <v>44158</v>
      </c>
      <c r="E360" t="str">
        <f>"202011180217"</f>
        <v>202011180217</v>
      </c>
      <c r="F360" t="str">
        <f>"FERAL HOGS"</f>
        <v>FERAL HOGS</v>
      </c>
      <c r="G360" s="1">
        <v>5</v>
      </c>
      <c r="H360" t="str">
        <f>"FERAL HOGS"</f>
        <v>FERAL HOGS</v>
      </c>
    </row>
    <row r="361" spans="1:8" x14ac:dyDescent="0.25">
      <c r="A361" t="s">
        <v>113</v>
      </c>
      <c r="B361">
        <v>3503</v>
      </c>
      <c r="C361" s="1">
        <v>1833.75</v>
      </c>
      <c r="D361" s="5">
        <v>44145</v>
      </c>
      <c r="E361" t="str">
        <f>"BATX017002"</f>
        <v>BATX017002</v>
      </c>
      <c r="F361" t="str">
        <f>"INV BATX017002"</f>
        <v>INV BATX017002</v>
      </c>
      <c r="G361" s="1">
        <v>1833.75</v>
      </c>
      <c r="H361" t="str">
        <f>"INV BATX017002"</f>
        <v>INV BATX017002</v>
      </c>
    </row>
    <row r="362" spans="1:8" x14ac:dyDescent="0.25">
      <c r="A362" t="s">
        <v>114</v>
      </c>
      <c r="B362">
        <v>133738</v>
      </c>
      <c r="C362" s="1">
        <v>80</v>
      </c>
      <c r="D362" s="5">
        <v>44158</v>
      </c>
      <c r="E362" t="str">
        <f>"202011180218"</f>
        <v>202011180218</v>
      </c>
      <c r="F362" t="str">
        <f>"FERAL HOGS"</f>
        <v>FERAL HOGS</v>
      </c>
      <c r="G362" s="1">
        <v>80</v>
      </c>
      <c r="H362" t="str">
        <f>"FERAL HOGS"</f>
        <v>FERAL HOGS</v>
      </c>
    </row>
    <row r="363" spans="1:8" x14ac:dyDescent="0.25">
      <c r="A363" t="s">
        <v>115</v>
      </c>
      <c r="B363">
        <v>133739</v>
      </c>
      <c r="C363" s="1">
        <v>118.95</v>
      </c>
      <c r="D363" s="5">
        <v>44158</v>
      </c>
      <c r="E363" t="str">
        <f>"27203"</f>
        <v>27203</v>
      </c>
      <c r="F363" t="str">
        <f>"LOCKSMITH SVCS/PCT#1"</f>
        <v>LOCKSMITH SVCS/PCT#1</v>
      </c>
      <c r="G363" s="1">
        <v>118.95</v>
      </c>
      <c r="H363" t="str">
        <f>"LOCKSMITH SVCS/PCT#1"</f>
        <v>LOCKSMITH SVCS/PCT#1</v>
      </c>
    </row>
    <row r="364" spans="1:8" x14ac:dyDescent="0.25">
      <c r="A364" t="s">
        <v>116</v>
      </c>
      <c r="B364">
        <v>133604</v>
      </c>
      <c r="C364" s="1">
        <v>20316.64</v>
      </c>
      <c r="D364" s="5">
        <v>44144</v>
      </c>
      <c r="E364" t="str">
        <f>"21091123N"</f>
        <v>21091123N</v>
      </c>
      <c r="F364" t="str">
        <f>"CUST#PKE5000/SEPTEMBER 2020"</f>
        <v>CUST#PKE5000/SEPTEMBER 2020</v>
      </c>
      <c r="G364" s="1">
        <v>20316.64</v>
      </c>
      <c r="H364" t="str">
        <f>"CUST#PKE5000/SEPTEMBER 2020"</f>
        <v>CUST#PKE5000/SEPTEMBER 2020</v>
      </c>
    </row>
    <row r="365" spans="1:8" x14ac:dyDescent="0.25">
      <c r="E365" t="str">
        <f>""</f>
        <v/>
      </c>
      <c r="F365" t="str">
        <f>""</f>
        <v/>
      </c>
      <c r="H365" t="str">
        <f>"CUST#PKE5000/SEPTEMBER 2020"</f>
        <v>CUST#PKE5000/SEPTEMBER 2020</v>
      </c>
    </row>
    <row r="366" spans="1:8" x14ac:dyDescent="0.25">
      <c r="A366" t="s">
        <v>117</v>
      </c>
      <c r="B366">
        <v>133740</v>
      </c>
      <c r="C366" s="1">
        <v>40.700000000000003</v>
      </c>
      <c r="D366" s="5">
        <v>44158</v>
      </c>
      <c r="E366" t="str">
        <f>"23530"</f>
        <v>23530</v>
      </c>
      <c r="F366" t="str">
        <f>"ANGLE/CUTTING TORCH/PCT#4"</f>
        <v>ANGLE/CUTTING TORCH/PCT#4</v>
      </c>
      <c r="G366" s="1">
        <v>40.700000000000003</v>
      </c>
      <c r="H366" t="str">
        <f>"ANGLE/CUTTING TORCH/PCT#4"</f>
        <v>ANGLE/CUTTING TORCH/PCT#4</v>
      </c>
    </row>
    <row r="367" spans="1:8" x14ac:dyDescent="0.25">
      <c r="A367" t="s">
        <v>118</v>
      </c>
      <c r="B367">
        <v>133605</v>
      </c>
      <c r="C367" s="1">
        <v>1092</v>
      </c>
      <c r="D367" s="5">
        <v>44144</v>
      </c>
      <c r="E367" t="str">
        <f>"2876005"</f>
        <v>2876005</v>
      </c>
      <c r="F367" t="str">
        <f>"ACCT#27917/PCT#1"</f>
        <v>ACCT#27917/PCT#1</v>
      </c>
      <c r="G367" s="1">
        <v>84</v>
      </c>
      <c r="H367" t="str">
        <f>"ACCT#27917/PCT#1"</f>
        <v>ACCT#27917/PCT#1</v>
      </c>
    </row>
    <row r="368" spans="1:8" x14ac:dyDescent="0.25">
      <c r="E368" t="str">
        <f>"2876168"</f>
        <v>2876168</v>
      </c>
      <c r="F368" t="str">
        <f>"ACCT#27917/PCT#4"</f>
        <v>ACCT#27917/PCT#4</v>
      </c>
      <c r="G368" s="1">
        <v>1008</v>
      </c>
      <c r="H368" t="str">
        <f>"ACCT#27917/PCT#4"</f>
        <v>ACCT#27917/PCT#4</v>
      </c>
    </row>
    <row r="369" spans="1:8" x14ac:dyDescent="0.25">
      <c r="A369" t="s">
        <v>119</v>
      </c>
      <c r="B369">
        <v>133741</v>
      </c>
      <c r="C369" s="1">
        <v>500</v>
      </c>
      <c r="D369" s="5">
        <v>44158</v>
      </c>
      <c r="E369" t="str">
        <f>"202011180219"</f>
        <v>202011180219</v>
      </c>
      <c r="F369" t="str">
        <f>"FERAL HOGS"</f>
        <v>FERAL HOGS</v>
      </c>
      <c r="G369" s="1">
        <v>200</v>
      </c>
      <c r="H369" t="str">
        <f>"FERAL HOGS"</f>
        <v>FERAL HOGS</v>
      </c>
    </row>
    <row r="370" spans="1:8" x14ac:dyDescent="0.25">
      <c r="E370" t="str">
        <f>"202011180220"</f>
        <v>202011180220</v>
      </c>
      <c r="F370" t="str">
        <f>"FERAL HOGS"</f>
        <v>FERAL HOGS</v>
      </c>
      <c r="G370" s="1">
        <v>300</v>
      </c>
      <c r="H370" t="str">
        <f>"FERAL HOGS"</f>
        <v>FERAL HOGS</v>
      </c>
    </row>
    <row r="371" spans="1:8" x14ac:dyDescent="0.25">
      <c r="A371" t="s">
        <v>120</v>
      </c>
      <c r="B371">
        <v>133742</v>
      </c>
      <c r="C371" s="1">
        <v>130</v>
      </c>
      <c r="D371" s="5">
        <v>44158</v>
      </c>
      <c r="E371" t="str">
        <f>"202011180221"</f>
        <v>202011180221</v>
      </c>
      <c r="F371" t="str">
        <f>"FERAL HOGS"</f>
        <v>FERAL HOGS</v>
      </c>
      <c r="G371" s="1">
        <v>130</v>
      </c>
      <c r="H371" t="str">
        <f>"FERAL HOGS"</f>
        <v>FERAL HOGS</v>
      </c>
    </row>
    <row r="372" spans="1:8" x14ac:dyDescent="0.25">
      <c r="A372" t="s">
        <v>121</v>
      </c>
      <c r="B372">
        <v>3489</v>
      </c>
      <c r="C372" s="1">
        <v>2477.42</v>
      </c>
      <c r="D372" s="5">
        <v>44145</v>
      </c>
      <c r="E372" t="str">
        <f>"29730B"</f>
        <v>29730B</v>
      </c>
      <c r="F372" t="str">
        <f>"INV 29730 B"</f>
        <v>INV 29730 B</v>
      </c>
      <c r="G372" s="1">
        <v>2477.42</v>
      </c>
      <c r="H372" t="str">
        <f>"INV 29730 B"</f>
        <v>INV 29730 B</v>
      </c>
    </row>
    <row r="373" spans="1:8" x14ac:dyDescent="0.25">
      <c r="A373" t="s">
        <v>122</v>
      </c>
      <c r="B373">
        <v>133743</v>
      </c>
      <c r="C373" s="1">
        <v>630</v>
      </c>
      <c r="D373" s="5">
        <v>44158</v>
      </c>
      <c r="E373" t="str">
        <f>"001 10/19/20"</f>
        <v>001 10/19/20</v>
      </c>
      <c r="F373" t="str">
        <f>"COMMUNITY GROUP/PCT#2"</f>
        <v>COMMUNITY GROUP/PCT#2</v>
      </c>
      <c r="G373" s="1">
        <v>630</v>
      </c>
      <c r="H373" t="str">
        <f>"COMMUNITY GROUP/PCT#2"</f>
        <v>COMMUNITY GROUP/PCT#2</v>
      </c>
    </row>
    <row r="374" spans="1:8" x14ac:dyDescent="0.25">
      <c r="A374" t="s">
        <v>123</v>
      </c>
      <c r="B374">
        <v>133606</v>
      </c>
      <c r="C374" s="1">
        <v>3564</v>
      </c>
      <c r="D374" s="5">
        <v>44144</v>
      </c>
      <c r="E374" t="str">
        <f>"202011039898"</f>
        <v>202011039898</v>
      </c>
      <c r="F374" t="str">
        <f>"Renewal"</f>
        <v>Renewal</v>
      </c>
      <c r="G374" s="1">
        <v>3564</v>
      </c>
      <c r="H374" t="str">
        <f>"DSL001-12"</f>
        <v>DSL001-12</v>
      </c>
    </row>
    <row r="375" spans="1:8" x14ac:dyDescent="0.25">
      <c r="E375" t="str">
        <f>""</f>
        <v/>
      </c>
      <c r="F375" t="str">
        <f>""</f>
        <v/>
      </c>
      <c r="H375" t="str">
        <f>"DSL005-12"</f>
        <v>DSL005-12</v>
      </c>
    </row>
    <row r="376" spans="1:8" x14ac:dyDescent="0.25">
      <c r="A376" t="s">
        <v>124</v>
      </c>
      <c r="B376">
        <v>3520</v>
      </c>
      <c r="C376" s="1">
        <v>1300</v>
      </c>
      <c r="D376" s="5">
        <v>44145</v>
      </c>
      <c r="E376" t="str">
        <f>"202011029812"</f>
        <v>202011029812</v>
      </c>
      <c r="F376" t="str">
        <f>"423-7513  1642-21"</f>
        <v>423-7513  1642-21</v>
      </c>
      <c r="G376" s="1">
        <v>200</v>
      </c>
      <c r="H376" t="str">
        <f>"423-7513  1642-21"</f>
        <v>423-7513  1642-21</v>
      </c>
    </row>
    <row r="377" spans="1:8" x14ac:dyDescent="0.25">
      <c r="E377" t="str">
        <f>"202011039918"</f>
        <v>202011039918</v>
      </c>
      <c r="F377" t="str">
        <f>"57414"</f>
        <v>57414</v>
      </c>
      <c r="G377" s="1">
        <v>250</v>
      </c>
      <c r="H377" t="str">
        <f>"57414"</f>
        <v>57414</v>
      </c>
    </row>
    <row r="378" spans="1:8" x14ac:dyDescent="0.25">
      <c r="E378" t="str">
        <f>"202011039919"</f>
        <v>202011039919</v>
      </c>
      <c r="F378" t="str">
        <f>"57328  1910798"</f>
        <v>57328  1910798</v>
      </c>
      <c r="G378" s="1">
        <v>375</v>
      </c>
      <c r="H378" t="str">
        <f>"57328  1910798"</f>
        <v>57328  1910798</v>
      </c>
    </row>
    <row r="379" spans="1:8" x14ac:dyDescent="0.25">
      <c r="E379" t="str">
        <f>"202011039920"</f>
        <v>202011039920</v>
      </c>
      <c r="F379" t="str">
        <f>"02-0925-2  02-0925-3"</f>
        <v>02-0925-2  02-0925-3</v>
      </c>
      <c r="G379" s="1">
        <v>375</v>
      </c>
      <c r="H379" t="str">
        <f>"02-0925-2  02-0925-3"</f>
        <v>02-0925-2  02-0925-3</v>
      </c>
    </row>
    <row r="380" spans="1:8" x14ac:dyDescent="0.25">
      <c r="E380" t="str">
        <f>"202011039921"</f>
        <v>202011039921</v>
      </c>
      <c r="F380" t="str">
        <f>"20-20452"</f>
        <v>20-20452</v>
      </c>
      <c r="G380" s="1">
        <v>100</v>
      </c>
      <c r="H380" t="str">
        <f>"20-20452"</f>
        <v>20-20452</v>
      </c>
    </row>
    <row r="381" spans="1:8" x14ac:dyDescent="0.25">
      <c r="A381" t="s">
        <v>124</v>
      </c>
      <c r="B381">
        <v>3595</v>
      </c>
      <c r="C381" s="1">
        <v>5050</v>
      </c>
      <c r="D381" s="5">
        <v>44159</v>
      </c>
      <c r="E381" t="str">
        <f>"202011160010"</f>
        <v>202011160010</v>
      </c>
      <c r="F381" t="str">
        <f>"17166"</f>
        <v>17166</v>
      </c>
      <c r="G381" s="1">
        <v>1000</v>
      </c>
      <c r="H381" t="str">
        <f>"17166"</f>
        <v>17166</v>
      </c>
    </row>
    <row r="382" spans="1:8" x14ac:dyDescent="0.25">
      <c r="E382" t="str">
        <f>"202011160011"</f>
        <v>202011160011</v>
      </c>
      <c r="F382" t="str">
        <f>"16063"</f>
        <v>16063</v>
      </c>
      <c r="G382" s="1">
        <v>3300</v>
      </c>
      <c r="H382" t="str">
        <f>"16063"</f>
        <v>16063</v>
      </c>
    </row>
    <row r="383" spans="1:8" x14ac:dyDescent="0.25">
      <c r="E383" t="str">
        <f>"202011180133"</f>
        <v>202011180133</v>
      </c>
      <c r="F383" t="str">
        <f>"57426"</f>
        <v>57426</v>
      </c>
      <c r="G383" s="1">
        <v>250</v>
      </c>
      <c r="H383" t="str">
        <f>"57426"</f>
        <v>57426</v>
      </c>
    </row>
    <row r="384" spans="1:8" x14ac:dyDescent="0.25">
      <c r="E384" t="str">
        <f>"202011180134"</f>
        <v>202011180134</v>
      </c>
      <c r="F384" t="str">
        <f>"57625"</f>
        <v>57625</v>
      </c>
      <c r="G384" s="1">
        <v>250</v>
      </c>
      <c r="H384" t="str">
        <f>"57625"</f>
        <v>57625</v>
      </c>
    </row>
    <row r="385" spans="1:8" x14ac:dyDescent="0.25">
      <c r="E385" t="str">
        <f>"202011180135"</f>
        <v>202011180135</v>
      </c>
      <c r="F385" t="str">
        <f>"57094"</f>
        <v>57094</v>
      </c>
      <c r="G385" s="1">
        <v>250</v>
      </c>
      <c r="H385" t="str">
        <f>"57094"</f>
        <v>57094</v>
      </c>
    </row>
    <row r="386" spans="1:8" x14ac:dyDescent="0.25">
      <c r="A386" t="s">
        <v>125</v>
      </c>
      <c r="B386">
        <v>133607</v>
      </c>
      <c r="C386" s="1">
        <v>2420</v>
      </c>
      <c r="D386" s="5">
        <v>44144</v>
      </c>
      <c r="E386" t="str">
        <f>"021"</f>
        <v>021</v>
      </c>
      <c r="F386" t="str">
        <f>"COMMERCIAL RD BASE/PCT#3"</f>
        <v>COMMERCIAL RD BASE/PCT#3</v>
      </c>
      <c r="G386" s="1">
        <v>2420</v>
      </c>
      <c r="H386" t="str">
        <f>"COMMERCIAL RD BASE/PCT#3"</f>
        <v>COMMERCIAL RD BASE/PCT#3</v>
      </c>
    </row>
    <row r="387" spans="1:8" x14ac:dyDescent="0.25">
      <c r="A387" t="s">
        <v>126</v>
      </c>
      <c r="B387">
        <v>133744</v>
      </c>
      <c r="C387" s="1">
        <v>405</v>
      </c>
      <c r="D387" s="5">
        <v>44158</v>
      </c>
      <c r="E387" t="str">
        <f>"202011180222"</f>
        <v>202011180222</v>
      </c>
      <c r="F387" t="str">
        <f>"FERAL HOGS"</f>
        <v>FERAL HOGS</v>
      </c>
      <c r="G387" s="1">
        <v>405</v>
      </c>
      <c r="H387" t="str">
        <f>"FERAL HOGS"</f>
        <v>FERAL HOGS</v>
      </c>
    </row>
    <row r="388" spans="1:8" x14ac:dyDescent="0.25">
      <c r="A388" t="s">
        <v>127</v>
      </c>
      <c r="B388">
        <v>3504</v>
      </c>
      <c r="C388" s="1">
        <v>984.56</v>
      </c>
      <c r="D388" s="5">
        <v>44145</v>
      </c>
      <c r="E388" t="str">
        <f>"6258042098 6258035"</f>
        <v>6258042098 6258035</v>
      </c>
      <c r="F388" t="str">
        <f>"INV 6258042098"</f>
        <v>INV 6258042098</v>
      </c>
      <c r="G388" s="1">
        <v>984.56</v>
      </c>
      <c r="H388" t="str">
        <f>"INV 6258042098"</f>
        <v>INV 6258042098</v>
      </c>
    </row>
    <row r="389" spans="1:8" x14ac:dyDescent="0.25">
      <c r="E389" t="str">
        <f>""</f>
        <v/>
      </c>
      <c r="F389" t="str">
        <f>""</f>
        <v/>
      </c>
      <c r="H389" t="str">
        <f>"INV 6258035891"</f>
        <v>INV 6258035891</v>
      </c>
    </row>
    <row r="390" spans="1:8" x14ac:dyDescent="0.25">
      <c r="A390" t="s">
        <v>127</v>
      </c>
      <c r="B390">
        <v>3575</v>
      </c>
      <c r="C390" s="1">
        <v>1820</v>
      </c>
      <c r="D390" s="5">
        <v>44159</v>
      </c>
      <c r="E390" t="str">
        <f>"6258250256"</f>
        <v>6258250256</v>
      </c>
      <c r="F390" t="str">
        <f>"INV 6258250256"</f>
        <v>INV 6258250256</v>
      </c>
      <c r="G390" s="1">
        <v>1820</v>
      </c>
      <c r="H390" t="str">
        <f>"INV 6258250256"</f>
        <v>INV 6258250256</v>
      </c>
    </row>
    <row r="391" spans="1:8" x14ac:dyDescent="0.25">
      <c r="A391" t="s">
        <v>128</v>
      </c>
      <c r="B391">
        <v>133745</v>
      </c>
      <c r="C391" s="1">
        <v>1791</v>
      </c>
      <c r="D391" s="5">
        <v>44158</v>
      </c>
      <c r="E391" t="str">
        <f>"487673"</f>
        <v>487673</v>
      </c>
      <c r="F391" t="str">
        <f>"CONF#487673 - SARAH STRONG"</f>
        <v>CONF#487673 - SARAH STRONG</v>
      </c>
      <c r="G391" s="1">
        <v>796</v>
      </c>
      <c r="H391" t="str">
        <f>"CONF#487673 - SARAH STRONG"</f>
        <v>CONF#487673 - SARAH STRONG</v>
      </c>
    </row>
    <row r="392" spans="1:8" x14ac:dyDescent="0.25">
      <c r="E392" t="str">
        <f>"572449"</f>
        <v>572449</v>
      </c>
      <c r="F392" t="str">
        <f>"CONF#572449 - MEGAN WELCH"</f>
        <v>CONF#572449 - MEGAN WELCH</v>
      </c>
      <c r="G392" s="1">
        <v>796</v>
      </c>
      <c r="H392" t="str">
        <f>"CONF#572449 - MEGAN WELCH"</f>
        <v>CONF#572449 - MEGAN WELCH</v>
      </c>
    </row>
    <row r="393" spans="1:8" x14ac:dyDescent="0.25">
      <c r="E393" t="str">
        <f>"696470"</f>
        <v>696470</v>
      </c>
      <c r="F393" t="str">
        <f>"CONF#696470 - KRISTIN MILES"</f>
        <v>CONF#696470 - KRISTIN MILES</v>
      </c>
      <c r="G393" s="1">
        <v>199</v>
      </c>
      <c r="H393" t="str">
        <f>"CONF#696470 - KRISTIN MILES"</f>
        <v>CONF#696470 - KRISTIN MILES</v>
      </c>
    </row>
    <row r="394" spans="1:8" x14ac:dyDescent="0.25">
      <c r="A394" t="s">
        <v>129</v>
      </c>
      <c r="B394">
        <v>133746</v>
      </c>
      <c r="C394" s="1">
        <v>7822.05</v>
      </c>
      <c r="D394" s="5">
        <v>44158</v>
      </c>
      <c r="E394" t="str">
        <f>"1169463"</f>
        <v>1169463</v>
      </c>
      <c r="F394" t="str">
        <f>"ACCT#B06875"</f>
        <v>ACCT#B06875</v>
      </c>
      <c r="G394" s="1">
        <v>7822.05</v>
      </c>
      <c r="H394" t="str">
        <f>"ACCT#B06875"</f>
        <v>ACCT#B06875</v>
      </c>
    </row>
    <row r="395" spans="1:8" x14ac:dyDescent="0.25">
      <c r="A395" t="s">
        <v>130</v>
      </c>
      <c r="B395">
        <v>133747</v>
      </c>
      <c r="C395" s="1">
        <v>48</v>
      </c>
      <c r="D395" s="5">
        <v>44158</v>
      </c>
      <c r="E395" t="str">
        <f>"31747"</f>
        <v>31747</v>
      </c>
      <c r="F395" t="str">
        <f>"ROUNDUP/PCT#1"</f>
        <v>ROUNDUP/PCT#1</v>
      </c>
      <c r="G395" s="1">
        <v>48</v>
      </c>
      <c r="H395" t="str">
        <f>"ROUNDUP/PCT#1"</f>
        <v>ROUNDUP/PCT#1</v>
      </c>
    </row>
    <row r="396" spans="1:8" x14ac:dyDescent="0.25">
      <c r="A396" t="s">
        <v>131</v>
      </c>
      <c r="B396">
        <v>133748</v>
      </c>
      <c r="C396" s="1">
        <v>251.28</v>
      </c>
      <c r="D396" s="5">
        <v>44158</v>
      </c>
      <c r="E396" t="str">
        <f>"1012028/1013209"</f>
        <v>1012028/1013209</v>
      </c>
      <c r="F396" t="str">
        <f>"SUPPLIES/PCT#4"</f>
        <v>SUPPLIES/PCT#4</v>
      </c>
      <c r="G396" s="1">
        <v>251.28</v>
      </c>
      <c r="H396" t="str">
        <f>"SUPPLIES/PCT#4"</f>
        <v>SUPPLIES/PCT#4</v>
      </c>
    </row>
    <row r="397" spans="1:8" x14ac:dyDescent="0.25">
      <c r="A397" t="s">
        <v>132</v>
      </c>
      <c r="B397">
        <v>133563</v>
      </c>
      <c r="C397" s="1">
        <v>1427.39</v>
      </c>
      <c r="D397" s="5">
        <v>44139</v>
      </c>
      <c r="E397" t="str">
        <f>"202011040000"</f>
        <v>202011040000</v>
      </c>
      <c r="F397" t="str">
        <f>"ACCT#007-0011544-001/10312020"</f>
        <v>ACCT#007-0011544-001/10312020</v>
      </c>
      <c r="G397" s="1">
        <v>144.44999999999999</v>
      </c>
      <c r="H397" t="str">
        <f>"ACCT#007-0011544-001/10312020"</f>
        <v>ACCT#007-0011544-001/10312020</v>
      </c>
    </row>
    <row r="398" spans="1:8" x14ac:dyDescent="0.25">
      <c r="E398" t="str">
        <f>"202011049994"</f>
        <v>202011049994</v>
      </c>
      <c r="F398" t="str">
        <f>"ACCT#007-0008410-002/10312020"</f>
        <v>ACCT#007-0008410-002/10312020</v>
      </c>
      <c r="G398" s="1">
        <v>274.17</v>
      </c>
      <c r="H398" t="str">
        <f>"ACCT#007-0008410-002/10312020"</f>
        <v>ACCT#007-0008410-002/10312020</v>
      </c>
    </row>
    <row r="399" spans="1:8" x14ac:dyDescent="0.25">
      <c r="E399" t="str">
        <f>"202011049995"</f>
        <v>202011049995</v>
      </c>
      <c r="F399" t="str">
        <f>"ACCT#007-0011501-000/10312020"</f>
        <v>ACCT#007-0011501-000/10312020</v>
      </c>
      <c r="G399" s="1">
        <v>230.56</v>
      </c>
      <c r="H399" t="str">
        <f>"ACCT#007-0011501-000/10312020"</f>
        <v>ACCT#007-0011501-000/10312020</v>
      </c>
    </row>
    <row r="400" spans="1:8" x14ac:dyDescent="0.25">
      <c r="E400" t="str">
        <f>"202011049996"</f>
        <v>202011049996</v>
      </c>
      <c r="F400" t="str">
        <f>"ACCT#007-0011510-000/10312020"</f>
        <v>ACCT#007-0011510-000/10312020</v>
      </c>
      <c r="G400" s="1">
        <v>264.64</v>
      </c>
      <c r="H400" t="str">
        <f>"ACCT#007-0011510-000/10312020"</f>
        <v>ACCT#007-0011510-000/10312020</v>
      </c>
    </row>
    <row r="401" spans="1:8" x14ac:dyDescent="0.25">
      <c r="E401" t="str">
        <f>"202011049997"</f>
        <v>202011049997</v>
      </c>
      <c r="F401" t="str">
        <f>"ACCT#007-0011530-000/10312020"</f>
        <v>ACCT#007-0011530-000/10312020</v>
      </c>
      <c r="G401" s="1">
        <v>107.93</v>
      </c>
      <c r="H401" t="str">
        <f>"ACCT#007-0011530-000/10312020"</f>
        <v>ACCT#007-0011530-000/10312020</v>
      </c>
    </row>
    <row r="402" spans="1:8" x14ac:dyDescent="0.25">
      <c r="E402" t="str">
        <f>"202011049998"</f>
        <v>202011049998</v>
      </c>
      <c r="F402" t="str">
        <f>"ACCT#007-0011534-001/10312020"</f>
        <v>ACCT#007-0011534-001/10312020</v>
      </c>
      <c r="G402" s="1">
        <v>186.23</v>
      </c>
      <c r="H402" t="str">
        <f>"ACCT#007-0011534-001/10312020"</f>
        <v>ACCT#007-0011534-001/10312020</v>
      </c>
    </row>
    <row r="403" spans="1:8" x14ac:dyDescent="0.25">
      <c r="E403" t="str">
        <f>"202011049999"</f>
        <v>202011049999</v>
      </c>
      <c r="F403" t="str">
        <f>"ACCT#007-0011535-000/10312020"</f>
        <v>ACCT#007-0011535-000/10312020</v>
      </c>
      <c r="G403" s="1">
        <v>219.41</v>
      </c>
      <c r="H403" t="str">
        <f>"ACCT#007-0011535-000/10312020"</f>
        <v>ACCT#007-0011535-000/10312020</v>
      </c>
    </row>
    <row r="404" spans="1:8" x14ac:dyDescent="0.25">
      <c r="A404" t="s">
        <v>133</v>
      </c>
      <c r="B404">
        <v>133608</v>
      </c>
      <c r="C404" s="1">
        <v>336</v>
      </c>
      <c r="D404" s="5">
        <v>44144</v>
      </c>
      <c r="E404" t="str">
        <f>"145-43794-01"</f>
        <v>145-43794-01</v>
      </c>
      <c r="F404" t="str">
        <f>"INV 145-43794-01"</f>
        <v>INV 145-43794-01</v>
      </c>
      <c r="G404" s="1">
        <v>336</v>
      </c>
      <c r="H404" t="str">
        <f>"INV 145-43794-01"</f>
        <v>INV 145-43794-01</v>
      </c>
    </row>
    <row r="405" spans="1:8" x14ac:dyDescent="0.25">
      <c r="A405" t="s">
        <v>134</v>
      </c>
      <c r="B405">
        <v>133609</v>
      </c>
      <c r="C405" s="1">
        <v>62506.1</v>
      </c>
      <c r="D405" s="5">
        <v>44144</v>
      </c>
      <c r="E405" t="str">
        <f>"9402364696"</f>
        <v>9402364696</v>
      </c>
      <c r="F405" t="str">
        <f>"ACCT#912897/BOL#27624/PCT#3"</f>
        <v>ACCT#912897/BOL#27624/PCT#3</v>
      </c>
      <c r="G405" s="1">
        <v>15785.28</v>
      </c>
      <c r="H405" t="str">
        <f>"ACCT#912897/BOL#27624/PCT#3"</f>
        <v>ACCT#912897/BOL#27624/PCT#3</v>
      </c>
    </row>
    <row r="406" spans="1:8" x14ac:dyDescent="0.25">
      <c r="E406" t="str">
        <f>"9402364700"</f>
        <v>9402364700</v>
      </c>
      <c r="F406" t="str">
        <f>"ACCT#912923/BOL#27626/PCT#4"</f>
        <v>ACCT#912923/BOL#27626/PCT#4</v>
      </c>
      <c r="G406" s="1">
        <v>12880.08</v>
      </c>
      <c r="H406" t="str">
        <f>"ACCT#912923/BOL#27626/PCT#4"</f>
        <v>ACCT#912923/BOL#27626/PCT#4</v>
      </c>
    </row>
    <row r="407" spans="1:8" x14ac:dyDescent="0.25">
      <c r="E407" t="str">
        <f>"9402364903"</f>
        <v>9402364903</v>
      </c>
      <c r="F407" t="str">
        <f>"ACCT#912923/BOL#27630/PCT#4"</f>
        <v>ACCT#912923/BOL#27630/PCT#4</v>
      </c>
      <c r="G407" s="1">
        <v>3595</v>
      </c>
      <c r="H407" t="str">
        <f>"ACCT#912923/BOL#27630/PCT#4"</f>
        <v>ACCT#912923/BOL#27630/PCT#4</v>
      </c>
    </row>
    <row r="408" spans="1:8" x14ac:dyDescent="0.25">
      <c r="E408" t="str">
        <f>"9402365673"</f>
        <v>9402365673</v>
      </c>
      <c r="F408" t="str">
        <f>"ACCT#912923/BOL#27634/PCT#4"</f>
        <v>ACCT#912923/BOL#27634/PCT#4</v>
      </c>
      <c r="G408" s="1">
        <v>12981.54</v>
      </c>
      <c r="H408" t="str">
        <f>"ACCT#912923/BOL#27634/PCT#4"</f>
        <v>ACCT#912923/BOL#27634/PCT#4</v>
      </c>
    </row>
    <row r="409" spans="1:8" x14ac:dyDescent="0.25">
      <c r="E409" t="str">
        <f>"9402366586"</f>
        <v>9402366586</v>
      </c>
      <c r="F409" t="str">
        <f>"ACCT#912922/BOL#27647/PCT#1"</f>
        <v>ACCT#912922/BOL#27647/PCT#1</v>
      </c>
      <c r="G409" s="1">
        <v>11566.44</v>
      </c>
      <c r="H409" t="str">
        <f>"ACCT#912922/BOL#27647/PCT#1"</f>
        <v>ACCT#912922/BOL#27647/PCT#1</v>
      </c>
    </row>
    <row r="410" spans="1:8" x14ac:dyDescent="0.25">
      <c r="E410" t="str">
        <f>"9402368969"</f>
        <v>9402368969</v>
      </c>
      <c r="F410" t="str">
        <f>"ACCT#912923/BOL#27648/PCT#4"</f>
        <v>ACCT#912923/BOL#27648/PCT#4</v>
      </c>
      <c r="G410" s="1">
        <v>5597.76</v>
      </c>
      <c r="H410" t="str">
        <f>"ACCT#912923/BOL#27648/PCT#4"</f>
        <v>ACCT#912923/BOL#27648/PCT#4</v>
      </c>
    </row>
    <row r="411" spans="1:8" x14ac:dyDescent="0.25">
      <c r="E411" t="str">
        <f>"9402372277"</f>
        <v>9402372277</v>
      </c>
      <c r="F411" t="str">
        <f>"ACCT#912922/DIVERSION FEE"</f>
        <v>ACCT#912922/DIVERSION FEE</v>
      </c>
      <c r="G411" s="1">
        <v>100</v>
      </c>
      <c r="H411" t="str">
        <f>"ACCT#912922/DIVERSION FEE"</f>
        <v>ACCT#912922/DIVERSION FEE</v>
      </c>
    </row>
    <row r="412" spans="1:8" x14ac:dyDescent="0.25">
      <c r="A412" t="s">
        <v>134</v>
      </c>
      <c r="B412">
        <v>133749</v>
      </c>
      <c r="C412" s="1">
        <v>4350.3</v>
      </c>
      <c r="D412" s="5">
        <v>44158</v>
      </c>
      <c r="E412" t="str">
        <f>"9402375250"</f>
        <v>9402375250</v>
      </c>
      <c r="F412" t="str">
        <f>"ACCT#912922/BOL#27705/PCT#1"</f>
        <v>ACCT#912922/BOL#27705/PCT#1</v>
      </c>
      <c r="G412" s="1">
        <v>4350.3</v>
      </c>
      <c r="H412" t="str">
        <f>"ACCT#912922/BOL#27705/PCT#1"</f>
        <v>ACCT#912922/BOL#27705/PCT#1</v>
      </c>
    </row>
    <row r="413" spans="1:8" x14ac:dyDescent="0.25">
      <c r="A413" t="s">
        <v>135</v>
      </c>
      <c r="B413">
        <v>3543</v>
      </c>
      <c r="C413" s="1">
        <v>4149</v>
      </c>
      <c r="D413" s="5">
        <v>44159</v>
      </c>
      <c r="E413" t="str">
        <f>"07910996"</f>
        <v>07910996</v>
      </c>
      <c r="F413" t="str">
        <f>"Renewal"</f>
        <v>Renewal</v>
      </c>
      <c r="G413" s="1">
        <v>4149</v>
      </c>
      <c r="H413" t="str">
        <f>"Annual Fee"</f>
        <v>Annual Fee</v>
      </c>
    </row>
    <row r="414" spans="1:8" x14ac:dyDescent="0.25">
      <c r="E414" t="str">
        <f>""</f>
        <v/>
      </c>
      <c r="F414" t="str">
        <f>""</f>
        <v/>
      </c>
      <c r="H414" t="str">
        <f>"Annual Recurring Fee"</f>
        <v>Annual Recurring Fee</v>
      </c>
    </row>
    <row r="415" spans="1:8" x14ac:dyDescent="0.25">
      <c r="A415" t="s">
        <v>136</v>
      </c>
      <c r="B415">
        <v>133750</v>
      </c>
      <c r="C415" s="1">
        <v>466.93</v>
      </c>
      <c r="D415" s="5">
        <v>44158</v>
      </c>
      <c r="E415" t="str">
        <f>"202011180151"</f>
        <v>202011180151</v>
      </c>
      <c r="F415" t="str">
        <f>"INDIGENT HEALTH"</f>
        <v>INDIGENT HEALTH</v>
      </c>
      <c r="G415" s="1">
        <v>466.93</v>
      </c>
      <c r="H415" t="str">
        <f>"INDIGENT HEALTH"</f>
        <v>INDIGENT HEALTH</v>
      </c>
    </row>
    <row r="416" spans="1:8" x14ac:dyDescent="0.25">
      <c r="A416" t="s">
        <v>137</v>
      </c>
      <c r="B416">
        <v>133610</v>
      </c>
      <c r="C416" s="1">
        <v>695</v>
      </c>
      <c r="D416" s="5">
        <v>44144</v>
      </c>
      <c r="E416" t="str">
        <f>"202011039975"</f>
        <v>202011039975</v>
      </c>
      <c r="F416" t="str">
        <f>"REGISTRATION HANNA"</f>
        <v>REGISTRATION HANNA</v>
      </c>
      <c r="G416" s="1">
        <v>695</v>
      </c>
      <c r="H416" t="str">
        <f>"REGISTRATION"</f>
        <v>REGISTRATION</v>
      </c>
    </row>
    <row r="417" spans="1:8" x14ac:dyDescent="0.25">
      <c r="A417" t="s">
        <v>138</v>
      </c>
      <c r="B417">
        <v>133611</v>
      </c>
      <c r="C417" s="1">
        <v>107.99</v>
      </c>
      <c r="D417" s="5">
        <v>44144</v>
      </c>
      <c r="E417" t="str">
        <f>"61806363"</f>
        <v>61806363</v>
      </c>
      <c r="F417" t="str">
        <f>"ACCT#80975-001/PCT#3"</f>
        <v>ACCT#80975-001/PCT#3</v>
      </c>
      <c r="G417" s="1">
        <v>71.540000000000006</v>
      </c>
      <c r="H417" t="str">
        <f>"ACCT#80975-001/PCT#3"</f>
        <v>ACCT#80975-001/PCT#3</v>
      </c>
    </row>
    <row r="418" spans="1:8" x14ac:dyDescent="0.25">
      <c r="E418" t="str">
        <f>"61835361"</f>
        <v>61835361</v>
      </c>
      <c r="F418" t="str">
        <f>"ACCT#80975-002/PCT#4"</f>
        <v>ACCT#80975-002/PCT#4</v>
      </c>
      <c r="G418" s="1">
        <v>36.450000000000003</v>
      </c>
      <c r="H418" t="str">
        <f>"ACCT#80975-002/PCT#4"</f>
        <v>ACCT#80975-002/PCT#4</v>
      </c>
    </row>
    <row r="419" spans="1:8" x14ac:dyDescent="0.25">
      <c r="A419" t="s">
        <v>138</v>
      </c>
      <c r="B419">
        <v>133751</v>
      </c>
      <c r="C419" s="1">
        <v>375.39</v>
      </c>
      <c r="D419" s="5">
        <v>44158</v>
      </c>
      <c r="E419" t="str">
        <f>"62439946"</f>
        <v>62439946</v>
      </c>
      <c r="F419" t="str">
        <f>"ACCT#80975-001/PCT#2"</f>
        <v>ACCT#80975-001/PCT#2</v>
      </c>
      <c r="G419" s="1">
        <v>166.51</v>
      </c>
      <c r="H419" t="str">
        <f>"ACCT#80975-001/PCT#2"</f>
        <v>ACCT#80975-001/PCT#2</v>
      </c>
    </row>
    <row r="420" spans="1:8" x14ac:dyDescent="0.25">
      <c r="E420" t="str">
        <f>"62719551"</f>
        <v>62719551</v>
      </c>
      <c r="F420" t="str">
        <f>"ACCT#80975-001/PCT#3"</f>
        <v>ACCT#80975-001/PCT#3</v>
      </c>
      <c r="G420" s="1">
        <v>34.299999999999997</v>
      </c>
      <c r="H420" t="str">
        <f>"ACCT#80975-001/PCT#3"</f>
        <v>ACCT#80975-001/PCT#3</v>
      </c>
    </row>
    <row r="421" spans="1:8" x14ac:dyDescent="0.25">
      <c r="E421" t="str">
        <f>"62724476"</f>
        <v>62724476</v>
      </c>
      <c r="F421" t="str">
        <f>"ACCT#80975-001/TENSIONER/PCT#3"</f>
        <v>ACCT#80975-001/TENSIONER/PCT#3</v>
      </c>
      <c r="G421" s="1">
        <v>174.58</v>
      </c>
      <c r="H421" t="str">
        <f>"ACCT#80975-001/TENSIONER/PCT#3"</f>
        <v>ACCT#80975-001/TENSIONER/PCT#3</v>
      </c>
    </row>
    <row r="422" spans="1:8" x14ac:dyDescent="0.25">
      <c r="A422" t="s">
        <v>139</v>
      </c>
      <c r="B422">
        <v>3498</v>
      </c>
      <c r="C422" s="1">
        <v>509.05</v>
      </c>
      <c r="D422" s="5">
        <v>44145</v>
      </c>
      <c r="E422" t="str">
        <f>"51557AP"</f>
        <v>51557AP</v>
      </c>
      <c r="F422" t="str">
        <f>"ACCT#3325/ORD#222/PCT#2"</f>
        <v>ACCT#3325/ORD#222/PCT#2</v>
      </c>
      <c r="G422" s="1">
        <v>158.32</v>
      </c>
      <c r="H422" t="str">
        <f>"ACCT#3325/ORD#222/PCT#2"</f>
        <v>ACCT#3325/ORD#222/PCT#2</v>
      </c>
    </row>
    <row r="423" spans="1:8" x14ac:dyDescent="0.25">
      <c r="E423" t="str">
        <f>"52633AP"</f>
        <v>52633AP</v>
      </c>
      <c r="F423" t="str">
        <f>"ACCT#3324/PARTS/PCT#3"</f>
        <v>ACCT#3324/PARTS/PCT#3</v>
      </c>
      <c r="G423" s="1">
        <v>63.82</v>
      </c>
      <c r="H423" t="str">
        <f>"ACCT#3324/PARTS/PCT#3"</f>
        <v>ACCT#3324/PARTS/PCT#3</v>
      </c>
    </row>
    <row r="424" spans="1:8" x14ac:dyDescent="0.25">
      <c r="E424" t="str">
        <f>"52634AP"</f>
        <v>52634AP</v>
      </c>
      <c r="F424" t="str">
        <f>"ACCT#3324/NOZZLE/PCT#3"</f>
        <v>ACCT#3324/NOZZLE/PCT#3</v>
      </c>
      <c r="G424" s="1">
        <v>5.72</v>
      </c>
      <c r="H424" t="str">
        <f>"ACCT#3324/NOZZLE/PCT#3"</f>
        <v>ACCT#3324/NOZZLE/PCT#3</v>
      </c>
    </row>
    <row r="425" spans="1:8" x14ac:dyDescent="0.25">
      <c r="E425" t="str">
        <f>"53070AP"</f>
        <v>53070AP</v>
      </c>
      <c r="F425" t="str">
        <f>"ACCT#3326/PCT#4"</f>
        <v>ACCT#3326/PCT#4</v>
      </c>
      <c r="G425" s="1">
        <v>242.92</v>
      </c>
      <c r="H425" t="str">
        <f>"ACCT#3326/PCT#4"</f>
        <v>ACCT#3326/PCT#4</v>
      </c>
    </row>
    <row r="426" spans="1:8" x14ac:dyDescent="0.25">
      <c r="E426" t="str">
        <f>"53071AP"</f>
        <v>53071AP</v>
      </c>
      <c r="F426" t="str">
        <f>"ACCT#3326/PCT#4"</f>
        <v>ACCT#3326/PCT#4</v>
      </c>
      <c r="G426" s="1">
        <v>38.270000000000003</v>
      </c>
      <c r="H426" t="str">
        <f>"ACCT#3326/PCT#4"</f>
        <v>ACCT#3326/PCT#4</v>
      </c>
    </row>
    <row r="427" spans="1:8" x14ac:dyDescent="0.25">
      <c r="A427" t="s">
        <v>140</v>
      </c>
      <c r="B427">
        <v>3505</v>
      </c>
      <c r="C427" s="1">
        <v>396.5</v>
      </c>
      <c r="D427" s="5">
        <v>44145</v>
      </c>
      <c r="E427" t="str">
        <f>"112772"</f>
        <v>112772</v>
      </c>
      <c r="F427" t="str">
        <f>"INV GC 112772"</f>
        <v>INV GC 112772</v>
      </c>
      <c r="G427" s="1">
        <v>30.72</v>
      </c>
      <c r="H427" t="str">
        <f>"INV GC 112772"</f>
        <v>INV GC 112772</v>
      </c>
    </row>
    <row r="428" spans="1:8" x14ac:dyDescent="0.25">
      <c r="E428" t="str">
        <f>"112792"</f>
        <v>112792</v>
      </c>
      <c r="F428" t="str">
        <f>"INV GC 112792"</f>
        <v>INV GC 112792</v>
      </c>
      <c r="G428" s="1">
        <v>206.09</v>
      </c>
      <c r="H428" t="str">
        <f>"INV GC 112792"</f>
        <v>INV GC 112792</v>
      </c>
    </row>
    <row r="429" spans="1:8" x14ac:dyDescent="0.25">
      <c r="E429" t="str">
        <f>"112807"</f>
        <v>112807</v>
      </c>
      <c r="F429" t="str">
        <f>"WINDOW ENVELOPES/DEV SVCS"</f>
        <v>WINDOW ENVELOPES/DEV SVCS</v>
      </c>
      <c r="G429" s="1">
        <v>128.97</v>
      </c>
      <c r="H429" t="str">
        <f>"WINDOW ENVELOPES/DEV SVCS"</f>
        <v>WINDOW ENVELOPES/DEV SVCS</v>
      </c>
    </row>
    <row r="430" spans="1:8" x14ac:dyDescent="0.25">
      <c r="E430" t="str">
        <f>"112831"</f>
        <v>112831</v>
      </c>
      <c r="F430" t="str">
        <f>"BUSINESS CARDS/ENVIRON SVCS"</f>
        <v>BUSINESS CARDS/ENVIRON SVCS</v>
      </c>
      <c r="G430" s="1">
        <v>30.72</v>
      </c>
      <c r="H430" t="str">
        <f>"BUSINESS CARDS/ENVIRON SVCS"</f>
        <v>BUSINESS CARDS/ENVIRON SVCS</v>
      </c>
    </row>
    <row r="431" spans="1:8" x14ac:dyDescent="0.25">
      <c r="A431" t="s">
        <v>141</v>
      </c>
      <c r="B431">
        <v>133612</v>
      </c>
      <c r="C431" s="1">
        <v>927</v>
      </c>
      <c r="D431" s="5">
        <v>44144</v>
      </c>
      <c r="E431" t="str">
        <f>"016659815 01676351"</f>
        <v>016659815 01676351</v>
      </c>
      <c r="F431" t="str">
        <f>"INV 016659815/016763513"</f>
        <v>INV 016659815/016763513</v>
      </c>
      <c r="G431" s="1">
        <v>620</v>
      </c>
      <c r="H431" t="str">
        <f>"INV 016659815"</f>
        <v>INV 016659815</v>
      </c>
    </row>
    <row r="432" spans="1:8" x14ac:dyDescent="0.25">
      <c r="E432" t="str">
        <f>""</f>
        <v/>
      </c>
      <c r="F432" t="str">
        <f>""</f>
        <v/>
      </c>
      <c r="H432" t="str">
        <f>"INV 016763513"</f>
        <v>INV 016763513</v>
      </c>
    </row>
    <row r="433" spans="1:8" x14ac:dyDescent="0.25">
      <c r="E433" t="str">
        <f>"016702000  0167734"</f>
        <v>016702000  0167734</v>
      </c>
      <c r="F433" t="str">
        <f>"INV 016702000/016773465"</f>
        <v>INV 016702000/016773465</v>
      </c>
      <c r="G433" s="1">
        <v>307</v>
      </c>
      <c r="H433" t="str">
        <f>"INV 016702000"</f>
        <v>INV 016702000</v>
      </c>
    </row>
    <row r="434" spans="1:8" x14ac:dyDescent="0.25">
      <c r="E434" t="str">
        <f>""</f>
        <v/>
      </c>
      <c r="F434" t="str">
        <f>""</f>
        <v/>
      </c>
      <c r="H434" t="str">
        <f>"INV 016773465"</f>
        <v>INV 016773465</v>
      </c>
    </row>
    <row r="435" spans="1:8" x14ac:dyDescent="0.25">
      <c r="A435" t="s">
        <v>141</v>
      </c>
      <c r="B435">
        <v>133752</v>
      </c>
      <c r="C435" s="1">
        <v>1062.0999999999999</v>
      </c>
      <c r="D435" s="5">
        <v>44158</v>
      </c>
      <c r="E435" t="str">
        <f>"016743113"</f>
        <v>016743113</v>
      </c>
      <c r="F435" t="str">
        <f>"INV 016743113"</f>
        <v>INV 016743113</v>
      </c>
      <c r="G435" s="1">
        <v>542.1</v>
      </c>
      <c r="H435" t="str">
        <f>"INV 016743113"</f>
        <v>INV 016743113</v>
      </c>
    </row>
    <row r="436" spans="1:8" x14ac:dyDescent="0.25">
      <c r="E436" t="str">
        <f>"016799456 01693790"</f>
        <v>016799456 01693790</v>
      </c>
      <c r="F436" t="str">
        <f>"INV 016799456/016937900"</f>
        <v>INV 016799456/016937900</v>
      </c>
      <c r="G436" s="1">
        <v>307</v>
      </c>
      <c r="H436" t="str">
        <f>"INV 016799456"</f>
        <v>INV 016799456</v>
      </c>
    </row>
    <row r="437" spans="1:8" x14ac:dyDescent="0.25">
      <c r="E437" t="str">
        <f>""</f>
        <v/>
      </c>
      <c r="F437" t="str">
        <f>""</f>
        <v/>
      </c>
      <c r="H437" t="str">
        <f>"INV 016937900"</f>
        <v>INV 016937900</v>
      </c>
    </row>
    <row r="438" spans="1:8" x14ac:dyDescent="0.25">
      <c r="E438" t="str">
        <f>"016874109"</f>
        <v>016874109</v>
      </c>
      <c r="F438" t="str">
        <f>"INV 016874109"</f>
        <v>INV 016874109</v>
      </c>
      <c r="G438" s="1">
        <v>153</v>
      </c>
      <c r="H438" t="str">
        <f>"INV 016874109"</f>
        <v>INV 016874109</v>
      </c>
    </row>
    <row r="439" spans="1:8" x14ac:dyDescent="0.25">
      <c r="E439" t="str">
        <f>"016907724"</f>
        <v>016907724</v>
      </c>
      <c r="F439" t="str">
        <f>"INV 016907724"</f>
        <v>INV 016907724</v>
      </c>
      <c r="G439" s="1">
        <v>12</v>
      </c>
      <c r="H439" t="str">
        <f>"INV 016907724"</f>
        <v>INV 016907724</v>
      </c>
    </row>
    <row r="440" spans="1:8" x14ac:dyDescent="0.25">
      <c r="E440" t="str">
        <f>"016907725"</f>
        <v>016907725</v>
      </c>
      <c r="F440" t="str">
        <f>"INV 016907725"</f>
        <v>INV 016907725</v>
      </c>
      <c r="G440" s="1">
        <v>12</v>
      </c>
      <c r="H440" t="str">
        <f>"INV 016907725"</f>
        <v>INV 016907725</v>
      </c>
    </row>
    <row r="441" spans="1:8" x14ac:dyDescent="0.25">
      <c r="E441" t="str">
        <f>"016907726"</f>
        <v>016907726</v>
      </c>
      <c r="F441" t="str">
        <f>"INV 016907726"</f>
        <v>INV 016907726</v>
      </c>
      <c r="G441" s="1">
        <v>12</v>
      </c>
      <c r="H441" t="str">
        <f>"INV 016907726"</f>
        <v>INV 016907726</v>
      </c>
    </row>
    <row r="442" spans="1:8" x14ac:dyDescent="0.25">
      <c r="E442" t="str">
        <f>"016907750"</f>
        <v>016907750</v>
      </c>
      <c r="F442" t="str">
        <f>"INV 016907750"</f>
        <v>INV 016907750</v>
      </c>
      <c r="G442" s="1">
        <v>12</v>
      </c>
      <c r="H442" t="str">
        <f>"INV 016907750"</f>
        <v>INV 016907750</v>
      </c>
    </row>
    <row r="443" spans="1:8" x14ac:dyDescent="0.25">
      <c r="E443" t="str">
        <f>"016907772"</f>
        <v>016907772</v>
      </c>
      <c r="F443" t="str">
        <f>"INV 016907772"</f>
        <v>INV 016907772</v>
      </c>
      <c r="G443" s="1">
        <v>12</v>
      </c>
      <c r="H443" t="str">
        <f>"INV 016907772"</f>
        <v>INV 016907772</v>
      </c>
    </row>
    <row r="444" spans="1:8" x14ac:dyDescent="0.25">
      <c r="A444" t="s">
        <v>142</v>
      </c>
      <c r="B444">
        <v>133753</v>
      </c>
      <c r="C444" s="1">
        <v>1698.07</v>
      </c>
      <c r="D444" s="5">
        <v>44158</v>
      </c>
      <c r="E444" t="str">
        <f>"376152"</f>
        <v>376152</v>
      </c>
      <c r="F444" t="str">
        <f>"INV 376152"</f>
        <v>INV 376152</v>
      </c>
      <c r="G444" s="1">
        <v>633.07000000000005</v>
      </c>
      <c r="H444" t="str">
        <f>"INV 376152"</f>
        <v>INV 376152</v>
      </c>
    </row>
    <row r="445" spans="1:8" x14ac:dyDescent="0.25">
      <c r="E445" t="str">
        <f>"376440"</f>
        <v>376440</v>
      </c>
      <c r="F445" t="str">
        <f>"INV 376440"</f>
        <v>INV 376440</v>
      </c>
      <c r="G445" s="1">
        <v>1065</v>
      </c>
      <c r="H445" t="str">
        <f>"INV 376440"</f>
        <v>INV 376440</v>
      </c>
    </row>
    <row r="446" spans="1:8" x14ac:dyDescent="0.25">
      <c r="A446" t="s">
        <v>143</v>
      </c>
      <c r="B446">
        <v>133754</v>
      </c>
      <c r="C446" s="1">
        <v>550</v>
      </c>
      <c r="D446" s="5">
        <v>44158</v>
      </c>
      <c r="E446" t="str">
        <f>"202011180223"</f>
        <v>202011180223</v>
      </c>
      <c r="F446" t="str">
        <f>"FERAL HOGS"</f>
        <v>FERAL HOGS</v>
      </c>
      <c r="G446" s="1">
        <v>250</v>
      </c>
      <c r="H446" t="str">
        <f>"FERAL HOGS"</f>
        <v>FERAL HOGS</v>
      </c>
    </row>
    <row r="447" spans="1:8" x14ac:dyDescent="0.25">
      <c r="E447" t="str">
        <f>"202011180224"</f>
        <v>202011180224</v>
      </c>
      <c r="F447" t="str">
        <f>"FERAL HOGS"</f>
        <v>FERAL HOGS</v>
      </c>
      <c r="G447" s="1">
        <v>300</v>
      </c>
      <c r="H447" t="str">
        <f>"FERAL HOGS"</f>
        <v>FERAL HOGS</v>
      </c>
    </row>
    <row r="448" spans="1:8" x14ac:dyDescent="0.25">
      <c r="A448" t="s">
        <v>144</v>
      </c>
      <c r="B448">
        <v>133755</v>
      </c>
      <c r="C448" s="1">
        <v>90</v>
      </c>
      <c r="D448" s="5">
        <v>44158</v>
      </c>
      <c r="E448" t="str">
        <f>"202011180225"</f>
        <v>202011180225</v>
      </c>
      <c r="F448" t="str">
        <f>"FERAL HOGS"</f>
        <v>FERAL HOGS</v>
      </c>
      <c r="G448" s="1">
        <v>90</v>
      </c>
      <c r="H448" t="str">
        <f>"FERAL HOGS"</f>
        <v>FERAL HOGS</v>
      </c>
    </row>
    <row r="449" spans="1:8" x14ac:dyDescent="0.25">
      <c r="A449" t="s">
        <v>145</v>
      </c>
      <c r="B449">
        <v>133613</v>
      </c>
      <c r="C449" s="1">
        <v>850</v>
      </c>
      <c r="D449" s="5">
        <v>44144</v>
      </c>
      <c r="E449" t="str">
        <f>"1062"</f>
        <v>1062</v>
      </c>
      <c r="F449" t="str">
        <f>"TRANSPORT  P.A. HUMPHREY"</f>
        <v>TRANSPORT  P.A. HUMPHREY</v>
      </c>
      <c r="G449" s="1">
        <v>425</v>
      </c>
      <c r="H449" t="str">
        <f>"TRANSPORT  P.A. HUMPHREY"</f>
        <v>TRANSPORT  P.A. HUMPHREY</v>
      </c>
    </row>
    <row r="450" spans="1:8" x14ac:dyDescent="0.25">
      <c r="E450" t="str">
        <f>"1114"</f>
        <v>1114</v>
      </c>
      <c r="F450" t="str">
        <f>"TRANSPORT - R. ROSAS"</f>
        <v>TRANSPORT - R. ROSAS</v>
      </c>
      <c r="G450" s="1">
        <v>425</v>
      </c>
      <c r="H450" t="str">
        <f>"TRANSPORT - R. ROSAS"</f>
        <v>TRANSPORT - R. ROSAS</v>
      </c>
    </row>
    <row r="451" spans="1:8" x14ac:dyDescent="0.25">
      <c r="A451" t="s">
        <v>146</v>
      </c>
      <c r="B451">
        <v>133756</v>
      </c>
      <c r="C451" s="1">
        <v>70</v>
      </c>
      <c r="D451" s="5">
        <v>44158</v>
      </c>
      <c r="E451" t="str">
        <f>"202011180226"</f>
        <v>202011180226</v>
      </c>
      <c r="F451" t="str">
        <f>"FERAL HOGS"</f>
        <v>FERAL HOGS</v>
      </c>
      <c r="G451" s="1">
        <v>70</v>
      </c>
      <c r="H451" t="str">
        <f>"FERAL HOGS"</f>
        <v>FERAL HOGS</v>
      </c>
    </row>
    <row r="452" spans="1:8" x14ac:dyDescent="0.25">
      <c r="A452" t="s">
        <v>147</v>
      </c>
      <c r="B452">
        <v>133757</v>
      </c>
      <c r="C452" s="1">
        <v>191.29</v>
      </c>
      <c r="D452" s="5">
        <v>44158</v>
      </c>
      <c r="E452" t="str">
        <f>"9707256872"</f>
        <v>9707256872</v>
      </c>
      <c r="F452" t="str">
        <f>"INV 9707256872"</f>
        <v>INV 9707256872</v>
      </c>
      <c r="G452" s="1">
        <v>191.29</v>
      </c>
      <c r="H452" t="str">
        <f>"INV 9707256872"</f>
        <v>INV 9707256872</v>
      </c>
    </row>
    <row r="453" spans="1:8" x14ac:dyDescent="0.25">
      <c r="A453" t="s">
        <v>148</v>
      </c>
      <c r="B453">
        <v>3576</v>
      </c>
      <c r="C453" s="1">
        <v>970.9</v>
      </c>
      <c r="D453" s="5">
        <v>44159</v>
      </c>
      <c r="E453" t="str">
        <f>"0799095"</f>
        <v>0799095</v>
      </c>
      <c r="F453" t="str">
        <f>"INV 0799095"</f>
        <v>INV 0799095</v>
      </c>
      <c r="G453" s="1">
        <v>194.48</v>
      </c>
      <c r="H453" t="str">
        <f>"INV 0799095"</f>
        <v>INV 0799095</v>
      </c>
    </row>
    <row r="454" spans="1:8" x14ac:dyDescent="0.25">
      <c r="E454" t="str">
        <f>"0803928"</f>
        <v>0803928</v>
      </c>
      <c r="F454" t="str">
        <f>"INV 0803928"</f>
        <v>INV 0803928</v>
      </c>
      <c r="G454" s="1">
        <v>455.85</v>
      </c>
      <c r="H454" t="str">
        <f>"INV 0803928"</f>
        <v>INV 0803928</v>
      </c>
    </row>
    <row r="455" spans="1:8" x14ac:dyDescent="0.25">
      <c r="E455" t="str">
        <f>""</f>
        <v/>
      </c>
      <c r="F455" t="str">
        <f>""</f>
        <v/>
      </c>
      <c r="H455" t="str">
        <f>"INV 0803928"</f>
        <v>INV 0803928</v>
      </c>
    </row>
    <row r="456" spans="1:8" x14ac:dyDescent="0.25">
      <c r="E456" t="str">
        <f>"INV0798946 / 3143"</f>
        <v>INV0798946 / 3143</v>
      </c>
      <c r="F456" t="str">
        <f>"INV0798946"</f>
        <v>INV0798946</v>
      </c>
      <c r="G456" s="1">
        <v>107.07</v>
      </c>
      <c r="H456" t="str">
        <f>"INV0798946"</f>
        <v>INV0798946</v>
      </c>
    </row>
    <row r="457" spans="1:8" x14ac:dyDescent="0.25">
      <c r="E457" t="str">
        <f>""</f>
        <v/>
      </c>
      <c r="F457" t="str">
        <f>""</f>
        <v/>
      </c>
      <c r="H457" t="str">
        <f>"INV0803143"</f>
        <v>INV0803143</v>
      </c>
    </row>
    <row r="458" spans="1:8" x14ac:dyDescent="0.25">
      <c r="E458" t="str">
        <f>"INV2188525"</f>
        <v>INV2188525</v>
      </c>
      <c r="F458" t="str">
        <f>"INV2188525"</f>
        <v>INV2188525</v>
      </c>
      <c r="G458" s="1">
        <v>213.5</v>
      </c>
      <c r="H458" t="str">
        <f>"INV2188525"</f>
        <v>INV2188525</v>
      </c>
    </row>
    <row r="459" spans="1:8" x14ac:dyDescent="0.25">
      <c r="A459" t="s">
        <v>149</v>
      </c>
      <c r="B459">
        <v>3588</v>
      </c>
      <c r="C459" s="1">
        <v>8482.5</v>
      </c>
      <c r="D459" s="5">
        <v>44159</v>
      </c>
      <c r="E459" t="str">
        <f>"1916136 1912885"</f>
        <v>1916136 1912885</v>
      </c>
      <c r="F459" t="str">
        <f>"Supplies"</f>
        <v>Supplies</v>
      </c>
      <c r="G459" s="1">
        <v>3095.38</v>
      </c>
      <c r="H459" t="str">
        <f>"Inv #1916136"</f>
        <v>Inv #1916136</v>
      </c>
    </row>
    <row r="460" spans="1:8" x14ac:dyDescent="0.25">
      <c r="E460" t="str">
        <f>""</f>
        <v/>
      </c>
      <c r="F460" t="str">
        <f>""</f>
        <v/>
      </c>
      <c r="H460" t="str">
        <f>"Inv #1912885"</f>
        <v>Inv #1912885</v>
      </c>
    </row>
    <row r="461" spans="1:8" x14ac:dyDescent="0.25">
      <c r="E461" t="str">
        <f>""</f>
        <v/>
      </c>
      <c r="F461" t="str">
        <f>""</f>
        <v/>
      </c>
      <c r="H461" t="str">
        <f>"Inv. #1943858"</f>
        <v>Inv. #1943858</v>
      </c>
    </row>
    <row r="462" spans="1:8" x14ac:dyDescent="0.25">
      <c r="E462" t="str">
        <f>"1956498"</f>
        <v>1956498</v>
      </c>
      <c r="F462" t="str">
        <f>"INV 1956498"</f>
        <v>INV 1956498</v>
      </c>
      <c r="G462" s="1">
        <v>1739</v>
      </c>
      <c r="H462" t="str">
        <f>"INV 1956498"</f>
        <v>INV 1956498</v>
      </c>
    </row>
    <row r="463" spans="1:8" x14ac:dyDescent="0.25">
      <c r="E463" t="str">
        <f>"1960901"</f>
        <v>1960901</v>
      </c>
      <c r="F463" t="str">
        <f>"INV 1960901"</f>
        <v>INV 1960901</v>
      </c>
      <c r="G463" s="1">
        <v>1274.0999999999999</v>
      </c>
      <c r="H463" t="str">
        <f>"INV 1960901"</f>
        <v>INV 1960901</v>
      </c>
    </row>
    <row r="464" spans="1:8" x14ac:dyDescent="0.25">
      <c r="E464" t="str">
        <f>"202011170056"</f>
        <v>202011170056</v>
      </c>
      <c r="F464" t="str">
        <f>"Cleaning Supplies"</f>
        <v>Cleaning Supplies</v>
      </c>
      <c r="G464" s="1">
        <v>2374.02</v>
      </c>
      <c r="H464" t="str">
        <f>"Inv. 1952067"</f>
        <v>Inv. 1952067</v>
      </c>
    </row>
    <row r="465" spans="1:8" x14ac:dyDescent="0.25">
      <c r="E465" t="str">
        <f>""</f>
        <v/>
      </c>
      <c r="F465" t="str">
        <f>""</f>
        <v/>
      </c>
      <c r="H465" t="str">
        <f>"Inv. 1956495"</f>
        <v>Inv. 1956495</v>
      </c>
    </row>
    <row r="466" spans="1:8" x14ac:dyDescent="0.25">
      <c r="E466" t="str">
        <f>""</f>
        <v/>
      </c>
      <c r="F466" t="str">
        <f>""</f>
        <v/>
      </c>
      <c r="H466" t="str">
        <f>"Inv. 1960898"</f>
        <v>Inv. 1960898</v>
      </c>
    </row>
    <row r="467" spans="1:8" x14ac:dyDescent="0.25">
      <c r="A467" t="s">
        <v>150</v>
      </c>
      <c r="B467">
        <v>133614</v>
      </c>
      <c r="C467" s="1">
        <v>272.5</v>
      </c>
      <c r="D467" s="5">
        <v>44144</v>
      </c>
      <c r="E467" t="str">
        <f>"1038629"</f>
        <v>1038629</v>
      </c>
      <c r="F467" t="str">
        <f>"ACCT#37758/ORD#849317"</f>
        <v>ACCT#37758/ORD#849317</v>
      </c>
      <c r="G467" s="1">
        <v>85</v>
      </c>
      <c r="H467" t="str">
        <f>"ACCT#37758/ORD#849317"</f>
        <v>ACCT#37758/ORD#849317</v>
      </c>
    </row>
    <row r="468" spans="1:8" x14ac:dyDescent="0.25">
      <c r="E468" t="str">
        <f>"1041124"</f>
        <v>1041124</v>
      </c>
      <c r="F468" t="str">
        <f>"ACCT#60128/ORD#941427/PCT#4"</f>
        <v>ACCT#60128/ORD#941427/PCT#4</v>
      </c>
      <c r="G468" s="1">
        <v>187.5</v>
      </c>
      <c r="H468" t="str">
        <f>"ACCT#60128/ORD#941427/PCT#4"</f>
        <v>ACCT#60128/ORD#941427/PCT#4</v>
      </c>
    </row>
    <row r="469" spans="1:8" x14ac:dyDescent="0.25">
      <c r="A469" t="s">
        <v>151</v>
      </c>
      <c r="B469">
        <v>3586</v>
      </c>
      <c r="C469" s="1">
        <v>17372.87</v>
      </c>
      <c r="D469" s="5">
        <v>44159</v>
      </c>
      <c r="E469" t="str">
        <f>"10044512"</f>
        <v>10044512</v>
      </c>
      <c r="F469" t="str">
        <f>"ENGINEERING SVCS"</f>
        <v>ENGINEERING SVCS</v>
      </c>
      <c r="G469" s="1">
        <v>17372.87</v>
      </c>
      <c r="H469" t="str">
        <f>"ENGINEERING SVCS"</f>
        <v>ENGINEERING SVCS</v>
      </c>
    </row>
    <row r="470" spans="1:8" x14ac:dyDescent="0.25">
      <c r="A470" t="s">
        <v>152</v>
      </c>
      <c r="B470">
        <v>133758</v>
      </c>
      <c r="C470" s="1">
        <v>388.96</v>
      </c>
      <c r="D470" s="5">
        <v>44158</v>
      </c>
      <c r="E470" t="str">
        <f>"000282924"</f>
        <v>000282924</v>
      </c>
      <c r="F470" t="str">
        <f>"REF#0000282924/PCT#3"</f>
        <v>REF#0000282924/PCT#3</v>
      </c>
      <c r="G470" s="1">
        <v>388.96</v>
      </c>
      <c r="H470" t="str">
        <f>"REF#0000282924/PCT#3"</f>
        <v>REF#0000282924/PCT#3</v>
      </c>
    </row>
    <row r="471" spans="1:8" x14ac:dyDescent="0.25">
      <c r="A471" t="s">
        <v>153</v>
      </c>
      <c r="B471">
        <v>133615</v>
      </c>
      <c r="C471" s="1">
        <v>75</v>
      </c>
      <c r="D471" s="5">
        <v>44144</v>
      </c>
      <c r="E471" t="str">
        <f>"12973"</f>
        <v>12973</v>
      </c>
      <c r="F471" t="str">
        <f>"SERVICE"</f>
        <v>SERVICE</v>
      </c>
      <c r="G471" s="1">
        <v>75</v>
      </c>
      <c r="H471" t="str">
        <f>"HARRIS COUNTY CONSTABLE PCT 1"</f>
        <v>HARRIS COUNTY CONSTABLE PCT 1</v>
      </c>
    </row>
    <row r="472" spans="1:8" x14ac:dyDescent="0.25">
      <c r="A472" t="s">
        <v>154</v>
      </c>
      <c r="B472">
        <v>133759</v>
      </c>
      <c r="C472" s="1">
        <v>75</v>
      </c>
      <c r="D472" s="5">
        <v>44158</v>
      </c>
      <c r="E472" t="str">
        <f>"12694"</f>
        <v>12694</v>
      </c>
      <c r="F472" t="str">
        <f>"SERVICE"</f>
        <v>SERVICE</v>
      </c>
      <c r="G472" s="1">
        <v>75</v>
      </c>
      <c r="H472" t="str">
        <f>"SERVICE"</f>
        <v>SERVICE</v>
      </c>
    </row>
    <row r="473" spans="1:8" x14ac:dyDescent="0.25">
      <c r="A473" t="s">
        <v>155</v>
      </c>
      <c r="B473">
        <v>133760</v>
      </c>
      <c r="C473" s="1">
        <v>75</v>
      </c>
      <c r="D473" s="5">
        <v>44158</v>
      </c>
      <c r="E473" t="str">
        <f>"13356"</f>
        <v>13356</v>
      </c>
      <c r="F473" t="str">
        <f>"SERVICE  09/23/20"</f>
        <v>SERVICE  09/23/20</v>
      </c>
      <c r="G473" s="1">
        <v>75</v>
      </c>
      <c r="H473" t="str">
        <f>"SERVICE  09/23/20"</f>
        <v>SERVICE  09/23/20</v>
      </c>
    </row>
    <row r="474" spans="1:8" x14ac:dyDescent="0.25">
      <c r="A474" t="s">
        <v>156</v>
      </c>
      <c r="B474">
        <v>133761</v>
      </c>
      <c r="C474" s="1">
        <v>605.32000000000005</v>
      </c>
      <c r="D474" s="5">
        <v>44158</v>
      </c>
      <c r="E474" t="str">
        <f>"20-26084"</f>
        <v>20-26084</v>
      </c>
      <c r="F474" t="str">
        <f>"Headsets Direct"</f>
        <v>Headsets Direct</v>
      </c>
      <c r="G474" s="1">
        <v>605.32000000000005</v>
      </c>
      <c r="H474" t="str">
        <f>"40203-14"</f>
        <v>40203-14</v>
      </c>
    </row>
    <row r="475" spans="1:8" x14ac:dyDescent="0.25">
      <c r="E475" t="str">
        <f>""</f>
        <v/>
      </c>
      <c r="F475" t="str">
        <f>""</f>
        <v/>
      </c>
      <c r="H475" t="str">
        <f>"80322-01"</f>
        <v>80322-01</v>
      </c>
    </row>
    <row r="476" spans="1:8" x14ac:dyDescent="0.25">
      <c r="E476" t="str">
        <f>""</f>
        <v/>
      </c>
      <c r="F476" t="str">
        <f>""</f>
        <v/>
      </c>
      <c r="H476" t="str">
        <f>"Freight"</f>
        <v>Freight</v>
      </c>
    </row>
    <row r="477" spans="1:8" x14ac:dyDescent="0.25">
      <c r="A477" t="s">
        <v>157</v>
      </c>
      <c r="B477">
        <v>133616</v>
      </c>
      <c r="C477" s="1">
        <v>498</v>
      </c>
      <c r="D477" s="5">
        <v>44144</v>
      </c>
      <c r="E477" t="str">
        <f>"045216A"</f>
        <v>045216A</v>
      </c>
      <c r="F477" t="str">
        <f>"SCHEDULE OF FINES"</f>
        <v>SCHEDULE OF FINES</v>
      </c>
      <c r="G477" s="1">
        <v>498</v>
      </c>
      <c r="H477" t="str">
        <f>"SCHEDULE OF FINES"</f>
        <v>SCHEDULE OF FINES</v>
      </c>
    </row>
    <row r="478" spans="1:8" x14ac:dyDescent="0.25">
      <c r="E478" t="str">
        <f>""</f>
        <v/>
      </c>
      <c r="F478" t="str">
        <f>""</f>
        <v/>
      </c>
      <c r="H478" t="str">
        <f>"SCHEDULE OF FINES"</f>
        <v>SCHEDULE OF FINES</v>
      </c>
    </row>
    <row r="479" spans="1:8" x14ac:dyDescent="0.25">
      <c r="E479" t="str">
        <f>""</f>
        <v/>
      </c>
      <c r="F479" t="str">
        <f>""</f>
        <v/>
      </c>
      <c r="H479" t="str">
        <f>"SCHEDULE OF FINES"</f>
        <v>SCHEDULE OF FINES</v>
      </c>
    </row>
    <row r="480" spans="1:8" x14ac:dyDescent="0.25">
      <c r="E480" t="str">
        <f>""</f>
        <v/>
      </c>
      <c r="F480" t="str">
        <f>""</f>
        <v/>
      </c>
      <c r="H480" t="str">
        <f>"SCHEDULE OF FINES"</f>
        <v>SCHEDULE OF FINES</v>
      </c>
    </row>
    <row r="481" spans="1:8" x14ac:dyDescent="0.25">
      <c r="A481" t="s">
        <v>158</v>
      </c>
      <c r="B481">
        <v>133762</v>
      </c>
      <c r="C481" s="1">
        <v>95</v>
      </c>
      <c r="D481" s="5">
        <v>44158</v>
      </c>
      <c r="E481" t="str">
        <f>"202011180227"</f>
        <v>202011180227</v>
      </c>
      <c r="F481" t="str">
        <f>"FERAL HOGS"</f>
        <v>FERAL HOGS</v>
      </c>
      <c r="G481" s="1">
        <v>95</v>
      </c>
      <c r="H481" t="str">
        <f>"FERAL HOGS"</f>
        <v>FERAL HOGS</v>
      </c>
    </row>
    <row r="482" spans="1:8" x14ac:dyDescent="0.25">
      <c r="A482" t="s">
        <v>159</v>
      </c>
      <c r="B482">
        <v>133617</v>
      </c>
      <c r="C482" s="1">
        <v>320.95999999999998</v>
      </c>
      <c r="D482" s="5">
        <v>44144</v>
      </c>
      <c r="E482" t="str">
        <f>"10812566"</f>
        <v>10812566</v>
      </c>
      <c r="F482" t="str">
        <f>"ACCT#0083705/CUST#3324/PCT#4"</f>
        <v>ACCT#0083705/CUST#3324/PCT#4</v>
      </c>
      <c r="G482" s="1">
        <v>320.95999999999998</v>
      </c>
      <c r="H482" t="str">
        <f>"ACCT#0083705/CUST#3324/PCT#4"</f>
        <v>ACCT#0083705/CUST#3324/PCT#4</v>
      </c>
    </row>
    <row r="483" spans="1:8" x14ac:dyDescent="0.25">
      <c r="A483" t="s">
        <v>160</v>
      </c>
      <c r="B483">
        <v>3578</v>
      </c>
      <c r="C483" s="1">
        <v>650</v>
      </c>
      <c r="D483" s="5">
        <v>44159</v>
      </c>
      <c r="E483" t="str">
        <f>"202011170094"</f>
        <v>202011170094</v>
      </c>
      <c r="F483" t="str">
        <f>"BASCOM L HODGES JR"</f>
        <v>BASCOM L HODGES JR</v>
      </c>
      <c r="G483" s="1">
        <v>650</v>
      </c>
      <c r="H483" t="str">
        <f>""</f>
        <v/>
      </c>
    </row>
    <row r="484" spans="1:8" x14ac:dyDescent="0.25">
      <c r="A484" t="s">
        <v>161</v>
      </c>
      <c r="B484">
        <v>133618</v>
      </c>
      <c r="C484" s="1">
        <v>1787.5</v>
      </c>
      <c r="D484" s="5">
        <v>44144</v>
      </c>
      <c r="E484" t="str">
        <f>"202010279783"</f>
        <v>202010279783</v>
      </c>
      <c r="F484" t="str">
        <f>"423-4129"</f>
        <v>423-4129</v>
      </c>
      <c r="G484" s="1">
        <v>100</v>
      </c>
      <c r="H484" t="str">
        <f>"423-4129"</f>
        <v>423-4129</v>
      </c>
    </row>
    <row r="485" spans="1:8" x14ac:dyDescent="0.25">
      <c r="E485" t="str">
        <f>"202010299807"</f>
        <v>202010299807</v>
      </c>
      <c r="F485" t="str">
        <f>"423-3804"</f>
        <v>423-3804</v>
      </c>
      <c r="G485" s="1">
        <v>100</v>
      </c>
      <c r="H485" t="str">
        <f>"423-3804"</f>
        <v>423-3804</v>
      </c>
    </row>
    <row r="486" spans="1:8" x14ac:dyDescent="0.25">
      <c r="E486" t="str">
        <f>"202011039928"</f>
        <v>202011039928</v>
      </c>
      <c r="F486" t="str">
        <f>"57 081"</f>
        <v>57 081</v>
      </c>
      <c r="G486" s="1">
        <v>250</v>
      </c>
      <c r="H486" t="str">
        <f>"57 081"</f>
        <v>57 081</v>
      </c>
    </row>
    <row r="487" spans="1:8" x14ac:dyDescent="0.25">
      <c r="E487" t="str">
        <f>"202011039929"</f>
        <v>202011039929</v>
      </c>
      <c r="F487" t="str">
        <f>"20-20377"</f>
        <v>20-20377</v>
      </c>
      <c r="G487" s="1">
        <v>212.5</v>
      </c>
      <c r="H487" t="str">
        <f>"20-20377"</f>
        <v>20-20377</v>
      </c>
    </row>
    <row r="488" spans="1:8" x14ac:dyDescent="0.25">
      <c r="E488" t="str">
        <f>"202011039930"</f>
        <v>202011039930</v>
      </c>
      <c r="F488" t="str">
        <f>"20-20054"</f>
        <v>20-20054</v>
      </c>
      <c r="G488" s="1">
        <v>212.5</v>
      </c>
      <c r="H488" t="str">
        <f>"20-20054"</f>
        <v>20-20054</v>
      </c>
    </row>
    <row r="489" spans="1:8" x14ac:dyDescent="0.25">
      <c r="E489" t="str">
        <f>"202011039931"</f>
        <v>202011039931</v>
      </c>
      <c r="F489" t="str">
        <f>"16-17978"</f>
        <v>16-17978</v>
      </c>
      <c r="G489" s="1">
        <v>250</v>
      </c>
      <c r="H489" t="str">
        <f>"16-17978"</f>
        <v>16-17978</v>
      </c>
    </row>
    <row r="490" spans="1:8" x14ac:dyDescent="0.25">
      <c r="E490" t="str">
        <f>"202011039932"</f>
        <v>202011039932</v>
      </c>
      <c r="F490" t="str">
        <f>"19-19954"</f>
        <v>19-19954</v>
      </c>
      <c r="G490" s="1">
        <v>250</v>
      </c>
      <c r="H490" t="str">
        <f>"19-19954"</f>
        <v>19-19954</v>
      </c>
    </row>
    <row r="491" spans="1:8" x14ac:dyDescent="0.25">
      <c r="E491" t="str">
        <f>"202011049979"</f>
        <v>202011049979</v>
      </c>
      <c r="F491" t="str">
        <f>"19-19456"</f>
        <v>19-19456</v>
      </c>
      <c r="G491" s="1">
        <v>412.5</v>
      </c>
      <c r="H491" t="str">
        <f>"19-19456"</f>
        <v>19-19456</v>
      </c>
    </row>
    <row r="492" spans="1:8" x14ac:dyDescent="0.25">
      <c r="A492" t="s">
        <v>161</v>
      </c>
      <c r="B492">
        <v>133763</v>
      </c>
      <c r="C492" s="1">
        <v>1037.5</v>
      </c>
      <c r="D492" s="5">
        <v>44158</v>
      </c>
      <c r="E492" t="str">
        <f>"202011180123"</f>
        <v>202011180123</v>
      </c>
      <c r="F492" t="str">
        <f>"56 928"</f>
        <v>56 928</v>
      </c>
      <c r="G492" s="1">
        <v>250</v>
      </c>
      <c r="H492" t="str">
        <f>"56 928"</f>
        <v>56 928</v>
      </c>
    </row>
    <row r="493" spans="1:8" x14ac:dyDescent="0.25">
      <c r="E493" t="str">
        <f>"202011180124"</f>
        <v>202011180124</v>
      </c>
      <c r="F493" t="str">
        <f>"57 084"</f>
        <v>57 084</v>
      </c>
      <c r="G493" s="1">
        <v>250</v>
      </c>
      <c r="H493" t="str">
        <f>"57 084"</f>
        <v>57 084</v>
      </c>
    </row>
    <row r="494" spans="1:8" x14ac:dyDescent="0.25">
      <c r="E494" t="str">
        <f>"202011180125"</f>
        <v>202011180125</v>
      </c>
      <c r="F494" t="str">
        <f>"57 212"</f>
        <v>57 212</v>
      </c>
      <c r="G494" s="1">
        <v>250</v>
      </c>
      <c r="H494" t="str">
        <f>"57 212"</f>
        <v>57 212</v>
      </c>
    </row>
    <row r="495" spans="1:8" x14ac:dyDescent="0.25">
      <c r="E495" t="str">
        <f>"202011180126"</f>
        <v>202011180126</v>
      </c>
      <c r="F495" t="str">
        <f>"20-20448"</f>
        <v>20-20448</v>
      </c>
      <c r="G495" s="1">
        <v>287.5</v>
      </c>
      <c r="H495" t="str">
        <f>"20-20448"</f>
        <v>20-20448</v>
      </c>
    </row>
    <row r="496" spans="1:8" x14ac:dyDescent="0.25">
      <c r="A496" t="s">
        <v>162</v>
      </c>
      <c r="B496">
        <v>133619</v>
      </c>
      <c r="C496" s="1">
        <v>135</v>
      </c>
      <c r="D496" s="5">
        <v>44144</v>
      </c>
      <c r="E496" t="str">
        <f>"202011039972"</f>
        <v>202011039972</v>
      </c>
      <c r="F496" t="str">
        <f>"PER DIEM"</f>
        <v>PER DIEM</v>
      </c>
      <c r="G496" s="1">
        <v>135</v>
      </c>
      <c r="H496" t="str">
        <f>"PER DIEM"</f>
        <v>PER DIEM</v>
      </c>
    </row>
    <row r="497" spans="1:8" x14ac:dyDescent="0.25">
      <c r="A497" t="s">
        <v>163</v>
      </c>
      <c r="B497">
        <v>3577</v>
      </c>
      <c r="C497" s="1">
        <v>2641.44</v>
      </c>
      <c r="D497" s="5">
        <v>44159</v>
      </c>
      <c r="E497" t="str">
        <f>"PIM60040882"</f>
        <v>PIM60040882</v>
      </c>
      <c r="F497" t="str">
        <f>"CUST#0129200/PCT#4"</f>
        <v>CUST#0129200/PCT#4</v>
      </c>
      <c r="G497" s="1">
        <v>1314.8</v>
      </c>
      <c r="H497" t="str">
        <f>"CUST#0129200/PCT#4"</f>
        <v>CUST#0129200/PCT#4</v>
      </c>
    </row>
    <row r="498" spans="1:8" x14ac:dyDescent="0.25">
      <c r="E498" t="str">
        <f>"PIMA0343280"</f>
        <v>PIMA0343280</v>
      </c>
      <c r="F498" t="str">
        <f>"CUST#0129200/PCT#4"</f>
        <v>CUST#0129200/PCT#4</v>
      </c>
      <c r="G498" s="1">
        <v>1326.64</v>
      </c>
      <c r="H498" t="str">
        <f>"CUST#0129200/PCT#4"</f>
        <v>CUST#0129200/PCT#4</v>
      </c>
    </row>
    <row r="499" spans="1:8" x14ac:dyDescent="0.25">
      <c r="A499" t="s">
        <v>164</v>
      </c>
      <c r="B499">
        <v>133620</v>
      </c>
      <c r="C499" s="1">
        <v>1716.73</v>
      </c>
      <c r="D499" s="5">
        <v>44144</v>
      </c>
      <c r="E499" t="str">
        <f>"202011039895"</f>
        <v>202011039895</v>
      </c>
      <c r="F499" t="str">
        <f>"Monthly Statement"</f>
        <v>Monthly Statement</v>
      </c>
      <c r="G499" s="1">
        <v>1716.73</v>
      </c>
      <c r="H499" t="str">
        <f>"5534280"</f>
        <v>5534280</v>
      </c>
    </row>
    <row r="500" spans="1:8" x14ac:dyDescent="0.25">
      <c r="E500" t="str">
        <f>""</f>
        <v/>
      </c>
      <c r="F500" t="str">
        <f>""</f>
        <v/>
      </c>
      <c r="H500" t="str">
        <f>"3010134"</f>
        <v>3010134</v>
      </c>
    </row>
    <row r="501" spans="1:8" x14ac:dyDescent="0.25">
      <c r="E501" t="str">
        <f>""</f>
        <v/>
      </c>
      <c r="F501" t="str">
        <f>""</f>
        <v/>
      </c>
      <c r="H501" t="str">
        <f>"1092860"</f>
        <v>1092860</v>
      </c>
    </row>
    <row r="502" spans="1:8" x14ac:dyDescent="0.25">
      <c r="E502" t="str">
        <f>""</f>
        <v/>
      </c>
      <c r="F502" t="str">
        <f>""</f>
        <v/>
      </c>
      <c r="H502" t="str">
        <f>"9534642"</f>
        <v>9534642</v>
      </c>
    </row>
    <row r="503" spans="1:8" x14ac:dyDescent="0.25">
      <c r="E503" t="str">
        <f>""</f>
        <v/>
      </c>
      <c r="F503" t="str">
        <f>""</f>
        <v/>
      </c>
      <c r="H503" t="str">
        <f>"4150555"</f>
        <v>4150555</v>
      </c>
    </row>
    <row r="504" spans="1:8" x14ac:dyDescent="0.25">
      <c r="E504" t="str">
        <f>""</f>
        <v/>
      </c>
      <c r="F504" t="str">
        <f>""</f>
        <v/>
      </c>
      <c r="H504" t="str">
        <f>"8140809"</f>
        <v>8140809</v>
      </c>
    </row>
    <row r="505" spans="1:8" x14ac:dyDescent="0.25">
      <c r="E505" t="str">
        <f>""</f>
        <v/>
      </c>
      <c r="F505" t="str">
        <f>""</f>
        <v/>
      </c>
      <c r="H505" t="str">
        <f>"9534642"</f>
        <v>9534642</v>
      </c>
    </row>
    <row r="506" spans="1:8" x14ac:dyDescent="0.25">
      <c r="E506" t="str">
        <f>""</f>
        <v/>
      </c>
      <c r="F506" t="str">
        <f>""</f>
        <v/>
      </c>
      <c r="H506" t="str">
        <f>"8140809"</f>
        <v>8140809</v>
      </c>
    </row>
    <row r="507" spans="1:8" x14ac:dyDescent="0.25">
      <c r="E507" t="str">
        <f>""</f>
        <v/>
      </c>
      <c r="F507" t="str">
        <f>""</f>
        <v/>
      </c>
      <c r="H507" t="str">
        <f>"4523474"</f>
        <v>4523474</v>
      </c>
    </row>
    <row r="508" spans="1:8" x14ac:dyDescent="0.25">
      <c r="E508" t="str">
        <f>""</f>
        <v/>
      </c>
      <c r="F508" t="str">
        <f>""</f>
        <v/>
      </c>
      <c r="H508" t="str">
        <f>"3535087"</f>
        <v>3535087</v>
      </c>
    </row>
    <row r="509" spans="1:8" x14ac:dyDescent="0.25">
      <c r="E509" t="str">
        <f>""</f>
        <v/>
      </c>
      <c r="F509" t="str">
        <f>""</f>
        <v/>
      </c>
      <c r="H509" t="str">
        <f>"2541087"</f>
        <v>2541087</v>
      </c>
    </row>
    <row r="510" spans="1:8" x14ac:dyDescent="0.25">
      <c r="E510" t="str">
        <f>""</f>
        <v/>
      </c>
      <c r="F510" t="str">
        <f>""</f>
        <v/>
      </c>
      <c r="H510" t="str">
        <f>"3100020"</f>
        <v>3100020</v>
      </c>
    </row>
    <row r="511" spans="1:8" x14ac:dyDescent="0.25">
      <c r="E511" t="str">
        <f>""</f>
        <v/>
      </c>
      <c r="F511" t="str">
        <f>""</f>
        <v/>
      </c>
      <c r="H511" t="str">
        <f>"9150523"</f>
        <v>9150523</v>
      </c>
    </row>
    <row r="512" spans="1:8" x14ac:dyDescent="0.25">
      <c r="E512" t="str">
        <f>""</f>
        <v/>
      </c>
      <c r="F512" t="str">
        <f>""</f>
        <v/>
      </c>
      <c r="H512" t="str">
        <f>"9541294"</f>
        <v>9541294</v>
      </c>
    </row>
    <row r="513" spans="1:8" x14ac:dyDescent="0.25">
      <c r="E513" t="str">
        <f>""</f>
        <v/>
      </c>
      <c r="F513" t="str">
        <f>""</f>
        <v/>
      </c>
      <c r="H513" t="str">
        <f>"8912616"</f>
        <v>8912616</v>
      </c>
    </row>
    <row r="514" spans="1:8" x14ac:dyDescent="0.25">
      <c r="E514" t="str">
        <f>""</f>
        <v/>
      </c>
      <c r="F514" t="str">
        <f>""</f>
        <v/>
      </c>
      <c r="H514" t="str">
        <f>"8535388"</f>
        <v>8535388</v>
      </c>
    </row>
    <row r="515" spans="1:8" x14ac:dyDescent="0.25">
      <c r="E515" t="str">
        <f>""</f>
        <v/>
      </c>
      <c r="F515" t="str">
        <f>""</f>
        <v/>
      </c>
      <c r="H515" t="str">
        <f>"7024130"</f>
        <v>7024130</v>
      </c>
    </row>
    <row r="516" spans="1:8" x14ac:dyDescent="0.25">
      <c r="E516" t="str">
        <f>""</f>
        <v/>
      </c>
      <c r="F516" t="str">
        <f>""</f>
        <v/>
      </c>
      <c r="H516" t="str">
        <f>"7012223"</f>
        <v>7012223</v>
      </c>
    </row>
    <row r="517" spans="1:8" x14ac:dyDescent="0.25">
      <c r="A517" t="s">
        <v>165</v>
      </c>
      <c r="B517">
        <v>3571</v>
      </c>
      <c r="C517" s="1">
        <v>305</v>
      </c>
      <c r="D517" s="5">
        <v>44159</v>
      </c>
      <c r="E517" t="str">
        <f>"0551815069"</f>
        <v>0551815069</v>
      </c>
      <c r="F517" t="str">
        <f>"ORD#212645-0001/601 COOL WATER"</f>
        <v>ORD#212645-0001/601 COOL WATER</v>
      </c>
      <c r="G517" s="1">
        <v>90</v>
      </c>
      <c r="H517" t="str">
        <f>"ORD#212645-0001/601 COOL WATER"</f>
        <v>ORD#212645-0001/601 COOL WATER</v>
      </c>
    </row>
    <row r="518" spans="1:8" x14ac:dyDescent="0.25">
      <c r="E518" t="str">
        <f>"0551817015"</f>
        <v>0551817015</v>
      </c>
      <c r="F518" t="str">
        <f>"ORD#212645-0002/375 RIVERSIDE"</f>
        <v>ORD#212645-0002/375 RIVERSIDE</v>
      </c>
      <c r="G518" s="1">
        <v>215</v>
      </c>
      <c r="H518" t="str">
        <f>"ORD#212645-0002/375 RIVERSIDE"</f>
        <v>ORD#212645-0002/375 RIVERSIDE</v>
      </c>
    </row>
    <row r="519" spans="1:8" x14ac:dyDescent="0.25">
      <c r="A519" t="s">
        <v>166</v>
      </c>
      <c r="B519">
        <v>133621</v>
      </c>
      <c r="C519" s="1">
        <v>17</v>
      </c>
      <c r="D519" s="5">
        <v>44144</v>
      </c>
      <c r="E519" t="str">
        <f>"14382"</f>
        <v>14382</v>
      </c>
      <c r="F519" t="str">
        <f>"EMBROIDERY/PCT#1"</f>
        <v>EMBROIDERY/PCT#1</v>
      </c>
      <c r="G519" s="1">
        <v>17</v>
      </c>
      <c r="H519" t="str">
        <f>"EMBROIDERY/PCT#1"</f>
        <v>EMBROIDERY/PCT#1</v>
      </c>
    </row>
    <row r="520" spans="1:8" x14ac:dyDescent="0.25">
      <c r="A520" t="s">
        <v>167</v>
      </c>
      <c r="B520">
        <v>133765</v>
      </c>
      <c r="C520" s="1">
        <v>3076</v>
      </c>
      <c r="D520" s="5">
        <v>44158</v>
      </c>
      <c r="E520" t="str">
        <f>"2501"</f>
        <v>2501</v>
      </c>
      <c r="F520" t="str">
        <f>"VACCINATIONS"</f>
        <v>VACCINATIONS</v>
      </c>
      <c r="G520" s="1">
        <v>3076</v>
      </c>
      <c r="H520" t="str">
        <f>"VACCINATIONS"</f>
        <v>VACCINATIONS</v>
      </c>
    </row>
    <row r="521" spans="1:8" x14ac:dyDescent="0.25">
      <c r="A521" t="s">
        <v>168</v>
      </c>
      <c r="B521">
        <v>133766</v>
      </c>
      <c r="C521" s="1">
        <v>617.5</v>
      </c>
      <c r="D521" s="5">
        <v>44158</v>
      </c>
      <c r="E521" t="str">
        <f>"SL2020_10_00338"</f>
        <v>SL2020_10_00338</v>
      </c>
      <c r="F521" t="str">
        <f>"VARIABLE/ANIMAL CONTROL"</f>
        <v>VARIABLE/ANIMAL CONTROL</v>
      </c>
      <c r="G521" s="1">
        <v>617.5</v>
      </c>
      <c r="H521" t="str">
        <f>"VARIABLE/ANIMAL CONTROL"</f>
        <v>VARIABLE/ANIMAL CONTROL</v>
      </c>
    </row>
    <row r="522" spans="1:8" x14ac:dyDescent="0.25">
      <c r="A522" t="s">
        <v>169</v>
      </c>
      <c r="B522">
        <v>3540</v>
      </c>
      <c r="C522" s="1">
        <v>525</v>
      </c>
      <c r="D522" s="5">
        <v>44159</v>
      </c>
      <c r="E522" t="str">
        <f>"204981"</f>
        <v>204981</v>
      </c>
      <c r="F522" t="str">
        <f>"CYLINDER REPAIR"</f>
        <v>CYLINDER REPAIR</v>
      </c>
      <c r="G522" s="1">
        <v>350</v>
      </c>
      <c r="H522" t="str">
        <f>"CYLINDER REPAIR"</f>
        <v>CYLINDER REPAIR</v>
      </c>
    </row>
    <row r="523" spans="1:8" x14ac:dyDescent="0.25">
      <c r="E523" t="str">
        <f>"205343"</f>
        <v>205343</v>
      </c>
      <c r="F523" t="str">
        <f>"CYLINDER REPAIR/PCT#1"</f>
        <v>CYLINDER REPAIR/PCT#1</v>
      </c>
      <c r="G523" s="1">
        <v>175</v>
      </c>
      <c r="H523" t="str">
        <f>"CYLINDER REPAIR/PCT#1"</f>
        <v>CYLINDER REPAIR/PCT#1</v>
      </c>
    </row>
    <row r="524" spans="1:8" x14ac:dyDescent="0.25">
      <c r="A524" t="s">
        <v>170</v>
      </c>
      <c r="B524">
        <v>133767</v>
      </c>
      <c r="C524" s="1">
        <v>201</v>
      </c>
      <c r="D524" s="5">
        <v>44158</v>
      </c>
      <c r="E524" t="str">
        <f>"3073755212"</f>
        <v>3073755212</v>
      </c>
      <c r="F524" t="str">
        <f>"ACCT#187947/ANIMAL CONTROL"</f>
        <v>ACCT#187947/ANIMAL CONTROL</v>
      </c>
      <c r="G524" s="1">
        <v>201</v>
      </c>
      <c r="H524" t="str">
        <f>"ACCT#187947/ANIMAL CONTROL"</f>
        <v>ACCT#187947/ANIMAL CONTROL</v>
      </c>
    </row>
    <row r="525" spans="1:8" x14ac:dyDescent="0.25">
      <c r="A525" t="s">
        <v>171</v>
      </c>
      <c r="B525">
        <v>133768</v>
      </c>
      <c r="C525" s="1">
        <v>4300</v>
      </c>
      <c r="D525" s="5">
        <v>44158</v>
      </c>
      <c r="E525" t="str">
        <f>"1844727"</f>
        <v>1844727</v>
      </c>
      <c r="F525" t="str">
        <f>"RHODIUM 5-24 USER"</f>
        <v>RHODIUM 5-24 USER</v>
      </c>
      <c r="G525" s="1">
        <v>4300</v>
      </c>
      <c r="H525" t="str">
        <f>"RHODIUM 5-24 USER"</f>
        <v>RHODIUM 5-24 USER</v>
      </c>
    </row>
    <row r="526" spans="1:8" x14ac:dyDescent="0.25">
      <c r="A526" t="s">
        <v>172</v>
      </c>
      <c r="B526">
        <v>3581</v>
      </c>
      <c r="C526" s="1">
        <v>2430</v>
      </c>
      <c r="D526" s="5">
        <v>44159</v>
      </c>
      <c r="E526" t="str">
        <f>"70704"</f>
        <v>70704</v>
      </c>
      <c r="F526" t="str">
        <f>"PROF SVCS - DECEMBER 2020"</f>
        <v>PROF SVCS - DECEMBER 2020</v>
      </c>
      <c r="G526" s="1">
        <v>2430</v>
      </c>
      <c r="H526" t="str">
        <f>"PROF SVCS - DECEMBER 2020"</f>
        <v>PROF SVCS - DECEMBER 2020</v>
      </c>
    </row>
    <row r="527" spans="1:8" x14ac:dyDescent="0.25">
      <c r="E527" t="str">
        <f>""</f>
        <v/>
      </c>
      <c r="F527" t="str">
        <f>""</f>
        <v/>
      </c>
      <c r="H527" t="str">
        <f>"PROF SVCS - DECEMBER 2020"</f>
        <v>PROF SVCS - DECEMBER 2020</v>
      </c>
    </row>
    <row r="528" spans="1:8" x14ac:dyDescent="0.25">
      <c r="A528" t="s">
        <v>173</v>
      </c>
      <c r="B528">
        <v>3558</v>
      </c>
      <c r="C528" s="1">
        <v>205.19</v>
      </c>
      <c r="D528" s="5">
        <v>44159</v>
      </c>
      <c r="E528" t="str">
        <f>"168950A"</f>
        <v>168950A</v>
      </c>
      <c r="F528" t="str">
        <f>"CUST#31226"</f>
        <v>CUST#31226</v>
      </c>
      <c r="G528" s="1">
        <v>205.19</v>
      </c>
      <c r="H528" t="str">
        <f>"CUST#31226"</f>
        <v>CUST#31226</v>
      </c>
    </row>
    <row r="529" spans="1:8" x14ac:dyDescent="0.25">
      <c r="A529" t="s">
        <v>174</v>
      </c>
      <c r="B529">
        <v>133769</v>
      </c>
      <c r="C529" s="1">
        <v>455</v>
      </c>
      <c r="D529" s="5">
        <v>44158</v>
      </c>
      <c r="E529" t="str">
        <f>"202011180181"</f>
        <v>202011180181</v>
      </c>
      <c r="F529" t="str">
        <f>"MEMBER ID:316552"</f>
        <v>MEMBER ID:316552</v>
      </c>
      <c r="G529" s="1">
        <v>455</v>
      </c>
      <c r="H529" t="str">
        <f>"MEMBER ID:316552"</f>
        <v>MEMBER ID:316552</v>
      </c>
    </row>
    <row r="530" spans="1:8" x14ac:dyDescent="0.25">
      <c r="A530" t="s">
        <v>175</v>
      </c>
      <c r="B530">
        <v>133770</v>
      </c>
      <c r="C530" s="1">
        <v>171.04</v>
      </c>
      <c r="D530" s="5">
        <v>44158</v>
      </c>
      <c r="E530" t="str">
        <f>"DBCL219"</f>
        <v>DBCL219</v>
      </c>
      <c r="F530" t="str">
        <f>"CUST ID:AX773/COUNTY CLERK"</f>
        <v>CUST ID:AX773/COUNTY CLERK</v>
      </c>
      <c r="G530" s="1">
        <v>171.04</v>
      </c>
      <c r="H530" t="str">
        <f>"CUST ID:AX773/COUNTY CLERK"</f>
        <v>CUST ID:AX773/COUNTY CLERK</v>
      </c>
    </row>
    <row r="531" spans="1:8" x14ac:dyDescent="0.25">
      <c r="A531" t="s">
        <v>176</v>
      </c>
      <c r="B531">
        <v>133622</v>
      </c>
      <c r="C531" s="1">
        <v>250</v>
      </c>
      <c r="D531" s="5">
        <v>44144</v>
      </c>
      <c r="E531" t="str">
        <f>"202011039933"</f>
        <v>202011039933</v>
      </c>
      <c r="F531" t="str">
        <f>"57 143"</f>
        <v>57 143</v>
      </c>
      <c r="G531" s="1">
        <v>250</v>
      </c>
      <c r="H531" t="str">
        <f>"57 143"</f>
        <v>57 143</v>
      </c>
    </row>
    <row r="532" spans="1:8" x14ac:dyDescent="0.25">
      <c r="A532" t="s">
        <v>177</v>
      </c>
      <c r="B532">
        <v>3567</v>
      </c>
      <c r="C532" s="1">
        <v>59.5</v>
      </c>
      <c r="D532" s="5">
        <v>44159</v>
      </c>
      <c r="E532" t="str">
        <f>"202011170078"</f>
        <v>202011170078</v>
      </c>
      <c r="F532" t="str">
        <f>"REIMBURSE MEDICATION"</f>
        <v>REIMBURSE MEDICATION</v>
      </c>
      <c r="G532" s="1">
        <v>59.5</v>
      </c>
      <c r="H532" t="str">
        <f>"REIMBURSE MEDICATION"</f>
        <v>REIMBURSE MEDICATION</v>
      </c>
    </row>
    <row r="533" spans="1:8" x14ac:dyDescent="0.25">
      <c r="A533" t="s">
        <v>178</v>
      </c>
      <c r="B533">
        <v>133771</v>
      </c>
      <c r="C533" s="1">
        <v>10</v>
      </c>
      <c r="D533" s="5">
        <v>44158</v>
      </c>
      <c r="E533" t="str">
        <f>"202011180228"</f>
        <v>202011180228</v>
      </c>
      <c r="F533" t="str">
        <f>"FERAL HOGS"</f>
        <v>FERAL HOGS</v>
      </c>
      <c r="G533" s="1">
        <v>10</v>
      </c>
      <c r="H533" t="str">
        <f>"FERAL HOGS"</f>
        <v>FERAL HOGS</v>
      </c>
    </row>
    <row r="534" spans="1:8" x14ac:dyDescent="0.25">
      <c r="A534" t="s">
        <v>179</v>
      </c>
      <c r="B534">
        <v>133772</v>
      </c>
      <c r="C534" s="1">
        <v>49</v>
      </c>
      <c r="D534" s="5">
        <v>44158</v>
      </c>
      <c r="E534" t="str">
        <f>"202011180176"</f>
        <v>202011180176</v>
      </c>
      <c r="F534" t="str">
        <f>"CUST ID:08176/PCT#4"</f>
        <v>CUST ID:08176/PCT#4</v>
      </c>
      <c r="G534" s="1">
        <v>49</v>
      </c>
      <c r="H534" t="str">
        <f>"CUST ID:08176/PCT#4"</f>
        <v>CUST ID:08176/PCT#4</v>
      </c>
    </row>
    <row r="535" spans="1:8" x14ac:dyDescent="0.25">
      <c r="A535" t="s">
        <v>180</v>
      </c>
      <c r="B535">
        <v>133773</v>
      </c>
      <c r="C535" s="1">
        <v>10</v>
      </c>
      <c r="D535" s="5">
        <v>44158</v>
      </c>
      <c r="E535" t="str">
        <f>"202011180229"</f>
        <v>202011180229</v>
      </c>
      <c r="F535" t="str">
        <f>"FERAL HOGS"</f>
        <v>FERAL HOGS</v>
      </c>
      <c r="G535" s="1">
        <v>10</v>
      </c>
      <c r="H535" t="str">
        <f>"FERAL HOGS"</f>
        <v>FERAL HOGS</v>
      </c>
    </row>
    <row r="536" spans="1:8" x14ac:dyDescent="0.25">
      <c r="A536" t="s">
        <v>181</v>
      </c>
      <c r="B536">
        <v>3518</v>
      </c>
      <c r="C536" s="1">
        <v>600</v>
      </c>
      <c r="D536" s="5">
        <v>44145</v>
      </c>
      <c r="E536" t="str">
        <f>"202011039969"</f>
        <v>202011039969</v>
      </c>
      <c r="F536" t="str">
        <f>"56 380"</f>
        <v>56 380</v>
      </c>
      <c r="G536" s="1">
        <v>250</v>
      </c>
      <c r="H536" t="str">
        <f>"56 380"</f>
        <v>56 380</v>
      </c>
    </row>
    <row r="537" spans="1:8" x14ac:dyDescent="0.25">
      <c r="E537" t="str">
        <f>"202011039970"</f>
        <v>202011039970</v>
      </c>
      <c r="F537" t="str">
        <f>"J-3226"</f>
        <v>J-3226</v>
      </c>
      <c r="G537" s="1">
        <v>250</v>
      </c>
      <c r="H537" t="str">
        <f>"J-3226"</f>
        <v>J-3226</v>
      </c>
    </row>
    <row r="538" spans="1:8" x14ac:dyDescent="0.25">
      <c r="E538" t="str">
        <f>"202011039971"</f>
        <v>202011039971</v>
      </c>
      <c r="F538" t="str">
        <f>"19-19954"</f>
        <v>19-19954</v>
      </c>
      <c r="G538" s="1">
        <v>100</v>
      </c>
      <c r="H538" t="str">
        <f>"19-19954"</f>
        <v>19-19954</v>
      </c>
    </row>
    <row r="539" spans="1:8" x14ac:dyDescent="0.25">
      <c r="A539" t="s">
        <v>181</v>
      </c>
      <c r="B539">
        <v>3592</v>
      </c>
      <c r="C539" s="1">
        <v>100</v>
      </c>
      <c r="D539" s="5">
        <v>44159</v>
      </c>
      <c r="E539" t="str">
        <f>"202011180171"</f>
        <v>202011180171</v>
      </c>
      <c r="F539" t="str">
        <f>"20-20049"</f>
        <v>20-20049</v>
      </c>
      <c r="G539" s="1">
        <v>100</v>
      </c>
      <c r="H539" t="str">
        <f>"20-20049"</f>
        <v>20-20049</v>
      </c>
    </row>
    <row r="540" spans="1:8" x14ac:dyDescent="0.25">
      <c r="A540" t="s">
        <v>182</v>
      </c>
      <c r="B540">
        <v>133774</v>
      </c>
      <c r="C540" s="1">
        <v>145</v>
      </c>
      <c r="D540" s="5">
        <v>44158</v>
      </c>
      <c r="E540" t="str">
        <f>"202011180230"</f>
        <v>202011180230</v>
      </c>
      <c r="F540" t="str">
        <f>"FERAL HOGS"</f>
        <v>FERAL HOGS</v>
      </c>
      <c r="G540" s="1">
        <v>145</v>
      </c>
      <c r="H540" t="str">
        <f>"FERAL HOGS"</f>
        <v>FERAL HOGS</v>
      </c>
    </row>
    <row r="541" spans="1:8" x14ac:dyDescent="0.25">
      <c r="A541" t="s">
        <v>183</v>
      </c>
      <c r="B541">
        <v>133775</v>
      </c>
      <c r="C541" s="1">
        <v>120</v>
      </c>
      <c r="D541" s="5">
        <v>44158</v>
      </c>
      <c r="E541" t="str">
        <f>"202011180231"</f>
        <v>202011180231</v>
      </c>
      <c r="F541" t="str">
        <f>"FERAL HOGS"</f>
        <v>FERAL HOGS</v>
      </c>
      <c r="G541" s="1">
        <v>120</v>
      </c>
      <c r="H541" t="str">
        <f>"FERAL HOGS"</f>
        <v>FERAL HOGS</v>
      </c>
    </row>
    <row r="542" spans="1:8" x14ac:dyDescent="0.25">
      <c r="A542" t="s">
        <v>184</v>
      </c>
      <c r="B542">
        <v>133623</v>
      </c>
      <c r="C542" s="1">
        <v>673.77</v>
      </c>
      <c r="D542" s="5">
        <v>44144</v>
      </c>
      <c r="E542" t="str">
        <f>"202010279785"</f>
        <v>202010279785</v>
      </c>
      <c r="F542" t="str">
        <f>"SALE OF IMPOUNDED STOCK"</f>
        <v>SALE OF IMPOUNDED STOCK</v>
      </c>
      <c r="G542" s="1">
        <v>673.77</v>
      </c>
      <c r="H542" t="str">
        <f>"SALE OF IMPOUNDED STOCK"</f>
        <v>SALE OF IMPOUNDED STOCK</v>
      </c>
    </row>
    <row r="543" spans="1:8" x14ac:dyDescent="0.25">
      <c r="A543" t="s">
        <v>185</v>
      </c>
      <c r="B543">
        <v>133776</v>
      </c>
      <c r="C543" s="1">
        <v>5</v>
      </c>
      <c r="D543" s="5">
        <v>44158</v>
      </c>
      <c r="E543" t="str">
        <f>"202011180232"</f>
        <v>202011180232</v>
      </c>
      <c r="F543" t="str">
        <f>"FERAL HOGS"</f>
        <v>FERAL HOGS</v>
      </c>
      <c r="G543" s="1">
        <v>5</v>
      </c>
      <c r="H543" t="str">
        <f>"FERAL HOGS"</f>
        <v>FERAL HOGS</v>
      </c>
    </row>
    <row r="544" spans="1:8" x14ac:dyDescent="0.25">
      <c r="A544" t="s">
        <v>186</v>
      </c>
      <c r="B544">
        <v>133777</v>
      </c>
      <c r="C544" s="1">
        <v>198.95</v>
      </c>
      <c r="D544" s="5">
        <v>44158</v>
      </c>
      <c r="E544" t="str">
        <f>"202011160012"</f>
        <v>202011160012</v>
      </c>
      <c r="F544" t="str">
        <f>"MILEAGE REIMBURSEMENT"</f>
        <v>MILEAGE REIMBURSEMENT</v>
      </c>
      <c r="G544" s="1">
        <v>198.95</v>
      </c>
      <c r="H544" t="str">
        <f>"MILEAGE REIMBURSEMENT"</f>
        <v>MILEAGE REIMBURSEMENT</v>
      </c>
    </row>
    <row r="545" spans="1:8" x14ac:dyDescent="0.25">
      <c r="A545" t="s">
        <v>187</v>
      </c>
      <c r="B545">
        <v>133624</v>
      </c>
      <c r="C545" s="1">
        <v>175</v>
      </c>
      <c r="D545" s="5">
        <v>44144</v>
      </c>
      <c r="E545" t="str">
        <f>"202010299810"</f>
        <v>202010299810</v>
      </c>
      <c r="F545" t="str">
        <f>"DEVLPMT PERMIT FEE REFUND"</f>
        <v>DEVLPMT PERMIT FEE REFUND</v>
      </c>
      <c r="G545" s="1">
        <v>175</v>
      </c>
      <c r="H545" t="str">
        <f>"DEVLPMT PERMIT FEE REFUND"</f>
        <v>DEVLPMT PERMIT FEE REFUND</v>
      </c>
    </row>
    <row r="546" spans="1:8" x14ac:dyDescent="0.25">
      <c r="A546" t="s">
        <v>188</v>
      </c>
      <c r="B546">
        <v>133778</v>
      </c>
      <c r="C546" s="1">
        <v>115</v>
      </c>
      <c r="D546" s="5">
        <v>44158</v>
      </c>
      <c r="E546" t="str">
        <f>"202011180233"</f>
        <v>202011180233</v>
      </c>
      <c r="F546" t="str">
        <f>"FERAL HOGS"</f>
        <v>FERAL HOGS</v>
      </c>
      <c r="G546" s="1">
        <v>115</v>
      </c>
      <c r="H546" t="str">
        <f>"FERAL HOGS"</f>
        <v>FERAL HOGS</v>
      </c>
    </row>
    <row r="547" spans="1:8" x14ac:dyDescent="0.25">
      <c r="A547" t="s">
        <v>189</v>
      </c>
      <c r="B547">
        <v>133625</v>
      </c>
      <c r="C547" s="1">
        <v>4787.5</v>
      </c>
      <c r="D547" s="5">
        <v>44144</v>
      </c>
      <c r="E547" t="str">
        <f>"202011039934"</f>
        <v>202011039934</v>
      </c>
      <c r="F547" t="str">
        <f>"20-20215"</f>
        <v>20-20215</v>
      </c>
      <c r="G547" s="1">
        <v>450</v>
      </c>
      <c r="H547" t="str">
        <f>"20-20215"</f>
        <v>20-20215</v>
      </c>
    </row>
    <row r="548" spans="1:8" x14ac:dyDescent="0.25">
      <c r="E548" t="str">
        <f>"202011039935"</f>
        <v>202011039935</v>
      </c>
      <c r="F548" t="str">
        <f>"19-19994"</f>
        <v>19-19994</v>
      </c>
      <c r="G548" s="1">
        <v>450</v>
      </c>
      <c r="H548" t="str">
        <f>"19-19994"</f>
        <v>19-19994</v>
      </c>
    </row>
    <row r="549" spans="1:8" x14ac:dyDescent="0.25">
      <c r="E549" t="str">
        <f>"202011039936"</f>
        <v>202011039936</v>
      </c>
      <c r="F549" t="str">
        <f>"20-20403"</f>
        <v>20-20403</v>
      </c>
      <c r="G549" s="1">
        <v>550</v>
      </c>
      <c r="H549" t="str">
        <f>"20-20403"</f>
        <v>20-20403</v>
      </c>
    </row>
    <row r="550" spans="1:8" x14ac:dyDescent="0.25">
      <c r="E550" t="str">
        <f>"202011039937"</f>
        <v>202011039937</v>
      </c>
      <c r="F550" t="str">
        <f>"19-19967"</f>
        <v>19-19967</v>
      </c>
      <c r="G550" s="1">
        <v>525</v>
      </c>
      <c r="H550" t="str">
        <f>"19-19967"</f>
        <v>19-19967</v>
      </c>
    </row>
    <row r="551" spans="1:8" x14ac:dyDescent="0.25">
      <c r="E551" t="str">
        <f>"202011039938"</f>
        <v>202011039938</v>
      </c>
      <c r="F551" t="str">
        <f>"20-20291"</f>
        <v>20-20291</v>
      </c>
      <c r="G551" s="1">
        <v>450</v>
      </c>
      <c r="H551" t="str">
        <f>"20-20291"</f>
        <v>20-20291</v>
      </c>
    </row>
    <row r="552" spans="1:8" x14ac:dyDescent="0.25">
      <c r="E552" t="str">
        <f>"202011039939"</f>
        <v>202011039939</v>
      </c>
      <c r="F552" t="str">
        <f>"20-20110"</f>
        <v>20-20110</v>
      </c>
      <c r="G552" s="1">
        <v>225</v>
      </c>
      <c r="H552" t="str">
        <f>"20-20110"</f>
        <v>20-20110</v>
      </c>
    </row>
    <row r="553" spans="1:8" x14ac:dyDescent="0.25">
      <c r="E553" t="str">
        <f>"202011039940"</f>
        <v>202011039940</v>
      </c>
      <c r="F553" t="str">
        <f>"19-19864"</f>
        <v>19-19864</v>
      </c>
      <c r="G553" s="1">
        <v>300</v>
      </c>
      <c r="H553" t="str">
        <f>"19-19864"</f>
        <v>19-19864</v>
      </c>
    </row>
    <row r="554" spans="1:8" x14ac:dyDescent="0.25">
      <c r="E554" t="str">
        <f>"202011039941"</f>
        <v>202011039941</v>
      </c>
      <c r="F554" t="str">
        <f>"19-19862"</f>
        <v>19-19862</v>
      </c>
      <c r="G554" s="1">
        <v>337.5</v>
      </c>
      <c r="H554" t="str">
        <f>"19-19862"</f>
        <v>19-19862</v>
      </c>
    </row>
    <row r="555" spans="1:8" x14ac:dyDescent="0.25">
      <c r="E555" t="str">
        <f>"202011039942"</f>
        <v>202011039942</v>
      </c>
      <c r="F555" t="str">
        <f>"20 20130"</f>
        <v>20 20130</v>
      </c>
      <c r="G555" s="1">
        <v>150</v>
      </c>
      <c r="H555" t="str">
        <f>"20 20130"</f>
        <v>20 20130</v>
      </c>
    </row>
    <row r="556" spans="1:8" x14ac:dyDescent="0.25">
      <c r="E556" t="str">
        <f>"202011039943"</f>
        <v>202011039943</v>
      </c>
      <c r="F556" t="str">
        <f>"20-20215"</f>
        <v>20-20215</v>
      </c>
      <c r="G556" s="1">
        <v>225</v>
      </c>
      <c r="H556" t="str">
        <f>"20-20215"</f>
        <v>20-20215</v>
      </c>
    </row>
    <row r="557" spans="1:8" x14ac:dyDescent="0.25">
      <c r="E557" t="str">
        <f>"202011039944"</f>
        <v>202011039944</v>
      </c>
      <c r="F557" t="str">
        <f>"20-20403"</f>
        <v>20-20403</v>
      </c>
      <c r="G557" s="1">
        <v>300</v>
      </c>
      <c r="H557" t="str">
        <f>"20-20403"</f>
        <v>20-20403</v>
      </c>
    </row>
    <row r="558" spans="1:8" x14ac:dyDescent="0.25">
      <c r="E558" t="str">
        <f>"202011039945"</f>
        <v>202011039945</v>
      </c>
      <c r="F558" t="str">
        <f>"20-20291"</f>
        <v>20-20291</v>
      </c>
      <c r="G558" s="1">
        <v>225</v>
      </c>
      <c r="H558" t="str">
        <f>"20-20291"</f>
        <v>20-20291</v>
      </c>
    </row>
    <row r="559" spans="1:8" x14ac:dyDescent="0.25">
      <c r="E559" t="str">
        <f>"202011039946"</f>
        <v>202011039946</v>
      </c>
      <c r="F559" t="str">
        <f>"19-19864"</f>
        <v>19-19864</v>
      </c>
      <c r="G559" s="1">
        <v>150</v>
      </c>
      <c r="H559" t="str">
        <f>"19-19864"</f>
        <v>19-19864</v>
      </c>
    </row>
    <row r="560" spans="1:8" x14ac:dyDescent="0.25">
      <c r="E560" t="str">
        <f>"202011049981"</f>
        <v>202011049981</v>
      </c>
      <c r="F560" t="str">
        <f>"19-19967"</f>
        <v>19-19967</v>
      </c>
      <c r="G560" s="1">
        <v>450</v>
      </c>
      <c r="H560" t="str">
        <f>"19-19967"</f>
        <v>19-19967</v>
      </c>
    </row>
    <row r="561" spans="1:8" x14ac:dyDescent="0.25">
      <c r="A561" t="s">
        <v>190</v>
      </c>
      <c r="B561">
        <v>133626</v>
      </c>
      <c r="C561" s="1">
        <v>740</v>
      </c>
      <c r="D561" s="5">
        <v>44144</v>
      </c>
      <c r="E561" t="str">
        <f>"202010299811"</f>
        <v>202010299811</v>
      </c>
      <c r="F561" t="str">
        <f>"DVLPMT &amp; SEPTIC PARTIAL REFUND"</f>
        <v>DVLPMT &amp; SEPTIC PARTIAL REFUND</v>
      </c>
      <c r="G561" s="1">
        <v>740</v>
      </c>
      <c r="H561" t="str">
        <f>"DVLPMT &amp; SEPTIC PARTIAL REFUND"</f>
        <v>DVLPMT &amp; SEPTIC PARTIAL REFUND</v>
      </c>
    </row>
    <row r="562" spans="1:8" x14ac:dyDescent="0.25">
      <c r="E562" t="str">
        <f>""</f>
        <v/>
      </c>
      <c r="F562" t="str">
        <f>""</f>
        <v/>
      </c>
      <c r="H562" t="str">
        <f>"DVLPMT &amp; SEPTIC PARTIAL REFUND"</f>
        <v>DVLPMT &amp; SEPTIC PARTIAL REFUND</v>
      </c>
    </row>
    <row r="563" spans="1:8" x14ac:dyDescent="0.25">
      <c r="A563" t="s">
        <v>191</v>
      </c>
      <c r="B563">
        <v>133779</v>
      </c>
      <c r="C563" s="1">
        <v>100</v>
      </c>
      <c r="D563" s="5">
        <v>44158</v>
      </c>
      <c r="E563" t="str">
        <f>"202011180234"</f>
        <v>202011180234</v>
      </c>
      <c r="F563" t="str">
        <f>"FERAL HOGS"</f>
        <v>FERAL HOGS</v>
      </c>
      <c r="G563" s="1">
        <v>100</v>
      </c>
      <c r="H563" t="str">
        <f>"FERAL HOGS"</f>
        <v>FERAL HOGS</v>
      </c>
    </row>
    <row r="564" spans="1:8" x14ac:dyDescent="0.25">
      <c r="A564" t="s">
        <v>192</v>
      </c>
      <c r="B564">
        <v>3514</v>
      </c>
      <c r="C564" s="1">
        <v>1100</v>
      </c>
      <c r="D564" s="5">
        <v>44145</v>
      </c>
      <c r="E564" t="str">
        <f>"202010279777"</f>
        <v>202010279777</v>
      </c>
      <c r="F564" t="str">
        <f>"20170506B"</f>
        <v>20170506B</v>
      </c>
      <c r="G564" s="1">
        <v>400</v>
      </c>
      <c r="H564" t="str">
        <f>"20170506B"</f>
        <v>20170506B</v>
      </c>
    </row>
    <row r="565" spans="1:8" x14ac:dyDescent="0.25">
      <c r="E565" t="str">
        <f>"202011029813"</f>
        <v>202011029813</v>
      </c>
      <c r="F565" t="str">
        <f>"423-7481"</f>
        <v>423-7481</v>
      </c>
      <c r="G565" s="1">
        <v>100</v>
      </c>
      <c r="H565" t="str">
        <f>"423-7481"</f>
        <v>423-7481</v>
      </c>
    </row>
    <row r="566" spans="1:8" x14ac:dyDescent="0.25">
      <c r="E566" t="str">
        <f>"202011029815"</f>
        <v>202011029815</v>
      </c>
      <c r="F566" t="str">
        <f>"DCPC-20-056"</f>
        <v>DCPC-20-056</v>
      </c>
      <c r="G566" s="1">
        <v>100</v>
      </c>
      <c r="H566" t="str">
        <f>"DCPC-20-056"</f>
        <v>DCPC-20-056</v>
      </c>
    </row>
    <row r="567" spans="1:8" x14ac:dyDescent="0.25">
      <c r="E567" t="str">
        <f>"202011029816"</f>
        <v>202011029816</v>
      </c>
      <c r="F567" t="str">
        <f>"423-7503 1636-21 1637-21 1640-"</f>
        <v>423-7503 1636-21 1637-21 1640-</v>
      </c>
      <c r="G567" s="1">
        <v>400</v>
      </c>
      <c r="H567" t="str">
        <f>"423-7503 1636-21 1637-21 1640-"</f>
        <v>423-7503 1636-21 1637-21 1640-</v>
      </c>
    </row>
    <row r="568" spans="1:8" x14ac:dyDescent="0.25">
      <c r="E568" t="str">
        <f>"202011039947"</f>
        <v>202011039947</v>
      </c>
      <c r="F568" t="str">
        <f>"20-20431"</f>
        <v>20-20431</v>
      </c>
      <c r="G568" s="1">
        <v>100</v>
      </c>
      <c r="H568" t="str">
        <f>"20-20431"</f>
        <v>20-20431</v>
      </c>
    </row>
    <row r="569" spans="1:8" x14ac:dyDescent="0.25">
      <c r="A569" t="s">
        <v>192</v>
      </c>
      <c r="B569">
        <v>3587</v>
      </c>
      <c r="C569" s="1">
        <v>600</v>
      </c>
      <c r="D569" s="5">
        <v>44159</v>
      </c>
      <c r="E569" t="str">
        <f>"202011170075"</f>
        <v>202011170075</v>
      </c>
      <c r="F569" t="str">
        <f>"423-7533"</f>
        <v>423-7533</v>
      </c>
      <c r="G569" s="1">
        <v>100</v>
      </c>
      <c r="H569" t="str">
        <f>"423-7533"</f>
        <v>423-7533</v>
      </c>
    </row>
    <row r="570" spans="1:8" x14ac:dyDescent="0.25">
      <c r="E570" t="str">
        <f>"202011180128"</f>
        <v>202011180128</v>
      </c>
      <c r="F570" t="str">
        <f>"57509  57510  JP108222020B"</f>
        <v>57509  57510  JP108222020B</v>
      </c>
      <c r="G570" s="1">
        <v>500</v>
      </c>
      <c r="H570" t="str">
        <f>"57509  57510  JP108222020B"</f>
        <v>57509  57510  JP108222020B</v>
      </c>
    </row>
    <row r="571" spans="1:8" x14ac:dyDescent="0.25">
      <c r="A571" t="s">
        <v>193</v>
      </c>
      <c r="B571">
        <v>133780</v>
      </c>
      <c r="C571" s="1">
        <v>160</v>
      </c>
      <c r="D571" s="5">
        <v>44158</v>
      </c>
      <c r="E571" t="str">
        <f>"202011180235"</f>
        <v>202011180235</v>
      </c>
      <c r="F571" t="str">
        <f>"FERAL HOGS"</f>
        <v>FERAL HOGS</v>
      </c>
      <c r="G571" s="1">
        <v>160</v>
      </c>
      <c r="H571" t="str">
        <f>"FERAL HOGS"</f>
        <v>FERAL HOGS</v>
      </c>
    </row>
    <row r="572" spans="1:8" x14ac:dyDescent="0.25">
      <c r="A572" t="s">
        <v>194</v>
      </c>
      <c r="B572">
        <v>133627</v>
      </c>
      <c r="C572" s="1">
        <v>837</v>
      </c>
      <c r="D572" s="5">
        <v>44144</v>
      </c>
      <c r="E572" t="str">
        <f>"202011029819"</f>
        <v>202011029819</v>
      </c>
      <c r="F572" t="str">
        <f>"423-2327"</f>
        <v>423-2327</v>
      </c>
      <c r="G572" s="1">
        <v>837</v>
      </c>
      <c r="H572" t="str">
        <f>"423-2327"</f>
        <v>423-2327</v>
      </c>
    </row>
    <row r="573" spans="1:8" x14ac:dyDescent="0.25">
      <c r="A573" t="s">
        <v>194</v>
      </c>
      <c r="B573">
        <v>133781</v>
      </c>
      <c r="C573" s="1">
        <v>1891.75</v>
      </c>
      <c r="D573" s="5">
        <v>44158</v>
      </c>
      <c r="E573" t="str">
        <f>"202011160051"</f>
        <v>202011160051</v>
      </c>
      <c r="F573" t="str">
        <f>"423-7276"</f>
        <v>423-7276</v>
      </c>
      <c r="G573" s="1">
        <v>82.5</v>
      </c>
      <c r="H573" t="str">
        <f>"423-7276"</f>
        <v>423-7276</v>
      </c>
    </row>
    <row r="574" spans="1:8" x14ac:dyDescent="0.25">
      <c r="E574" t="str">
        <f>"202011160052"</f>
        <v>202011160052</v>
      </c>
      <c r="F574" t="str">
        <f>"423-2327"</f>
        <v>423-2327</v>
      </c>
      <c r="G574" s="1">
        <v>378.75</v>
      </c>
      <c r="H574" t="str">
        <f>"423-2327"</f>
        <v>423-2327</v>
      </c>
    </row>
    <row r="575" spans="1:8" x14ac:dyDescent="0.25">
      <c r="E575" t="str">
        <f>"202011180129"</f>
        <v>202011180129</v>
      </c>
      <c r="F575" t="str">
        <f>"19-20022"</f>
        <v>19-20022</v>
      </c>
      <c r="G575" s="1">
        <v>699</v>
      </c>
      <c r="H575" t="str">
        <f>"19-20022"</f>
        <v>19-20022</v>
      </c>
    </row>
    <row r="576" spans="1:8" x14ac:dyDescent="0.25">
      <c r="E576" t="str">
        <f>"202011180130"</f>
        <v>202011180130</v>
      </c>
      <c r="F576" t="str">
        <f>"19-19967"</f>
        <v>19-19967</v>
      </c>
      <c r="G576" s="1">
        <v>94.5</v>
      </c>
      <c r="H576" t="str">
        <f>"19-19967"</f>
        <v>19-19967</v>
      </c>
    </row>
    <row r="577" spans="1:8" x14ac:dyDescent="0.25">
      <c r="E577" t="str">
        <f>"202011180131"</f>
        <v>202011180131</v>
      </c>
      <c r="F577" t="str">
        <f>"20-20454"</f>
        <v>20-20454</v>
      </c>
      <c r="G577" s="1">
        <v>489.75</v>
      </c>
      <c r="H577" t="str">
        <f>"20-20454"</f>
        <v>20-20454</v>
      </c>
    </row>
    <row r="578" spans="1:8" x14ac:dyDescent="0.25">
      <c r="E578" t="str">
        <f>"202011180132"</f>
        <v>202011180132</v>
      </c>
      <c r="F578" t="str">
        <f>"20-20060"</f>
        <v>20-20060</v>
      </c>
      <c r="G578" s="1">
        <v>147.25</v>
      </c>
      <c r="H578" t="str">
        <f>"20-20060"</f>
        <v>20-20060</v>
      </c>
    </row>
    <row r="579" spans="1:8" x14ac:dyDescent="0.25">
      <c r="A579" t="s">
        <v>195</v>
      </c>
      <c r="B579">
        <v>133782</v>
      </c>
      <c r="C579" s="1">
        <v>100</v>
      </c>
      <c r="D579" s="5">
        <v>44158</v>
      </c>
      <c r="E579" t="str">
        <f>"202011180236"</f>
        <v>202011180236</v>
      </c>
      <c r="F579" t="str">
        <f>"FERAL HOGS"</f>
        <v>FERAL HOGS</v>
      </c>
      <c r="G579" s="1">
        <v>100</v>
      </c>
      <c r="H579" t="str">
        <f>"FERAL HOGS"</f>
        <v>FERAL HOGS</v>
      </c>
    </row>
    <row r="580" spans="1:8" x14ac:dyDescent="0.25">
      <c r="A580" t="s">
        <v>196</v>
      </c>
      <c r="B580">
        <v>133783</v>
      </c>
      <c r="C580" s="1">
        <v>348.49</v>
      </c>
      <c r="D580" s="5">
        <v>44158</v>
      </c>
      <c r="E580" t="str">
        <f>"152000000171937"</f>
        <v>152000000171937</v>
      </c>
      <c r="F580" t="str">
        <f>"ACCT#1520-BA2437"</f>
        <v>ACCT#1520-BA2437</v>
      </c>
      <c r="G580" s="1">
        <v>348.49</v>
      </c>
      <c r="H580" t="str">
        <f>"ACCT#1520-BA2437"</f>
        <v>ACCT#1520-BA2437</v>
      </c>
    </row>
    <row r="581" spans="1:8" x14ac:dyDescent="0.25">
      <c r="A581" t="s">
        <v>197</v>
      </c>
      <c r="B581">
        <v>133784</v>
      </c>
      <c r="C581" s="1">
        <v>25</v>
      </c>
      <c r="D581" s="5">
        <v>44158</v>
      </c>
      <c r="E581" t="str">
        <f>"202011180237"</f>
        <v>202011180237</v>
      </c>
      <c r="F581" t="str">
        <f>"FERAL HOGS"</f>
        <v>FERAL HOGS</v>
      </c>
      <c r="G581" s="1">
        <v>25</v>
      </c>
      <c r="H581" t="str">
        <f>"FERAL HOGS"</f>
        <v>FERAL HOGS</v>
      </c>
    </row>
    <row r="582" spans="1:8" x14ac:dyDescent="0.25">
      <c r="A582" t="s">
        <v>198</v>
      </c>
      <c r="B582">
        <v>133785</v>
      </c>
      <c r="C582" s="1">
        <v>310</v>
      </c>
      <c r="D582" s="5">
        <v>44158</v>
      </c>
      <c r="E582" t="str">
        <f>"868425"</f>
        <v>868425</v>
      </c>
      <c r="F582" t="str">
        <f>"TRASH PICKUP/PCT#1"</f>
        <v>TRASH PICKUP/PCT#1</v>
      </c>
      <c r="G582" s="1">
        <v>310</v>
      </c>
      <c r="H582" t="str">
        <f>"TRASH PICKUP/PCT#1"</f>
        <v>TRASH PICKUP/PCT#1</v>
      </c>
    </row>
    <row r="583" spans="1:8" x14ac:dyDescent="0.25">
      <c r="A583" t="s">
        <v>199</v>
      </c>
      <c r="B583">
        <v>3506</v>
      </c>
      <c r="C583" s="1">
        <v>2717</v>
      </c>
      <c r="D583" s="5">
        <v>44145</v>
      </c>
      <c r="E583" t="str">
        <f>"373"</f>
        <v>373</v>
      </c>
      <c r="F583" t="str">
        <f>"TOWER RENT"</f>
        <v>TOWER RENT</v>
      </c>
      <c r="G583" s="1">
        <v>2717</v>
      </c>
      <c r="H583" t="str">
        <f>"TOWER RENT"</f>
        <v>TOWER RENT</v>
      </c>
    </row>
    <row r="584" spans="1:8" x14ac:dyDescent="0.25">
      <c r="A584" t="s">
        <v>200</v>
      </c>
      <c r="B584">
        <v>133628</v>
      </c>
      <c r="C584" s="1">
        <v>965</v>
      </c>
      <c r="D584" s="5">
        <v>44144</v>
      </c>
      <c r="E584" t="str">
        <f>"20985"</f>
        <v>20985</v>
      </c>
      <c r="F584" t="str">
        <f>"INV 20985"</f>
        <v>INV 20985</v>
      </c>
      <c r="G584" s="1">
        <v>965</v>
      </c>
      <c r="H584" t="str">
        <f>"INV 20985"</f>
        <v>INV 20985</v>
      </c>
    </row>
    <row r="585" spans="1:8" x14ac:dyDescent="0.25">
      <c r="A585" t="s">
        <v>201</v>
      </c>
      <c r="B585">
        <v>133786</v>
      </c>
      <c r="C585" s="1">
        <v>119.54</v>
      </c>
      <c r="D585" s="5">
        <v>44158</v>
      </c>
      <c r="E585" t="str">
        <f>"269685"</f>
        <v>269685</v>
      </c>
      <c r="F585" t="str">
        <f>"ACCT#BASCO1/PCT#1"</f>
        <v>ACCT#BASCO1/PCT#1</v>
      </c>
      <c r="G585" s="1">
        <v>119.54</v>
      </c>
      <c r="H585" t="str">
        <f>"ACCT#BASCO1/PCT#1"</f>
        <v>ACCT#BASCO1/PCT#1</v>
      </c>
    </row>
    <row r="586" spans="1:8" x14ac:dyDescent="0.25">
      <c r="A586" t="s">
        <v>202</v>
      </c>
      <c r="B586">
        <v>3482</v>
      </c>
      <c r="C586" s="1">
        <v>360</v>
      </c>
      <c r="D586" s="5">
        <v>44145</v>
      </c>
      <c r="E586" t="str">
        <f>"429965"</f>
        <v>429965</v>
      </c>
      <c r="F586" t="str">
        <f>"CUST#BASTROPCO/BILLING ERROR"</f>
        <v>CUST#BASTROPCO/BILLING ERROR</v>
      </c>
      <c r="G586" s="1">
        <v>-360</v>
      </c>
      <c r="H586" t="str">
        <f>"CUST#BASTROPCO/BILLING ERROR"</f>
        <v>CUST#BASTROPCO/BILLING ERROR</v>
      </c>
    </row>
    <row r="587" spans="1:8" x14ac:dyDescent="0.25">
      <c r="E587" t="str">
        <f>"277682"</f>
        <v>277682</v>
      </c>
      <c r="F587" t="str">
        <f>"MONITORING SVC/ANIMAL SHELTER"</f>
        <v>MONITORING SVC/ANIMAL SHELTER</v>
      </c>
      <c r="G587" s="1">
        <v>720</v>
      </c>
      <c r="H587" t="str">
        <f>"ORD#1269-G1205/ANIMAL SHELTER"</f>
        <v>ORD#1269-G1205/ANIMAL SHELTER</v>
      </c>
    </row>
    <row r="588" spans="1:8" x14ac:dyDescent="0.25">
      <c r="A588" t="s">
        <v>202</v>
      </c>
      <c r="B588">
        <v>3544</v>
      </c>
      <c r="C588" s="1">
        <v>720</v>
      </c>
      <c r="D588" s="5">
        <v>44159</v>
      </c>
      <c r="E588" t="str">
        <f>"278230"</f>
        <v>278230</v>
      </c>
      <c r="F588" t="str">
        <f>"ANNUAL FIRE PROT SVC-OCT-SEPT"</f>
        <v>ANNUAL FIRE PROT SVC-OCT-SEPT</v>
      </c>
      <c r="G588" s="1">
        <v>720</v>
      </c>
      <c r="H588" t="str">
        <f>"ANNUAL FIRE PROT SVC-OCT-SEPT"</f>
        <v>ANNUAL FIRE PROT SVC-OCT-SEPT</v>
      </c>
    </row>
    <row r="589" spans="1:8" x14ac:dyDescent="0.25">
      <c r="A589" t="s">
        <v>203</v>
      </c>
      <c r="B589">
        <v>133787</v>
      </c>
      <c r="C589" s="1">
        <v>75</v>
      </c>
      <c r="D589" s="5">
        <v>44158</v>
      </c>
      <c r="E589" t="str">
        <f>"202011180238"</f>
        <v>202011180238</v>
      </c>
      <c r="F589" t="str">
        <f>"FERAL HOGS"</f>
        <v>FERAL HOGS</v>
      </c>
      <c r="G589" s="1">
        <v>75</v>
      </c>
      <c r="H589" t="str">
        <f>"FERAL HOGS"</f>
        <v>FERAL HOGS</v>
      </c>
    </row>
    <row r="590" spans="1:8" x14ac:dyDescent="0.25">
      <c r="A590" t="s">
        <v>204</v>
      </c>
      <c r="B590">
        <v>133788</v>
      </c>
      <c r="C590" s="1">
        <v>77.87</v>
      </c>
      <c r="D590" s="5">
        <v>44158</v>
      </c>
      <c r="E590" t="str">
        <f>"R301013621:01"</f>
        <v>R301013621:01</v>
      </c>
      <c r="F590" t="str">
        <f>"JOB#1 06-00/PCT#1"</f>
        <v>JOB#1 06-00/PCT#1</v>
      </c>
      <c r="G590" s="1">
        <v>77.87</v>
      </c>
      <c r="H590" t="str">
        <f>"JOB#1 06-00/PCT#1"</f>
        <v>JOB#1 06-00/PCT#1</v>
      </c>
    </row>
    <row r="591" spans="1:8" x14ac:dyDescent="0.25">
      <c r="A591" t="s">
        <v>205</v>
      </c>
      <c r="B591">
        <v>133789</v>
      </c>
      <c r="C591" s="1">
        <v>25</v>
      </c>
      <c r="D591" s="5">
        <v>44158</v>
      </c>
      <c r="E591" t="str">
        <f>"202011160017"</f>
        <v>202011160017</v>
      </c>
      <c r="F591" t="str">
        <f>"DRIVEWAY PERMIT REFUND"</f>
        <v>DRIVEWAY PERMIT REFUND</v>
      </c>
      <c r="G591" s="1">
        <v>25</v>
      </c>
      <c r="H591" t="str">
        <f>"DRIVEWAY PERMIT REFUND"</f>
        <v>DRIVEWAY PERMIT REFUND</v>
      </c>
    </row>
    <row r="592" spans="1:8" x14ac:dyDescent="0.25">
      <c r="A592" t="s">
        <v>206</v>
      </c>
      <c r="B592">
        <v>133790</v>
      </c>
      <c r="C592" s="1">
        <v>2424.17</v>
      </c>
      <c r="D592" s="5">
        <v>44158</v>
      </c>
      <c r="E592" t="str">
        <f>"202011160016"</f>
        <v>202011160016</v>
      </c>
      <c r="F592" t="str">
        <f>"ACCT#1645/WILDFIRE MITIGATION"</f>
        <v>ACCT#1645/WILDFIRE MITIGATION</v>
      </c>
      <c r="G592" s="1">
        <v>380.48</v>
      </c>
      <c r="H592" t="str">
        <f>"ACCT#1645/WILDFIRE MITIGATION"</f>
        <v>ACCT#1645/WILDFIRE MITIGATION</v>
      </c>
    </row>
    <row r="593" spans="1:8" x14ac:dyDescent="0.25">
      <c r="E593" t="str">
        <f>"202011160035"</f>
        <v>202011160035</v>
      </c>
      <c r="F593" t="str">
        <f>"ACCT#1650/PCT#1"</f>
        <v>ACCT#1650/PCT#1</v>
      </c>
      <c r="G593" s="1">
        <v>141.97</v>
      </c>
      <c r="H593" t="str">
        <f>"ACCT#1650/PCT#1"</f>
        <v>ACCT#1650/PCT#1</v>
      </c>
    </row>
    <row r="594" spans="1:8" x14ac:dyDescent="0.25">
      <c r="E594" t="str">
        <f>"202011160041"</f>
        <v>202011160041</v>
      </c>
      <c r="F594" t="str">
        <f>"ACCT#1750/PCT#3"</f>
        <v>ACCT#1750/PCT#3</v>
      </c>
      <c r="G594" s="1">
        <v>471.76</v>
      </c>
      <c r="H594" t="str">
        <f>"ACCT#1750/PCT#3"</f>
        <v>ACCT#1750/PCT#3</v>
      </c>
    </row>
    <row r="595" spans="1:8" x14ac:dyDescent="0.25">
      <c r="E595" t="str">
        <f>"202011160046"</f>
        <v>202011160046</v>
      </c>
      <c r="F595" t="str">
        <f>"ACCT#1800/PCT#4"</f>
        <v>ACCT#1800/PCT#4</v>
      </c>
      <c r="G595" s="1">
        <v>720.03</v>
      </c>
      <c r="H595" t="str">
        <f>"ACCT#1800/PCT#4"</f>
        <v>ACCT#1800/PCT#4</v>
      </c>
    </row>
    <row r="596" spans="1:8" x14ac:dyDescent="0.25">
      <c r="E596" t="str">
        <f>"379-132785"</f>
        <v>379-132785</v>
      </c>
      <c r="F596" t="str">
        <f>"ACCT#1590/ANIMAL CONTROL"</f>
        <v>ACCT#1590/ANIMAL CONTROL</v>
      </c>
      <c r="G596" s="1">
        <v>169.95</v>
      </c>
      <c r="H596" t="str">
        <f>"ACCT#1590/ANIMAL CONTROL"</f>
        <v>ACCT#1590/ANIMAL CONTROL</v>
      </c>
    </row>
    <row r="597" spans="1:8" x14ac:dyDescent="0.25">
      <c r="E597" t="str">
        <f>"379-134739"</f>
        <v>379-134739</v>
      </c>
      <c r="F597" t="str">
        <f>"ACCT#1650/GROUNDS &amp; PARKS"</f>
        <v>ACCT#1650/GROUNDS &amp; PARKS</v>
      </c>
      <c r="G597" s="1">
        <v>539.98</v>
      </c>
      <c r="H597" t="str">
        <f>"ACCT#1650/GROUNDS &amp; PARKS"</f>
        <v>ACCT#1650/GROUNDS &amp; PARKS</v>
      </c>
    </row>
    <row r="598" spans="1:8" x14ac:dyDescent="0.25">
      <c r="A598" t="s">
        <v>207</v>
      </c>
      <c r="B598">
        <v>3470</v>
      </c>
      <c r="C598" s="1">
        <v>2265.8200000000002</v>
      </c>
      <c r="D598" s="5">
        <v>44145</v>
      </c>
      <c r="E598" t="str">
        <f>"10214736 10284047"</f>
        <v>10214736 10284047</v>
      </c>
      <c r="F598" t="str">
        <f>"INV 10214736"</f>
        <v>INV 10214736</v>
      </c>
      <c r="G598" s="1">
        <v>2265.8200000000002</v>
      </c>
      <c r="H598" t="str">
        <f>"INV 10214736"</f>
        <v>INV 10214736</v>
      </c>
    </row>
    <row r="599" spans="1:8" x14ac:dyDescent="0.25">
      <c r="E599" t="str">
        <f>""</f>
        <v/>
      </c>
      <c r="F599" t="str">
        <f>""</f>
        <v/>
      </c>
      <c r="H599" t="str">
        <f>"INV 10284047"</f>
        <v>INV 10284047</v>
      </c>
    </row>
    <row r="600" spans="1:8" x14ac:dyDescent="0.25">
      <c r="A600" t="s">
        <v>207</v>
      </c>
      <c r="B600">
        <v>3529</v>
      </c>
      <c r="C600" s="1">
        <v>1788.01</v>
      </c>
      <c r="D600" s="5">
        <v>44159</v>
      </c>
      <c r="E600" t="str">
        <f>"11043991 11113453"</f>
        <v>11043991 11113453</v>
      </c>
      <c r="F600" t="str">
        <f>"INV 11043991"</f>
        <v>INV 11043991</v>
      </c>
      <c r="G600" s="1">
        <v>1788.01</v>
      </c>
      <c r="H600" t="str">
        <f>"INV 11043991"</f>
        <v>INV 11043991</v>
      </c>
    </row>
    <row r="601" spans="1:8" x14ac:dyDescent="0.25">
      <c r="E601" t="str">
        <f>""</f>
        <v/>
      </c>
      <c r="F601" t="str">
        <f>""</f>
        <v/>
      </c>
      <c r="H601" t="str">
        <f>"INV 11113453"</f>
        <v>INV 11113453</v>
      </c>
    </row>
    <row r="602" spans="1:8" x14ac:dyDescent="0.25">
      <c r="A602" t="s">
        <v>208</v>
      </c>
      <c r="B602">
        <v>3584</v>
      </c>
      <c r="C602" s="1">
        <v>5000</v>
      </c>
      <c r="D602" s="5">
        <v>44159</v>
      </c>
      <c r="E602" t="str">
        <f>"4095"</f>
        <v>4095</v>
      </c>
      <c r="F602" t="str">
        <f>"PROCUREMENT OF CONS/FIRS"</f>
        <v>PROCUREMENT OF CONS/FIRS</v>
      </c>
      <c r="G602" s="1">
        <v>5000</v>
      </c>
      <c r="H602" t="str">
        <f>"PROCUREMENT OF CONS/FIRS"</f>
        <v>PROCUREMENT OF CONS/FIRS</v>
      </c>
    </row>
    <row r="603" spans="1:8" x14ac:dyDescent="0.25">
      <c r="A603" t="s">
        <v>209</v>
      </c>
      <c r="B603">
        <v>3569</v>
      </c>
      <c r="C603" s="1">
        <v>150</v>
      </c>
      <c r="D603" s="5">
        <v>44159</v>
      </c>
      <c r="E603" t="str">
        <f>"156903"</f>
        <v>156903</v>
      </c>
      <c r="F603" t="str">
        <f>"CLEANING SVC/PCT#2"</f>
        <v>CLEANING SVC/PCT#2</v>
      </c>
      <c r="G603" s="1">
        <v>150</v>
      </c>
      <c r="H603" t="str">
        <f>"CLEANING SVC"</f>
        <v>CLEANING SVC</v>
      </c>
    </row>
    <row r="604" spans="1:8" x14ac:dyDescent="0.25">
      <c r="A604" t="s">
        <v>210</v>
      </c>
      <c r="B604">
        <v>133564</v>
      </c>
      <c r="C604" s="1">
        <v>148.01</v>
      </c>
      <c r="D604" s="5">
        <v>44139</v>
      </c>
      <c r="E604" t="str">
        <f>"202011040001"</f>
        <v>202011040001</v>
      </c>
      <c r="F604" t="str">
        <f>"ACCT#1-09-00072-02 1/10232020"</f>
        <v>ACCT#1-09-00072-02 1/10232020</v>
      </c>
      <c r="G604" s="1">
        <v>148.01</v>
      </c>
      <c r="H604" t="str">
        <f>"ACCT#1-09-00072-02 1/10232020"</f>
        <v>ACCT#1-09-00072-02 1/10232020</v>
      </c>
    </row>
    <row r="605" spans="1:8" x14ac:dyDescent="0.25">
      <c r="A605" t="s">
        <v>211</v>
      </c>
      <c r="B605">
        <v>133791</v>
      </c>
      <c r="C605" s="1">
        <v>817.7</v>
      </c>
      <c r="D605" s="5">
        <v>44158</v>
      </c>
      <c r="E605" t="str">
        <f>"1211621-20201031"</f>
        <v>1211621-20201031</v>
      </c>
      <c r="F605" t="str">
        <f>"BILL ID:1211621/HEALTH SVCS"</f>
        <v>BILL ID:1211621/HEALTH SVCS</v>
      </c>
      <c r="G605" s="1">
        <v>118.6</v>
      </c>
      <c r="H605" t="str">
        <f>"BILL ID:1211621/HEALTH SVCS"</f>
        <v>BILL ID:1211621/HEALTH SVCS</v>
      </c>
    </row>
    <row r="606" spans="1:8" x14ac:dyDescent="0.25">
      <c r="E606" t="str">
        <f>"1361725-20201031"</f>
        <v>1361725-20201031</v>
      </c>
      <c r="F606" t="str">
        <f>"BILL ID:1361725/INDIGENT HLTH"</f>
        <v>BILL ID:1361725/INDIGENT HLTH</v>
      </c>
      <c r="G606" s="1">
        <v>150</v>
      </c>
      <c r="H606" t="str">
        <f>"BILL ID:1361725/INDIGENT HLTH"</f>
        <v>BILL ID:1361725/INDIGENT HLTH</v>
      </c>
    </row>
    <row r="607" spans="1:8" x14ac:dyDescent="0.25">
      <c r="E607" t="str">
        <f>"1394645-20201031"</f>
        <v>1394645-20201031</v>
      </c>
      <c r="F607" t="str">
        <f>"BILL ID:1394645/COUNTY CLERK"</f>
        <v>BILL ID:1394645/COUNTY CLERK</v>
      </c>
      <c r="G607" s="1">
        <v>50</v>
      </c>
      <c r="H607" t="str">
        <f>"BILL ID:1394645/COUNTY CLERK"</f>
        <v>BILL ID:1394645/COUNTY CLERK</v>
      </c>
    </row>
    <row r="608" spans="1:8" x14ac:dyDescent="0.25">
      <c r="E608" t="str">
        <f>"1420944-20201031"</f>
        <v>1420944-20201031</v>
      </c>
      <c r="F608" t="str">
        <f>"BILL ID:1420944/SHERIFF'S OFF"</f>
        <v>BILL ID:1420944/SHERIFF'S OFF</v>
      </c>
      <c r="G608" s="1">
        <v>449.1</v>
      </c>
      <c r="H608" t="str">
        <f>"BILL ID:1420944/SHERIFF'S OFF"</f>
        <v>BILL ID:1420944/SHERIFF'S OFF</v>
      </c>
    </row>
    <row r="609" spans="1:8" x14ac:dyDescent="0.25">
      <c r="E609" t="str">
        <f>"1489870-20201031"</f>
        <v>1489870-20201031</v>
      </c>
      <c r="F609" t="str">
        <f>"BILL ID:1489870/DISTRICT CLERK"</f>
        <v>BILL ID:1489870/DISTRICT CLERK</v>
      </c>
      <c r="G609" s="1">
        <v>50</v>
      </c>
      <c r="H609" t="str">
        <f>"BILL ID:1489870/DISTRICT CLERK"</f>
        <v>BILL ID:1489870/DISTRICT CLERK</v>
      </c>
    </row>
    <row r="610" spans="1:8" x14ac:dyDescent="0.25">
      <c r="A610" t="s">
        <v>212</v>
      </c>
      <c r="B610">
        <v>3486</v>
      </c>
      <c r="C610" s="1">
        <v>6670.28</v>
      </c>
      <c r="D610" s="5">
        <v>44145</v>
      </c>
      <c r="E610" t="str">
        <f>"202011039913"</f>
        <v>202011039913</v>
      </c>
      <c r="F610" t="str">
        <f>"GRANT REIMBURSEMENT"</f>
        <v>GRANT REIMBURSEMENT</v>
      </c>
      <c r="G610" s="1">
        <v>6670.28</v>
      </c>
      <c r="H610" t="str">
        <f>"GRANT REIMBURSEMENT"</f>
        <v>GRANT REIMBURSEMENT</v>
      </c>
    </row>
    <row r="611" spans="1:8" x14ac:dyDescent="0.25">
      <c r="A611" t="s">
        <v>212</v>
      </c>
      <c r="B611">
        <v>3556</v>
      </c>
      <c r="C611" s="1">
        <v>17538.12</v>
      </c>
      <c r="D611" s="5">
        <v>44159</v>
      </c>
      <c r="E611" t="str">
        <f>"202011160049"</f>
        <v>202011160049</v>
      </c>
      <c r="F611" t="str">
        <f>"GRANT REIMBURSEMENT"</f>
        <v>GRANT REIMBURSEMENT</v>
      </c>
      <c r="G611" s="1">
        <v>17538.12</v>
      </c>
      <c r="H611" t="str">
        <f>"GRANT REIMBURSEMENT"</f>
        <v>GRANT REIMBURSEMENT</v>
      </c>
    </row>
    <row r="612" spans="1:8" x14ac:dyDescent="0.25">
      <c r="A612" t="s">
        <v>213</v>
      </c>
      <c r="B612">
        <v>3553</v>
      </c>
      <c r="C612" s="1">
        <v>8085.22</v>
      </c>
      <c r="D612" s="5">
        <v>44159</v>
      </c>
      <c r="E612" t="str">
        <f>"LS-2008SILVER"</f>
        <v>LS-2008SILVER</v>
      </c>
      <c r="F612" t="str">
        <f>"INV LS-2008SILVERADO-JM"</f>
        <v>INV LS-2008SILVERADO-JM</v>
      </c>
      <c r="G612" s="1">
        <v>1435</v>
      </c>
      <c r="H612" t="str">
        <f>"INV LS-2008SILVERADO-JM"</f>
        <v>INV LS-2008SILVERADO-JM</v>
      </c>
    </row>
    <row r="613" spans="1:8" x14ac:dyDescent="0.25">
      <c r="E613" t="str">
        <f>"LS-2008SILVERADO"</f>
        <v>LS-2008SILVERADO</v>
      </c>
      <c r="F613" t="str">
        <f>"INV LS-2008SILVERADO-BCSO"</f>
        <v>INV LS-2008SILVERADO-BCSO</v>
      </c>
      <c r="G613" s="1">
        <v>3331.34</v>
      </c>
      <c r="H613" t="str">
        <f>"INV LS-2008SILVERADO-BCSO"</f>
        <v>INV LS-2008SILVERADO-BCSO</v>
      </c>
    </row>
    <row r="614" spans="1:8" x14ac:dyDescent="0.25">
      <c r="E614" t="str">
        <f>"LS-2014EXPLORER"</f>
        <v>LS-2014EXPLORER</v>
      </c>
      <c r="F614" t="str">
        <f>"INV LS-2014EXPLORER-JM"</f>
        <v>INV LS-2014EXPLORER-JM</v>
      </c>
      <c r="G614" s="1">
        <v>297.18</v>
      </c>
      <c r="H614" t="str">
        <f>"INV LS-2014EXPLORER-JM"</f>
        <v>INV LS-2014EXPLORER-JM</v>
      </c>
    </row>
    <row r="615" spans="1:8" x14ac:dyDescent="0.25">
      <c r="E615" t="str">
        <f>"LS-2016GMC1500"</f>
        <v>LS-2016GMC1500</v>
      </c>
      <c r="F615" t="str">
        <f>"INV LS-2016GMC1500-RM"</f>
        <v>INV LS-2016GMC1500-RM</v>
      </c>
      <c r="G615" s="1">
        <v>3021.7</v>
      </c>
      <c r="H615" t="str">
        <f>"INV LS-2016GMC1500-RM"</f>
        <v>INV LS-2016GMC1500-RM</v>
      </c>
    </row>
    <row r="616" spans="1:8" x14ac:dyDescent="0.25">
      <c r="A616" t="s">
        <v>214</v>
      </c>
      <c r="B616">
        <v>3491</v>
      </c>
      <c r="C616" s="1">
        <v>806</v>
      </c>
      <c r="D616" s="5">
        <v>44145</v>
      </c>
      <c r="E616" t="str">
        <f>"202011039845"</f>
        <v>202011039845</v>
      </c>
      <c r="F616" t="str">
        <f>"TRASH REMOVAL 10/26-10/30/PCT4"</f>
        <v>TRASH REMOVAL 10/26-10/30/PCT4</v>
      </c>
      <c r="G616" s="1">
        <v>331.5</v>
      </c>
      <c r="H616" t="str">
        <f>"TRASH REMOVAL 10/26-10/30/PCT4"</f>
        <v>TRASH REMOVAL 10/26-10/30/PCT4</v>
      </c>
    </row>
    <row r="617" spans="1:8" x14ac:dyDescent="0.25">
      <c r="E617" t="str">
        <f>"202011039846"</f>
        <v>202011039846</v>
      </c>
      <c r="F617" t="str">
        <f>"TRASH REMOVAL 11/2-11/6/PCT4"</f>
        <v>TRASH REMOVAL 11/2-11/6/PCT4</v>
      </c>
      <c r="G617" s="1">
        <v>474.5</v>
      </c>
      <c r="H617" t="str">
        <f>"TRASH REMOVAL 11/2-11/6/PCT4"</f>
        <v>TRASH REMOVAL 11/2-11/6/PCT4</v>
      </c>
    </row>
    <row r="618" spans="1:8" x14ac:dyDescent="0.25">
      <c r="A618" t="s">
        <v>214</v>
      </c>
      <c r="B618">
        <v>3563</v>
      </c>
      <c r="C618" s="1">
        <v>806</v>
      </c>
      <c r="D618" s="5">
        <v>44159</v>
      </c>
      <c r="E618" t="str">
        <f>"202011180179"</f>
        <v>202011180179</v>
      </c>
      <c r="F618" t="str">
        <f>"TRASH REMOVAL 11/9-11/20/PCT#4"</f>
        <v>TRASH REMOVAL 11/9-11/20/PCT#4</v>
      </c>
      <c r="G618" s="1">
        <v>806</v>
      </c>
      <c r="H618" t="str">
        <f>"TRASH REMOVAL 11/9-11/20/PCT#4"</f>
        <v>TRASH REMOVAL 11/9-11/20/PCT#4</v>
      </c>
    </row>
    <row r="619" spans="1:8" x14ac:dyDescent="0.25">
      <c r="A619" t="s">
        <v>215</v>
      </c>
      <c r="B619">
        <v>133792</v>
      </c>
      <c r="C619" s="1">
        <v>290</v>
      </c>
      <c r="D619" s="5">
        <v>44158</v>
      </c>
      <c r="E619" t="str">
        <f>"202011180239"</f>
        <v>202011180239</v>
      </c>
      <c r="F619" t="str">
        <f>"FERAL HOGS"</f>
        <v>FERAL HOGS</v>
      </c>
      <c r="G619" s="1">
        <v>290</v>
      </c>
      <c r="H619" t="str">
        <f>"FERAL HOGS"</f>
        <v>FERAL HOGS</v>
      </c>
    </row>
    <row r="620" spans="1:8" x14ac:dyDescent="0.25">
      <c r="A620" t="s">
        <v>216</v>
      </c>
      <c r="B620">
        <v>3512</v>
      </c>
      <c r="C620" s="1">
        <v>173.01</v>
      </c>
      <c r="D620" s="5">
        <v>44145</v>
      </c>
      <c r="E620" t="str">
        <f>"10-0103150 10-0133"</f>
        <v>10-0103150 10-0133</v>
      </c>
      <c r="F620" t="str">
        <f>"INV 10-0103150/10-013336/"</f>
        <v>INV 10-0103150/10-013336/</v>
      </c>
      <c r="G620" s="1">
        <v>173.01</v>
      </c>
      <c r="H620" t="str">
        <f>"INV 10-0103150"</f>
        <v>INV 10-0103150</v>
      </c>
    </row>
    <row r="621" spans="1:8" x14ac:dyDescent="0.25">
      <c r="E621" t="str">
        <f>""</f>
        <v/>
      </c>
      <c r="F621" t="str">
        <f>""</f>
        <v/>
      </c>
      <c r="H621" t="str">
        <f>"INV 10-013336"</f>
        <v>INV 10-013336</v>
      </c>
    </row>
    <row r="622" spans="1:8" x14ac:dyDescent="0.25">
      <c r="E622" t="str">
        <f>""</f>
        <v/>
      </c>
      <c r="F622" t="str">
        <f>""</f>
        <v/>
      </c>
      <c r="H622" t="str">
        <f>"INV 10-0104149"</f>
        <v>INV 10-0104149</v>
      </c>
    </row>
    <row r="623" spans="1:8" x14ac:dyDescent="0.25">
      <c r="E623" t="str">
        <f>""</f>
        <v/>
      </c>
      <c r="F623" t="str">
        <f>""</f>
        <v/>
      </c>
      <c r="H623" t="str">
        <f>"INV 10-0105186"</f>
        <v>INV 10-0105186</v>
      </c>
    </row>
    <row r="624" spans="1:8" x14ac:dyDescent="0.25">
      <c r="A624" t="s">
        <v>217</v>
      </c>
      <c r="B624">
        <v>3488</v>
      </c>
      <c r="C624" s="1">
        <v>713.27</v>
      </c>
      <c r="D624" s="5">
        <v>44145</v>
      </c>
      <c r="E624" t="str">
        <f>"BCPCT3-1003"</f>
        <v>BCPCT3-1003</v>
      </c>
      <c r="F624" t="str">
        <f>"1999 FRHT SERVICE/PCT#3"</f>
        <v>1999 FRHT SERVICE/PCT#3</v>
      </c>
      <c r="G624" s="1">
        <v>713.27</v>
      </c>
      <c r="H624" t="str">
        <f>"1999 FRHT SERVICE/PCT#3"</f>
        <v>1999 FRHT SERVICE/PCT#3</v>
      </c>
    </row>
    <row r="625" spans="1:8" x14ac:dyDescent="0.25">
      <c r="A625" t="s">
        <v>217</v>
      </c>
      <c r="B625">
        <v>3559</v>
      </c>
      <c r="C625" s="1">
        <v>429.79</v>
      </c>
      <c r="D625" s="5">
        <v>44159</v>
      </c>
      <c r="E625" t="str">
        <f>"BCP3:1003"</f>
        <v>BCP3:1003</v>
      </c>
      <c r="F625" t="str">
        <f>"1999 GMC/PCT#3"</f>
        <v>1999 GMC/PCT#3</v>
      </c>
      <c r="G625" s="1">
        <v>429.79</v>
      </c>
      <c r="H625" t="str">
        <f>"1999 GMC/PCT#3"</f>
        <v>1999 GMC/PCT#3</v>
      </c>
    </row>
    <row r="626" spans="1:8" x14ac:dyDescent="0.25">
      <c r="A626" t="s">
        <v>218</v>
      </c>
      <c r="B626">
        <v>133793</v>
      </c>
      <c r="C626" s="1">
        <v>25</v>
      </c>
      <c r="D626" s="5">
        <v>44158</v>
      </c>
      <c r="E626" t="str">
        <f>"202011180240"</f>
        <v>202011180240</v>
      </c>
      <c r="F626" t="str">
        <f>"FERAL HOGS"</f>
        <v>FERAL HOGS</v>
      </c>
      <c r="G626" s="1">
        <v>25</v>
      </c>
      <c r="H626" t="str">
        <f>"FERAL HOGS"</f>
        <v>FERAL HOGS</v>
      </c>
    </row>
    <row r="627" spans="1:8" x14ac:dyDescent="0.25">
      <c r="A627" t="s">
        <v>219</v>
      </c>
      <c r="B627">
        <v>133794</v>
      </c>
      <c r="C627" s="1">
        <v>270</v>
      </c>
      <c r="D627" s="5">
        <v>44158</v>
      </c>
      <c r="E627" t="str">
        <f>"202011180241"</f>
        <v>202011180241</v>
      </c>
      <c r="F627" t="str">
        <f>"FERAL HOGS"</f>
        <v>FERAL HOGS</v>
      </c>
      <c r="G627" s="1">
        <v>270</v>
      </c>
      <c r="H627" t="str">
        <f>"FERAL HOGS"</f>
        <v>FERAL HOGS</v>
      </c>
    </row>
    <row r="628" spans="1:8" x14ac:dyDescent="0.25">
      <c r="A628" t="s">
        <v>220</v>
      </c>
      <c r="B628">
        <v>133795</v>
      </c>
      <c r="C628" s="1">
        <v>75</v>
      </c>
      <c r="D628" s="5">
        <v>44158</v>
      </c>
      <c r="E628" t="str">
        <f>"202011180242"</f>
        <v>202011180242</v>
      </c>
      <c r="F628" t="str">
        <f>"FERAL HOGS"</f>
        <v>FERAL HOGS</v>
      </c>
      <c r="G628" s="1">
        <v>60</v>
      </c>
      <c r="H628" t="str">
        <f>"FERAL HOGS"</f>
        <v>FERAL HOGS</v>
      </c>
    </row>
    <row r="629" spans="1:8" x14ac:dyDescent="0.25">
      <c r="E629" t="str">
        <f>"202011180243"</f>
        <v>202011180243</v>
      </c>
      <c r="F629" t="str">
        <f>"FERAL HOGS"</f>
        <v>FERAL HOGS</v>
      </c>
      <c r="G629" s="1">
        <v>15</v>
      </c>
      <c r="H629" t="str">
        <f>"FERAL HOGS"</f>
        <v>FERAL HOGS</v>
      </c>
    </row>
    <row r="630" spans="1:8" x14ac:dyDescent="0.25">
      <c r="A630" t="s">
        <v>221</v>
      </c>
      <c r="B630">
        <v>133796</v>
      </c>
      <c r="C630" s="1">
        <v>170</v>
      </c>
      <c r="D630" s="5">
        <v>44158</v>
      </c>
      <c r="E630" t="str">
        <f>"0039721"</f>
        <v>0039721</v>
      </c>
      <c r="F630" t="str">
        <f>"INV 0039721"</f>
        <v>INV 0039721</v>
      </c>
      <c r="G630" s="1">
        <v>170</v>
      </c>
      <c r="H630" t="str">
        <f>"INV 0039721"</f>
        <v>INV 0039721</v>
      </c>
    </row>
    <row r="631" spans="1:8" x14ac:dyDescent="0.25">
      <c r="A631" t="s">
        <v>222</v>
      </c>
      <c r="B631">
        <v>3546</v>
      </c>
      <c r="C631" s="1">
        <v>150</v>
      </c>
      <c r="D631" s="5">
        <v>44159</v>
      </c>
      <c r="E631" t="str">
        <f>"202011180172"</f>
        <v>202011180172</v>
      </c>
      <c r="F631" t="str">
        <f>"COUNTY COURT 10062020"</f>
        <v>COUNTY COURT 10062020</v>
      </c>
      <c r="G631" s="1">
        <v>150</v>
      </c>
      <c r="H631" t="str">
        <f>"COUNTY COURT 10062020"</f>
        <v>COUNTY COURT 10062020</v>
      </c>
    </row>
    <row r="632" spans="1:8" x14ac:dyDescent="0.25">
      <c r="A632" t="s">
        <v>223</v>
      </c>
      <c r="B632">
        <v>133629</v>
      </c>
      <c r="C632" s="1">
        <v>1100</v>
      </c>
      <c r="D632" s="5">
        <v>44144</v>
      </c>
      <c r="E632" t="str">
        <f>"202010289792"</f>
        <v>202010289792</v>
      </c>
      <c r="F632" t="str">
        <f>"REIMBURSE FOR MAILBOX DAMAGE"</f>
        <v>REIMBURSE FOR MAILBOX DAMAGE</v>
      </c>
      <c r="G632" s="1">
        <v>1100</v>
      </c>
      <c r="H632" t="str">
        <f>"REIMBURSE FOR MAILBOX DAMAGE"</f>
        <v>REIMBURSE FOR MAILBOX DAMAGE</v>
      </c>
    </row>
    <row r="633" spans="1:8" x14ac:dyDescent="0.25">
      <c r="A633" t="s">
        <v>224</v>
      </c>
      <c r="B633">
        <v>133797</v>
      </c>
      <c r="C633" s="1">
        <v>205</v>
      </c>
      <c r="D633" s="5">
        <v>44158</v>
      </c>
      <c r="E633" t="str">
        <f>"202011170095"</f>
        <v>202011170095</v>
      </c>
      <c r="F633" t="str">
        <f>"PER DIEM"</f>
        <v>PER DIEM</v>
      </c>
      <c r="G633" s="1">
        <v>205</v>
      </c>
      <c r="H633" t="str">
        <f>"PER DIEM"</f>
        <v>PER DIEM</v>
      </c>
    </row>
    <row r="634" spans="1:8" x14ac:dyDescent="0.25">
      <c r="A634" t="s">
        <v>225</v>
      </c>
      <c r="B634">
        <v>133798</v>
      </c>
      <c r="C634" s="1">
        <v>30</v>
      </c>
      <c r="D634" s="5">
        <v>44158</v>
      </c>
      <c r="E634" t="str">
        <f>"202011180244"</f>
        <v>202011180244</v>
      </c>
      <c r="F634" t="str">
        <f>"FERAL HOGS"</f>
        <v>FERAL HOGS</v>
      </c>
      <c r="G634" s="1">
        <v>30</v>
      </c>
      <c r="H634" t="str">
        <f>"FERAL HOGS"</f>
        <v>FERAL HOGS</v>
      </c>
    </row>
    <row r="635" spans="1:8" x14ac:dyDescent="0.25">
      <c r="A635" t="s">
        <v>226</v>
      </c>
      <c r="B635">
        <v>133799</v>
      </c>
      <c r="C635" s="1">
        <v>704.83</v>
      </c>
      <c r="D635" s="5">
        <v>44158</v>
      </c>
      <c r="E635" t="str">
        <f>"202011180154"</f>
        <v>202011180154</v>
      </c>
      <c r="F635" t="str">
        <f>"INDIGENT HEALTH"</f>
        <v>INDIGENT HEALTH</v>
      </c>
      <c r="G635" s="1">
        <v>704.83</v>
      </c>
      <c r="H635" t="str">
        <f>"INDIGENT HEALTH"</f>
        <v>INDIGENT HEALTH</v>
      </c>
    </row>
    <row r="636" spans="1:8" x14ac:dyDescent="0.25">
      <c r="E636" t="str">
        <f>""</f>
        <v/>
      </c>
      <c r="F636" t="str">
        <f>""</f>
        <v/>
      </c>
      <c r="H636" t="str">
        <f>"INDIGENT HEALTH"</f>
        <v>INDIGENT HEALTH</v>
      </c>
    </row>
    <row r="637" spans="1:8" x14ac:dyDescent="0.25">
      <c r="E637" t="str">
        <f>""</f>
        <v/>
      </c>
      <c r="F637" t="str">
        <f>""</f>
        <v/>
      </c>
      <c r="H637" t="str">
        <f>"INDIGENT HEALTH"</f>
        <v>INDIGENT HEALTH</v>
      </c>
    </row>
    <row r="638" spans="1:8" x14ac:dyDescent="0.25">
      <c r="A638" t="s">
        <v>227</v>
      </c>
      <c r="B638">
        <v>133800</v>
      </c>
      <c r="C638" s="1">
        <v>2655.88</v>
      </c>
      <c r="D638" s="5">
        <v>44158</v>
      </c>
      <c r="E638" t="str">
        <f>"INV001911086"</f>
        <v>INV001911086</v>
      </c>
      <c r="F638" t="str">
        <f>"INV001911086"</f>
        <v>INV001911086</v>
      </c>
      <c r="G638" s="1">
        <v>2655.88</v>
      </c>
      <c r="H638" t="str">
        <f>"INV001911086"</f>
        <v>INV001911086</v>
      </c>
    </row>
    <row r="639" spans="1:8" x14ac:dyDescent="0.25">
      <c r="A639" t="s">
        <v>228</v>
      </c>
      <c r="B639">
        <v>3484</v>
      </c>
      <c r="C639" s="1">
        <v>2068.75</v>
      </c>
      <c r="D639" s="5">
        <v>44145</v>
      </c>
      <c r="E639" t="str">
        <f>"202011039948"</f>
        <v>202011039948</v>
      </c>
      <c r="F639" t="str">
        <f>"20-20207"</f>
        <v>20-20207</v>
      </c>
      <c r="G639" s="1">
        <v>100</v>
      </c>
      <c r="H639" t="str">
        <f>"20-20207"</f>
        <v>20-20207</v>
      </c>
    </row>
    <row r="640" spans="1:8" x14ac:dyDescent="0.25">
      <c r="E640" t="str">
        <f>"202011039949"</f>
        <v>202011039949</v>
      </c>
      <c r="F640" t="str">
        <f>"19-19967"</f>
        <v>19-19967</v>
      </c>
      <c r="G640" s="1">
        <v>100</v>
      </c>
      <c r="H640" t="str">
        <f>"19-19967"</f>
        <v>19-19967</v>
      </c>
    </row>
    <row r="641" spans="1:8" x14ac:dyDescent="0.25">
      <c r="E641" t="str">
        <f>"202011039950"</f>
        <v>202011039950</v>
      </c>
      <c r="F641" t="str">
        <f>"20-20056"</f>
        <v>20-20056</v>
      </c>
      <c r="G641" s="1">
        <v>100</v>
      </c>
      <c r="H641" t="str">
        <f>"20-20056"</f>
        <v>20-20056</v>
      </c>
    </row>
    <row r="642" spans="1:8" x14ac:dyDescent="0.25">
      <c r="E642" t="str">
        <f>"202011039951"</f>
        <v>202011039951</v>
      </c>
      <c r="F642" t="str">
        <f>"19-19954"</f>
        <v>19-19954</v>
      </c>
      <c r="G642" s="1">
        <v>100</v>
      </c>
      <c r="H642" t="str">
        <f>"19-19954"</f>
        <v>19-19954</v>
      </c>
    </row>
    <row r="643" spans="1:8" x14ac:dyDescent="0.25">
      <c r="E643" t="str">
        <f>"202011049983"</f>
        <v>202011049983</v>
      </c>
      <c r="F643" t="str">
        <f>"20-20056"</f>
        <v>20-20056</v>
      </c>
      <c r="G643" s="1">
        <v>618.75</v>
      </c>
      <c r="H643" t="str">
        <f>"20-20056"</f>
        <v>20-20056</v>
      </c>
    </row>
    <row r="644" spans="1:8" x14ac:dyDescent="0.25">
      <c r="E644" t="str">
        <f>"202011049984"</f>
        <v>202011049984</v>
      </c>
      <c r="F644" t="str">
        <f>"19-19847"</f>
        <v>19-19847</v>
      </c>
      <c r="G644" s="1">
        <v>431.25</v>
      </c>
      <c r="H644" t="str">
        <f>"19-19847"</f>
        <v>19-19847</v>
      </c>
    </row>
    <row r="645" spans="1:8" x14ac:dyDescent="0.25">
      <c r="E645" t="str">
        <f>"202011049985"</f>
        <v>202011049985</v>
      </c>
      <c r="F645" t="str">
        <f>"20-20372"</f>
        <v>20-20372</v>
      </c>
      <c r="G645" s="1">
        <v>618.75</v>
      </c>
      <c r="H645" t="str">
        <f>"20-20372"</f>
        <v>20-20372</v>
      </c>
    </row>
    <row r="646" spans="1:8" x14ac:dyDescent="0.25">
      <c r="A646" t="s">
        <v>228</v>
      </c>
      <c r="B646">
        <v>3548</v>
      </c>
      <c r="C646" s="1">
        <v>1787.5</v>
      </c>
      <c r="D646" s="5">
        <v>44159</v>
      </c>
      <c r="E646" t="str">
        <f>"202011180136"</f>
        <v>202011180136</v>
      </c>
      <c r="F646" t="str">
        <f>"57 580"</f>
        <v>57 580</v>
      </c>
      <c r="G646" s="1">
        <v>250</v>
      </c>
      <c r="H646" t="str">
        <f>"57 580"</f>
        <v>57 580</v>
      </c>
    </row>
    <row r="647" spans="1:8" x14ac:dyDescent="0.25">
      <c r="E647" t="str">
        <f>"202011180137"</f>
        <v>202011180137</v>
      </c>
      <c r="F647" t="str">
        <f>"JP108212020E 925-357-9781-A001"</f>
        <v>JP108212020E 925-357-9781-A001</v>
      </c>
      <c r="G647" s="1">
        <v>250</v>
      </c>
      <c r="H647" t="str">
        <f>"JP108212020E 925-357-9781-A001"</f>
        <v>JP108212020E 925-357-9781-A001</v>
      </c>
    </row>
    <row r="648" spans="1:8" x14ac:dyDescent="0.25">
      <c r="E648" t="str">
        <f>"202011180138"</f>
        <v>202011180138</v>
      </c>
      <c r="F648" t="str">
        <f>"306082020D  925-357-450XA001 2"</f>
        <v>306082020D  925-357-450XA001 2</v>
      </c>
      <c r="G648" s="1">
        <v>250</v>
      </c>
      <c r="H648" t="str">
        <f>"306082020D  925-357-450XA001 2"</f>
        <v>306082020D  925-357-450XA001 2</v>
      </c>
    </row>
    <row r="649" spans="1:8" x14ac:dyDescent="0.25">
      <c r="E649" t="str">
        <f>"202011180139"</f>
        <v>202011180139</v>
      </c>
      <c r="F649" t="str">
        <f>"56 433"</f>
        <v>56 433</v>
      </c>
      <c r="G649" s="1">
        <v>250</v>
      </c>
      <c r="H649" t="str">
        <f>"56 433"</f>
        <v>56 433</v>
      </c>
    </row>
    <row r="650" spans="1:8" x14ac:dyDescent="0.25">
      <c r="E650" t="str">
        <f>"202011180140"</f>
        <v>202011180140</v>
      </c>
      <c r="F650" t="str">
        <f>"J-3409"</f>
        <v>J-3409</v>
      </c>
      <c r="G650" s="1">
        <v>587.5</v>
      </c>
      <c r="H650" t="str">
        <f>"J-3409"</f>
        <v>J-3409</v>
      </c>
    </row>
    <row r="651" spans="1:8" x14ac:dyDescent="0.25">
      <c r="E651" t="str">
        <f>"202011180142"</f>
        <v>202011180142</v>
      </c>
      <c r="F651" t="str">
        <f>"19-19465"</f>
        <v>19-19465</v>
      </c>
      <c r="G651" s="1">
        <v>100</v>
      </c>
      <c r="H651" t="str">
        <f>"19-19465"</f>
        <v>19-19465</v>
      </c>
    </row>
    <row r="652" spans="1:8" x14ac:dyDescent="0.25">
      <c r="E652" t="str">
        <f>"202011180144"</f>
        <v>202011180144</v>
      </c>
      <c r="F652" t="str">
        <f>"JUVENILE DETENTION"</f>
        <v>JUVENILE DETENTION</v>
      </c>
      <c r="G652" s="1">
        <v>100</v>
      </c>
      <c r="H652" t="str">
        <f>"JUVENILE DETENTION"</f>
        <v>JUVENILE DETENTION</v>
      </c>
    </row>
    <row r="653" spans="1:8" x14ac:dyDescent="0.25">
      <c r="A653" t="s">
        <v>229</v>
      </c>
      <c r="B653">
        <v>133801</v>
      </c>
      <c r="C653" s="1">
        <v>306.48</v>
      </c>
      <c r="D653" s="5">
        <v>44158</v>
      </c>
      <c r="E653" t="str">
        <f>"22539379"</f>
        <v>22539379</v>
      </c>
      <c r="F653" t="str">
        <f>"ACCT#41472/PCT#1"</f>
        <v>ACCT#41472/PCT#1</v>
      </c>
      <c r="G653" s="1">
        <v>28.23</v>
      </c>
      <c r="H653" t="str">
        <f>"ACCT#41472/PCT#1"</f>
        <v>ACCT#41472/PCT#1</v>
      </c>
    </row>
    <row r="654" spans="1:8" x14ac:dyDescent="0.25">
      <c r="E654" t="str">
        <f>"22539454"</f>
        <v>22539454</v>
      </c>
      <c r="F654" t="str">
        <f>"ACCT#45057/PCT#4"</f>
        <v>ACCT#45057/PCT#4</v>
      </c>
      <c r="G654" s="1">
        <v>51.73</v>
      </c>
      <c r="H654" t="str">
        <f>"ACCT#45057/PCT#4"</f>
        <v>ACCT#45057/PCT#4</v>
      </c>
    </row>
    <row r="655" spans="1:8" x14ac:dyDescent="0.25">
      <c r="E655" t="str">
        <f>"22539506"</f>
        <v>22539506</v>
      </c>
      <c r="F655" t="str">
        <f>"INV 22539506"</f>
        <v>INV 22539506</v>
      </c>
      <c r="G655" s="1">
        <v>61.52</v>
      </c>
      <c r="H655" t="str">
        <f>"INV 22539506"</f>
        <v>INV 22539506</v>
      </c>
    </row>
    <row r="656" spans="1:8" x14ac:dyDescent="0.25">
      <c r="E656" t="str">
        <f>"22546845"</f>
        <v>22546845</v>
      </c>
      <c r="F656" t="str">
        <f>"ACCT#S9549/PCT#1"</f>
        <v>ACCT#S9549/PCT#1</v>
      </c>
      <c r="G656" s="1">
        <v>165</v>
      </c>
      <c r="H656" t="str">
        <f>"ACCT#S9549/PCT#1"</f>
        <v>ACCT#S9549/PCT#1</v>
      </c>
    </row>
    <row r="657" spans="1:8" x14ac:dyDescent="0.25">
      <c r="A657" t="s">
        <v>230</v>
      </c>
      <c r="B657">
        <v>133630</v>
      </c>
      <c r="C657" s="1">
        <v>20533.34</v>
      </c>
      <c r="D657" s="5">
        <v>44144</v>
      </c>
      <c r="E657" t="str">
        <f>"11437"</f>
        <v>11437</v>
      </c>
      <c r="F657" t="str">
        <f>"ABST FEE-$175 / SERVICE-$130"</f>
        <v>ABST FEE-$175 / SERVICE-$130</v>
      </c>
      <c r="G657" s="1">
        <v>305</v>
      </c>
      <c r="H657" t="str">
        <f>"ABST FEE-$175 / SERVICE-$130"</f>
        <v>ABST FEE-$175 / SERVICE-$130</v>
      </c>
    </row>
    <row r="658" spans="1:8" x14ac:dyDescent="0.25">
      <c r="E658" t="str">
        <f>"12973"</f>
        <v>12973</v>
      </c>
      <c r="F658" t="str">
        <f>"ABSTRACT FEE"</f>
        <v>ABSTRACT FEE</v>
      </c>
      <c r="G658" s="1">
        <v>225</v>
      </c>
      <c r="H658" t="str">
        <f>"ABSTRACT FEE"</f>
        <v>ABSTRACT FEE</v>
      </c>
    </row>
    <row r="659" spans="1:8" x14ac:dyDescent="0.25">
      <c r="E659" t="s">
        <v>231</v>
      </c>
      <c r="F659" s="1" t="str">
        <f>"ABST FEE"</f>
        <v>ABST FEE</v>
      </c>
      <c r="G659" s="1">
        <v>225</v>
      </c>
      <c r="H659" s="1" t="str">
        <f>"ABST FEE"</f>
        <v>ABST FEE</v>
      </c>
    </row>
    <row r="660" spans="1:8" x14ac:dyDescent="0.25">
      <c r="E660" t="str">
        <f>"13274"</f>
        <v>13274</v>
      </c>
      <c r="F660" t="str">
        <f>"ABST FEE"</f>
        <v>ABST FEE</v>
      </c>
      <c r="G660" s="1">
        <v>225</v>
      </c>
      <c r="H660" t="str">
        <f>"ABST FEE"</f>
        <v>ABST FEE</v>
      </c>
    </row>
    <row r="661" spans="1:8" x14ac:dyDescent="0.25">
      <c r="E661" t="str">
        <f>"13311  09/08/2020"</f>
        <v>13311  09/08/2020</v>
      </c>
      <c r="F661" t="str">
        <f>"13311"</f>
        <v>13311</v>
      </c>
      <c r="G661" s="1">
        <v>85</v>
      </c>
      <c r="H661" t="str">
        <f>"13311"</f>
        <v>13311</v>
      </c>
    </row>
    <row r="662" spans="1:8" x14ac:dyDescent="0.25">
      <c r="E662" t="str">
        <f>"13337"</f>
        <v>13337</v>
      </c>
      <c r="F662" t="str">
        <f>"ABST FEE"</f>
        <v>ABST FEE</v>
      </c>
      <c r="G662" s="1">
        <v>225</v>
      </c>
      <c r="H662" t="str">
        <f>"ABST FEE"</f>
        <v>ABST FEE</v>
      </c>
    </row>
    <row r="663" spans="1:8" x14ac:dyDescent="0.25">
      <c r="E663" t="str">
        <f>"13349"</f>
        <v>13349</v>
      </c>
      <c r="F663" t="str">
        <f>"ABST FEE"</f>
        <v>ABST FEE</v>
      </c>
      <c r="G663" s="1">
        <v>225</v>
      </c>
      <c r="H663" t="str">
        <f>"ABST FEE"</f>
        <v>ABST FEE</v>
      </c>
    </row>
    <row r="664" spans="1:8" x14ac:dyDescent="0.25">
      <c r="E664" t="str">
        <f>"13398"</f>
        <v>13398</v>
      </c>
      <c r="F664" t="str">
        <f>"ABST FEE"</f>
        <v>ABST FEE</v>
      </c>
      <c r="G664" s="1">
        <v>225</v>
      </c>
      <c r="H664" t="str">
        <f>"ABST FEE"</f>
        <v>ABST FEE</v>
      </c>
    </row>
    <row r="665" spans="1:8" x14ac:dyDescent="0.25">
      <c r="E665" t="str">
        <f>"13418"</f>
        <v>13418</v>
      </c>
      <c r="F665" t="str">
        <f>"ABST FEE"</f>
        <v>ABST FEE</v>
      </c>
      <c r="G665" s="1">
        <v>225</v>
      </c>
      <c r="H665" t="str">
        <f>"ABST FEE"</f>
        <v>ABST FEE</v>
      </c>
    </row>
    <row r="666" spans="1:8" x14ac:dyDescent="0.25">
      <c r="E666" t="str">
        <f>"13490"</f>
        <v>13490</v>
      </c>
      <c r="F666" t="str">
        <f>"ABST FEE-$225 / SERVICE-$55"</f>
        <v>ABST FEE-$225 / SERVICE-$55</v>
      </c>
      <c r="G666" s="1">
        <v>280</v>
      </c>
      <c r="H666" t="str">
        <f>"ABST FEE-$225 / SERVICE-$55"</f>
        <v>ABST FEE-$225 / SERVICE-$55</v>
      </c>
    </row>
    <row r="667" spans="1:8" x14ac:dyDescent="0.25">
      <c r="E667" t="str">
        <f>"13500"</f>
        <v>13500</v>
      </c>
      <c r="F667" t="str">
        <f>"ABST FEE"</f>
        <v>ABST FEE</v>
      </c>
      <c r="G667" s="1">
        <v>225</v>
      </c>
      <c r="H667" t="str">
        <f>"ABST FEE"</f>
        <v>ABST FEE</v>
      </c>
    </row>
    <row r="668" spans="1:8" x14ac:dyDescent="0.25">
      <c r="E668" t="str">
        <f>"13512"</f>
        <v>13512</v>
      </c>
      <c r="F668" t="str">
        <f>"ABST FEE-$225 / SERVICE-$55"</f>
        <v>ABST FEE-$225 / SERVICE-$55</v>
      </c>
      <c r="G668" s="1">
        <v>280</v>
      </c>
      <c r="H668" t="str">
        <f>"ABST FEE-$225 / SERVICE-$55"</f>
        <v>ABST FEE-$225 / SERVICE-$55</v>
      </c>
    </row>
    <row r="669" spans="1:8" x14ac:dyDescent="0.25">
      <c r="E669" t="str">
        <f>"202011039900"</f>
        <v>202011039900</v>
      </c>
      <c r="F669" t="str">
        <f>"DELINQUENT TAX COLL-OCT2020"</f>
        <v>DELINQUENT TAX COLL-OCT2020</v>
      </c>
      <c r="G669" s="1">
        <v>17783.34</v>
      </c>
      <c r="H669" t="str">
        <f>"DELINQUENT TAX COLL-OCT2020"</f>
        <v>DELINQUENT TAX COLL-OCT2020</v>
      </c>
    </row>
    <row r="670" spans="1:8" x14ac:dyDescent="0.25">
      <c r="A670" t="s">
        <v>230</v>
      </c>
      <c r="B670">
        <v>133802</v>
      </c>
      <c r="C670" s="1">
        <v>1933.28</v>
      </c>
      <c r="D670" s="5">
        <v>44158</v>
      </c>
      <c r="E670" t="str">
        <f>"12972"</f>
        <v>12972</v>
      </c>
      <c r="F670" t="str">
        <f>"ABST FEE"</f>
        <v>ABST FEE</v>
      </c>
      <c r="G670" s="1">
        <v>225</v>
      </c>
      <c r="H670" t="str">
        <f>"ABST FEE"</f>
        <v>ABST FEE</v>
      </c>
    </row>
    <row r="671" spans="1:8" x14ac:dyDescent="0.25">
      <c r="E671" t="str">
        <f>"13231"</f>
        <v>13231</v>
      </c>
      <c r="F671" t="str">
        <f>"ABST FEE"</f>
        <v>ABST FEE</v>
      </c>
      <c r="G671" s="1">
        <v>225</v>
      </c>
      <c r="H671" t="str">
        <f>"ABST FEE"</f>
        <v>ABST FEE</v>
      </c>
    </row>
    <row r="672" spans="1:8" x14ac:dyDescent="0.25">
      <c r="E672" t="str">
        <f>"13283"</f>
        <v>13283</v>
      </c>
      <c r="F672" t="str">
        <f>"ABST FEE"</f>
        <v>ABST FEE</v>
      </c>
      <c r="G672" s="1">
        <v>112.5</v>
      </c>
      <c r="H672" t="str">
        <f>"ABST FEE"</f>
        <v>ABST FEE</v>
      </c>
    </row>
    <row r="673" spans="1:8" x14ac:dyDescent="0.25">
      <c r="E673" t="str">
        <f>"13356"</f>
        <v>13356</v>
      </c>
      <c r="F673" t="str">
        <f>"ABST FEE"</f>
        <v>ABST FEE</v>
      </c>
      <c r="G673" s="1">
        <v>225</v>
      </c>
      <c r="H673" t="str">
        <f>"ABST FEE"</f>
        <v>ABST FEE</v>
      </c>
    </row>
    <row r="674" spans="1:8" x14ac:dyDescent="0.25">
      <c r="E674" t="str">
        <f>"13370  09/22/20"</f>
        <v>13370  09/22/20</v>
      </c>
      <c r="F674" t="str">
        <f>"ABST FEE"</f>
        <v>ABST FEE</v>
      </c>
      <c r="G674" s="1">
        <v>201</v>
      </c>
      <c r="H674" t="str">
        <f>"ABST FEE"</f>
        <v>ABST FEE</v>
      </c>
    </row>
    <row r="675" spans="1:8" x14ac:dyDescent="0.25">
      <c r="E675" t="str">
        <f>"13473"</f>
        <v>13473</v>
      </c>
      <c r="F675" t="str">
        <f>"ABST FEE-$225  SERVICE-$4478"</f>
        <v>ABST FEE-$225  SERVICE-$4478</v>
      </c>
      <c r="G675" s="1">
        <v>269.77999999999997</v>
      </c>
      <c r="H675" t="str">
        <f>"ABST FEE-$225  SERVICE-$4478"</f>
        <v>ABST FEE-$225  SERVICE-$4478</v>
      </c>
    </row>
    <row r="676" spans="1:8" x14ac:dyDescent="0.25">
      <c r="E676" t="str">
        <f>"13479"</f>
        <v>13479</v>
      </c>
      <c r="F676" t="str">
        <f>"ABST FEE"</f>
        <v>ABST FEE</v>
      </c>
      <c r="G676" s="1">
        <v>225</v>
      </c>
      <c r="H676" t="str">
        <f>"ABST FEE"</f>
        <v>ABST FEE</v>
      </c>
    </row>
    <row r="677" spans="1:8" x14ac:dyDescent="0.25">
      <c r="E677" t="str">
        <f>"13544"</f>
        <v>13544</v>
      </c>
      <c r="F677" t="str">
        <f>"ABST FEE  09/21/20"</f>
        <v>ABST FEE  09/21/20</v>
      </c>
      <c r="G677" s="1">
        <v>225</v>
      </c>
      <c r="H677" t="str">
        <f>"ABST FEE  09/21/20"</f>
        <v>ABST FEE  09/21/20</v>
      </c>
    </row>
    <row r="678" spans="1:8" x14ac:dyDescent="0.25">
      <c r="E678" t="str">
        <f>"202011180173"</f>
        <v>202011180173</v>
      </c>
      <c r="F678" t="str">
        <f>"12694"</f>
        <v>12694</v>
      </c>
      <c r="G678" s="1">
        <v>225</v>
      </c>
      <c r="H678" t="str">
        <f>"12694"</f>
        <v>12694</v>
      </c>
    </row>
    <row r="679" spans="1:8" x14ac:dyDescent="0.25">
      <c r="A679" t="s">
        <v>232</v>
      </c>
      <c r="B679">
        <v>133803</v>
      </c>
      <c r="C679" s="1">
        <v>325.43</v>
      </c>
      <c r="D679" s="5">
        <v>44158</v>
      </c>
      <c r="E679" t="str">
        <f>"17075841 6510 7793"</f>
        <v>17075841 6510 7793</v>
      </c>
      <c r="F679" t="str">
        <f>"INV 17075841"</f>
        <v>INV 17075841</v>
      </c>
      <c r="G679" s="1">
        <v>325.43</v>
      </c>
      <c r="H679" t="str">
        <f>"INV 17075841"</f>
        <v>INV 17075841</v>
      </c>
    </row>
    <row r="680" spans="1:8" x14ac:dyDescent="0.25">
      <c r="E680" t="str">
        <f>""</f>
        <v/>
      </c>
      <c r="F680" t="str">
        <f>""</f>
        <v/>
      </c>
      <c r="H680" t="str">
        <f>"INV 17076510"</f>
        <v>INV 17076510</v>
      </c>
    </row>
    <row r="681" spans="1:8" x14ac:dyDescent="0.25">
      <c r="E681" t="str">
        <f>""</f>
        <v/>
      </c>
      <c r="F681" t="str">
        <f>""</f>
        <v/>
      </c>
      <c r="H681" t="str">
        <f>"INV 17077793"</f>
        <v>INV 17077793</v>
      </c>
    </row>
    <row r="682" spans="1:8" x14ac:dyDescent="0.25">
      <c r="E682" t="str">
        <f>""</f>
        <v/>
      </c>
      <c r="F682" t="str">
        <f>""</f>
        <v/>
      </c>
      <c r="H682" t="str">
        <f>"INV 17076726"</f>
        <v>INV 17076726</v>
      </c>
    </row>
    <row r="683" spans="1:8" x14ac:dyDescent="0.25">
      <c r="A683" t="s">
        <v>233</v>
      </c>
      <c r="B683">
        <v>133804</v>
      </c>
      <c r="C683" s="1">
        <v>2206.2399999999998</v>
      </c>
      <c r="D683" s="5">
        <v>44158</v>
      </c>
      <c r="E683" t="str">
        <f>"202011180167"</f>
        <v>202011180167</v>
      </c>
      <c r="F683" t="str">
        <f>"INDIGENT HEALTH"</f>
        <v>INDIGENT HEALTH</v>
      </c>
      <c r="G683" s="1">
        <v>2206.2399999999998</v>
      </c>
      <c r="H683" t="str">
        <f>"INDIGENT HEALTH"</f>
        <v>INDIGENT HEALTH</v>
      </c>
    </row>
    <row r="684" spans="1:8" x14ac:dyDescent="0.25">
      <c r="A684" t="s">
        <v>234</v>
      </c>
      <c r="B684">
        <v>3570</v>
      </c>
      <c r="C684" s="1">
        <v>1040.3599999999999</v>
      </c>
      <c r="D684" s="5">
        <v>44159</v>
      </c>
      <c r="E684" t="str">
        <f>"202011160018"</f>
        <v>202011160018</v>
      </c>
      <c r="F684" t="str">
        <f>"MILEAGE REIMBURSEMENT"</f>
        <v>MILEAGE REIMBURSEMENT</v>
      </c>
      <c r="G684" s="1">
        <v>363.4</v>
      </c>
      <c r="H684" t="str">
        <f>"MILEAGE REIMBURSEMENT"</f>
        <v>MILEAGE REIMBURSEMENT</v>
      </c>
    </row>
    <row r="685" spans="1:8" x14ac:dyDescent="0.25">
      <c r="E685" t="str">
        <f>"202011160019"</f>
        <v>202011160019</v>
      </c>
      <c r="F685" t="str">
        <f>"REGISTRATION REIMBURSEMENT"</f>
        <v>REGISTRATION REIMBURSEMENT</v>
      </c>
      <c r="G685" s="1">
        <v>200</v>
      </c>
      <c r="H685" t="str">
        <f>"REGISTRATION REIMBURSEMENT"</f>
        <v>REGISTRATION REIMBURSEMENT</v>
      </c>
    </row>
    <row r="686" spans="1:8" x14ac:dyDescent="0.25">
      <c r="E686" t="str">
        <f>"202011160020"</f>
        <v>202011160020</v>
      </c>
      <c r="F686" t="str">
        <f>"REIMBURSE CONFERENCE REGISTRAT"</f>
        <v>REIMBURSE CONFERENCE REGISTRAT</v>
      </c>
      <c r="G686" s="1">
        <v>100</v>
      </c>
      <c r="H686" t="str">
        <f>"REIMBURSE CONFERENCE REGISTRAT"</f>
        <v>REIMBURSE CONFERENCE REGISTRAT</v>
      </c>
    </row>
    <row r="687" spans="1:8" x14ac:dyDescent="0.25">
      <c r="E687" t="str">
        <f>"202011160021"</f>
        <v>202011160021</v>
      </c>
      <c r="F687" t="str">
        <f>"REIMBURSE HOTEL/CONFERENCE"</f>
        <v>REIMBURSE HOTEL/CONFERENCE</v>
      </c>
      <c r="G687" s="1">
        <v>376.96</v>
      </c>
      <c r="H687" t="str">
        <f>"REIMBURSE HOTEL/CONFERENCE"</f>
        <v>REIMBURSE HOTEL/CONFERENCE</v>
      </c>
    </row>
    <row r="688" spans="1:8" x14ac:dyDescent="0.25">
      <c r="A688" t="s">
        <v>235</v>
      </c>
      <c r="B688">
        <v>133805</v>
      </c>
      <c r="C688" s="1">
        <v>75</v>
      </c>
      <c r="D688" s="5">
        <v>44158</v>
      </c>
      <c r="E688" t="str">
        <f>"202011180245"</f>
        <v>202011180245</v>
      </c>
      <c r="F688" t="str">
        <f>"FERAL HOGS"</f>
        <v>FERAL HOGS</v>
      </c>
      <c r="G688" s="1">
        <v>75</v>
      </c>
      <c r="H688" t="str">
        <f>"FERAL HOGS"</f>
        <v>FERAL HOGS</v>
      </c>
    </row>
    <row r="689" spans="1:8" x14ac:dyDescent="0.25">
      <c r="A689" t="s">
        <v>236</v>
      </c>
      <c r="B689">
        <v>3507</v>
      </c>
      <c r="C689" s="1">
        <v>114</v>
      </c>
      <c r="D689" s="5">
        <v>44145</v>
      </c>
      <c r="E689" t="str">
        <f>"20-038"</f>
        <v>20-038</v>
      </c>
      <c r="F689" t="str">
        <f>"ORIGINAL E FILE 17 110"</f>
        <v>ORIGINAL E FILE 17 110</v>
      </c>
      <c r="G689" s="1">
        <v>114</v>
      </c>
      <c r="H689" t="str">
        <f>"17 110"</f>
        <v>17 110</v>
      </c>
    </row>
    <row r="690" spans="1:8" x14ac:dyDescent="0.25">
      <c r="A690" t="s">
        <v>237</v>
      </c>
      <c r="B690">
        <v>133806</v>
      </c>
      <c r="C690" s="1">
        <v>310</v>
      </c>
      <c r="D690" s="5">
        <v>44158</v>
      </c>
      <c r="E690" t="str">
        <f>"202011180246"</f>
        <v>202011180246</v>
      </c>
      <c r="F690" t="str">
        <f>"FERAL HOGS"</f>
        <v>FERAL HOGS</v>
      </c>
      <c r="G690" s="1">
        <v>310</v>
      </c>
      <c r="H690" t="str">
        <f>"FERAL HOGS"</f>
        <v>FERAL HOGS</v>
      </c>
    </row>
    <row r="691" spans="1:8" x14ac:dyDescent="0.25">
      <c r="A691" t="s">
        <v>238</v>
      </c>
      <c r="B691">
        <v>3475</v>
      </c>
      <c r="C691" s="1">
        <v>6827.75</v>
      </c>
      <c r="D691" s="5">
        <v>44145</v>
      </c>
      <c r="E691" t="str">
        <f>"23262"</f>
        <v>23262</v>
      </c>
      <c r="F691" t="str">
        <f>"FREIGHT SALES/PCT#2"</f>
        <v>FREIGHT SALES/PCT#2</v>
      </c>
      <c r="G691" s="1">
        <v>3638.35</v>
      </c>
      <c r="H691" t="str">
        <f>"FREIGHT SALES/PCT#2"</f>
        <v>FREIGHT SALES/PCT#2</v>
      </c>
    </row>
    <row r="692" spans="1:8" x14ac:dyDescent="0.25">
      <c r="E692" t="str">
        <f>"23289"</f>
        <v>23289</v>
      </c>
      <c r="F692" t="str">
        <f>"FREIGHT SALES/PCT#2"</f>
        <v>FREIGHT SALES/PCT#2</v>
      </c>
      <c r="G692" s="1">
        <v>121.3</v>
      </c>
      <c r="H692" t="str">
        <f>"FREIGHT SALES/PCT#2"</f>
        <v>FREIGHT SALES/PCT#2</v>
      </c>
    </row>
    <row r="693" spans="1:8" x14ac:dyDescent="0.25">
      <c r="E693" t="str">
        <f>"23328"</f>
        <v>23328</v>
      </c>
      <c r="F693" t="str">
        <f>"FREIGHT SALES/PCT#2"</f>
        <v>FREIGHT SALES/PCT#2</v>
      </c>
      <c r="G693" s="1">
        <v>3068.1</v>
      </c>
      <c r="H693" t="str">
        <f>"FREIGHT SALES/PCT#2"</f>
        <v>FREIGHT SALES/PCT#2</v>
      </c>
    </row>
    <row r="694" spans="1:8" x14ac:dyDescent="0.25">
      <c r="A694" t="s">
        <v>238</v>
      </c>
      <c r="B694">
        <v>3535</v>
      </c>
      <c r="C694" s="1">
        <v>2975.8</v>
      </c>
      <c r="D694" s="5">
        <v>44159</v>
      </c>
      <c r="E694" t="str">
        <f>"23392"</f>
        <v>23392</v>
      </c>
      <c r="F694" t="str">
        <f>"FREIGHT SALES/PCT#2"</f>
        <v>FREIGHT SALES/PCT#2</v>
      </c>
      <c r="G694" s="1">
        <v>2975.8</v>
      </c>
      <c r="H694" t="str">
        <f>"FREIGHT SALES/PCT#2"</f>
        <v>FREIGHT SALES/PCT#2</v>
      </c>
    </row>
    <row r="695" spans="1:8" x14ac:dyDescent="0.25">
      <c r="A695" t="s">
        <v>239</v>
      </c>
      <c r="B695">
        <v>133807</v>
      </c>
      <c r="C695" s="1">
        <v>20</v>
      </c>
      <c r="D695" s="5">
        <v>44158</v>
      </c>
      <c r="E695" t="str">
        <f>"202011180247"</f>
        <v>202011180247</v>
      </c>
      <c r="F695" t="str">
        <f>"FERAL HOGS"</f>
        <v>FERAL HOGS</v>
      </c>
      <c r="G695" s="1">
        <v>20</v>
      </c>
      <c r="H695" t="str">
        <f>"FERAL HOGS"</f>
        <v>FERAL HOGS</v>
      </c>
    </row>
    <row r="696" spans="1:8" x14ac:dyDescent="0.25">
      <c r="A696" t="s">
        <v>240</v>
      </c>
      <c r="B696">
        <v>133808</v>
      </c>
      <c r="C696" s="1">
        <v>20769.310000000001</v>
      </c>
      <c r="D696" s="5">
        <v>44158</v>
      </c>
      <c r="E696" t="str">
        <f>"8230294441"</f>
        <v>8230294441</v>
      </c>
      <c r="F696" t="str">
        <f>"ACCT#1036215277/RADIO SVC AGMT"</f>
        <v>ACCT#1036215277/RADIO SVC AGMT</v>
      </c>
      <c r="G696" s="1">
        <v>20769.310000000001</v>
      </c>
      <c r="H696" t="str">
        <f>"ACCT#1036215277/RADIO SVC AGMT"</f>
        <v>ACCT#1036215277/RADIO SVC AGMT</v>
      </c>
    </row>
    <row r="697" spans="1:8" x14ac:dyDescent="0.25">
      <c r="A697" t="s">
        <v>241</v>
      </c>
      <c r="B697">
        <v>133809</v>
      </c>
      <c r="C697" s="1">
        <v>558.79999999999995</v>
      </c>
      <c r="D697" s="5">
        <v>44158</v>
      </c>
      <c r="E697" t="str">
        <f>"202011180155"</f>
        <v>202011180155</v>
      </c>
      <c r="F697" t="str">
        <f>"INDIGENT HEALTH"</f>
        <v>INDIGENT HEALTH</v>
      </c>
      <c r="G697" s="1">
        <v>558.79999999999995</v>
      </c>
      <c r="H697" t="str">
        <f>"INDIGENT HEALTH"</f>
        <v>INDIGENT HEALTH</v>
      </c>
    </row>
    <row r="698" spans="1:8" x14ac:dyDescent="0.25">
      <c r="E698" t="str">
        <f>""</f>
        <v/>
      </c>
      <c r="F698" t="str">
        <f>""</f>
        <v/>
      </c>
      <c r="H698" t="str">
        <f>"INDIGENT HEALTH"</f>
        <v>INDIGENT HEALTH</v>
      </c>
    </row>
    <row r="699" spans="1:8" x14ac:dyDescent="0.25">
      <c r="A699" t="s">
        <v>242</v>
      </c>
      <c r="B699">
        <v>133810</v>
      </c>
      <c r="C699" s="1">
        <v>420</v>
      </c>
      <c r="D699" s="5">
        <v>44158</v>
      </c>
      <c r="E699" t="str">
        <f>"202011170071"</f>
        <v>202011170071</v>
      </c>
      <c r="F699" t="str">
        <f>"REIMBURSE BAIL BOND STICKERS"</f>
        <v>REIMBURSE BAIL BOND STICKERS</v>
      </c>
      <c r="G699" s="1">
        <v>420</v>
      </c>
      <c r="H699" t="str">
        <f>"REIMBURSE BAIL BOND STICKERS"</f>
        <v>REIMBURSE BAIL BOND STICKERS</v>
      </c>
    </row>
    <row r="700" spans="1:8" x14ac:dyDescent="0.25">
      <c r="A700" t="s">
        <v>243</v>
      </c>
      <c r="B700">
        <v>3551</v>
      </c>
      <c r="C700" s="1">
        <v>4910.16</v>
      </c>
      <c r="D700" s="5">
        <v>44159</v>
      </c>
      <c r="E700" t="str">
        <f>"202011170059"</f>
        <v>202011170059</v>
      </c>
      <c r="F700" t="str">
        <f>"MUSTANG MACHINERY COMPANY LTD"</f>
        <v>MUSTANG MACHINERY COMPANY LTD</v>
      </c>
      <c r="G700" s="1">
        <v>4910.16</v>
      </c>
      <c r="H700" t="str">
        <f>"475-2811"</f>
        <v>475-2811</v>
      </c>
    </row>
    <row r="701" spans="1:8" x14ac:dyDescent="0.25">
      <c r="E701" t="str">
        <f>""</f>
        <v/>
      </c>
      <c r="F701" t="str">
        <f>""</f>
        <v/>
      </c>
      <c r="H701" t="str">
        <f>"475-2812"</f>
        <v>475-2812</v>
      </c>
    </row>
    <row r="702" spans="1:8" x14ac:dyDescent="0.25">
      <c r="E702" t="str">
        <f>""</f>
        <v/>
      </c>
      <c r="F702" t="str">
        <f>""</f>
        <v/>
      </c>
      <c r="H702" t="str">
        <f>"475-2813"</f>
        <v>475-2813</v>
      </c>
    </row>
    <row r="703" spans="1:8" x14ac:dyDescent="0.25">
      <c r="E703" t="str">
        <f>""</f>
        <v/>
      </c>
      <c r="F703" t="str">
        <f>""</f>
        <v/>
      </c>
      <c r="H703" t="str">
        <f>"Shipping"</f>
        <v>Shipping</v>
      </c>
    </row>
    <row r="704" spans="1:8" x14ac:dyDescent="0.25">
      <c r="A704" t="s">
        <v>244</v>
      </c>
      <c r="B704">
        <v>133811</v>
      </c>
      <c r="C704" s="1">
        <v>3500</v>
      </c>
      <c r="D704" s="5">
        <v>44158</v>
      </c>
      <c r="E704" t="str">
        <f>"202011180100"</f>
        <v>202011180100</v>
      </c>
      <c r="F704" t="str">
        <f>"JOB 10-1-20"</f>
        <v>JOB 10-1-20</v>
      </c>
      <c r="G704" s="1">
        <v>3500</v>
      </c>
      <c r="H704" t="str">
        <f>"JOB 10-1-20"</f>
        <v>JOB 10-1-20</v>
      </c>
    </row>
    <row r="705" spans="1:8" x14ac:dyDescent="0.25">
      <c r="A705" t="s">
        <v>245</v>
      </c>
      <c r="B705">
        <v>3495</v>
      </c>
      <c r="C705" s="1">
        <v>286.47000000000003</v>
      </c>
      <c r="D705" s="5">
        <v>44145</v>
      </c>
      <c r="E705" t="str">
        <f>"86143"</f>
        <v>86143</v>
      </c>
      <c r="F705" t="str">
        <f>"ACCT#24367/ORD#135957/ANIMAL"</f>
        <v>ACCT#24367/ORD#135957/ANIMAL</v>
      </c>
      <c r="G705" s="1">
        <v>286.47000000000003</v>
      </c>
      <c r="H705" t="str">
        <f>"ACCT#24367/ORD#135957/ANIMAL"</f>
        <v>ACCT#24367/ORD#135957/ANIMAL</v>
      </c>
    </row>
    <row r="706" spans="1:8" x14ac:dyDescent="0.25">
      <c r="A706" t="s">
        <v>246</v>
      </c>
      <c r="B706">
        <v>3467</v>
      </c>
      <c r="C706" s="1">
        <v>1680</v>
      </c>
      <c r="D706" s="5">
        <v>44145</v>
      </c>
      <c r="E706" t="str">
        <f>"IN0848276"</f>
        <v>IN0848276</v>
      </c>
      <c r="F706" t="str">
        <f>"INV IN0848276"</f>
        <v>INV IN0848276</v>
      </c>
      <c r="G706" s="1">
        <v>1680</v>
      </c>
      <c r="H706" t="str">
        <f>"INV IN0848276"</f>
        <v>INV IN0848276</v>
      </c>
    </row>
    <row r="707" spans="1:8" x14ac:dyDescent="0.25">
      <c r="A707" t="s">
        <v>246</v>
      </c>
      <c r="B707">
        <v>3524</v>
      </c>
      <c r="C707" s="1">
        <v>3726.49</v>
      </c>
      <c r="D707" s="5">
        <v>44159</v>
      </c>
      <c r="E707" t="str">
        <f>"IN0848938"</f>
        <v>IN0848938</v>
      </c>
      <c r="F707" t="str">
        <f>"INV IN0848938"</f>
        <v>INV IN0848938</v>
      </c>
      <c r="G707" s="1">
        <v>3726.49</v>
      </c>
      <c r="H707" t="str">
        <f>"INV IN0848938"</f>
        <v>INV IN0848938</v>
      </c>
    </row>
    <row r="708" spans="1:8" x14ac:dyDescent="0.25">
      <c r="A708" t="s">
        <v>247</v>
      </c>
      <c r="B708">
        <v>133812</v>
      </c>
      <c r="C708" s="1">
        <v>535</v>
      </c>
      <c r="D708" s="5">
        <v>44158</v>
      </c>
      <c r="E708" t="str">
        <f>"202011180248"</f>
        <v>202011180248</v>
      </c>
      <c r="F708" t="str">
        <f>"FERAL HOGS"</f>
        <v>FERAL HOGS</v>
      </c>
      <c r="G708" s="1">
        <v>535</v>
      </c>
      <c r="H708" t="str">
        <f>"FERAL HOGS"</f>
        <v>FERAL HOGS</v>
      </c>
    </row>
    <row r="709" spans="1:8" x14ac:dyDescent="0.25">
      <c r="A709" t="s">
        <v>248</v>
      </c>
      <c r="B709">
        <v>133632</v>
      </c>
      <c r="C709" s="1">
        <v>3198</v>
      </c>
      <c r="D709" s="5">
        <v>44144</v>
      </c>
      <c r="E709" t="str">
        <f>"403611S"</f>
        <v>403611S</v>
      </c>
      <c r="F709" t="str">
        <f>"CUST#38859/RO#403278S/PCT#1"</f>
        <v>CUST#38859/RO#403278S/PCT#1</v>
      </c>
      <c r="G709" s="1">
        <v>1599</v>
      </c>
      <c r="H709" t="str">
        <f>"CUST#38859/RO#403278S/PCT#1"</f>
        <v>CUST#38859/RO#403278S/PCT#1</v>
      </c>
    </row>
    <row r="710" spans="1:8" x14ac:dyDescent="0.25">
      <c r="E710" t="str">
        <f>"403611S - P2"</f>
        <v>403611S - P2</v>
      </c>
      <c r="F710" t="str">
        <f>"CUST#38859/RO#403278S/PCT#2"</f>
        <v>CUST#38859/RO#403278S/PCT#2</v>
      </c>
      <c r="G710" s="1">
        <v>1599</v>
      </c>
      <c r="H710" t="str">
        <f>"CUST#38859/RO#403278S/PCT#2"</f>
        <v>CUST#38859/RO#403278S/PCT#2</v>
      </c>
    </row>
    <row r="711" spans="1:8" x14ac:dyDescent="0.25">
      <c r="A711" t="s">
        <v>249</v>
      </c>
      <c r="B711">
        <v>3591</v>
      </c>
      <c r="C711" s="1">
        <v>33.93</v>
      </c>
      <c r="D711" s="5">
        <v>44159</v>
      </c>
      <c r="E711" t="str">
        <f>"202011160034"</f>
        <v>202011160034</v>
      </c>
      <c r="F711" t="str">
        <f>"CUST#1772018/PCT#1"</f>
        <v>CUST#1772018/PCT#1</v>
      </c>
      <c r="G711" s="1">
        <v>33.93</v>
      </c>
      <c r="H711" t="str">
        <f>"CUST#1772018/PCT#1"</f>
        <v>CUST#1772018/PCT#1</v>
      </c>
    </row>
    <row r="712" spans="1:8" x14ac:dyDescent="0.25">
      <c r="A712" t="s">
        <v>250</v>
      </c>
      <c r="B712">
        <v>133633</v>
      </c>
      <c r="C712" s="1">
        <v>2329.2600000000002</v>
      </c>
      <c r="D712" s="5">
        <v>44144</v>
      </c>
      <c r="E712" t="str">
        <f>"15873007"</f>
        <v>15873007</v>
      </c>
      <c r="F712" t="str">
        <f>"Bill"</f>
        <v>Bill</v>
      </c>
      <c r="G712" s="1">
        <v>2329.2600000000002</v>
      </c>
      <c r="H712" t="str">
        <f>"121834038001"</f>
        <v>121834038001</v>
      </c>
    </row>
    <row r="713" spans="1:8" x14ac:dyDescent="0.25">
      <c r="E713" t="str">
        <f>""</f>
        <v/>
      </c>
      <c r="F713" t="str">
        <f>""</f>
        <v/>
      </c>
      <c r="H713" t="str">
        <f>"121844253001"</f>
        <v>121844253001</v>
      </c>
    </row>
    <row r="714" spans="1:8" x14ac:dyDescent="0.25">
      <c r="E714" t="str">
        <f>""</f>
        <v/>
      </c>
      <c r="F714" t="str">
        <f>""</f>
        <v/>
      </c>
      <c r="H714" t="str">
        <f>"116266705001"</f>
        <v>116266705001</v>
      </c>
    </row>
    <row r="715" spans="1:8" x14ac:dyDescent="0.25">
      <c r="E715" t="str">
        <f>""</f>
        <v/>
      </c>
      <c r="F715" t="str">
        <f>""</f>
        <v/>
      </c>
      <c r="H715" t="str">
        <f>"120019389001"</f>
        <v>120019389001</v>
      </c>
    </row>
    <row r="716" spans="1:8" x14ac:dyDescent="0.25">
      <c r="E716" t="str">
        <f>""</f>
        <v/>
      </c>
      <c r="F716" t="str">
        <f>""</f>
        <v/>
      </c>
      <c r="H716" t="str">
        <f>"120022592001"</f>
        <v>120022592001</v>
      </c>
    </row>
    <row r="717" spans="1:8" x14ac:dyDescent="0.25">
      <c r="E717" t="str">
        <f>""</f>
        <v/>
      </c>
      <c r="F717" t="str">
        <f>""</f>
        <v/>
      </c>
      <c r="H717" t="str">
        <f>"120808975001"</f>
        <v>120808975001</v>
      </c>
    </row>
    <row r="718" spans="1:8" x14ac:dyDescent="0.25">
      <c r="E718" t="str">
        <f>""</f>
        <v/>
      </c>
      <c r="F718" t="str">
        <f>""</f>
        <v/>
      </c>
      <c r="H718" t="str">
        <f>"120249245001"</f>
        <v>120249245001</v>
      </c>
    </row>
    <row r="719" spans="1:8" x14ac:dyDescent="0.25">
      <c r="E719" t="str">
        <f>""</f>
        <v/>
      </c>
      <c r="F719" t="str">
        <f>""</f>
        <v/>
      </c>
      <c r="H719" t="str">
        <f>"120258419001"</f>
        <v>120258419001</v>
      </c>
    </row>
    <row r="720" spans="1:8" x14ac:dyDescent="0.25">
      <c r="E720" t="str">
        <f>""</f>
        <v/>
      </c>
      <c r="F720" t="str">
        <f>""</f>
        <v/>
      </c>
      <c r="H720" t="str">
        <f>"120258424001"</f>
        <v>120258424001</v>
      </c>
    </row>
    <row r="721" spans="1:8" x14ac:dyDescent="0.25">
      <c r="E721" t="str">
        <f>""</f>
        <v/>
      </c>
      <c r="F721" t="str">
        <f>""</f>
        <v/>
      </c>
      <c r="H721" t="str">
        <f>"116419682001"</f>
        <v>116419682001</v>
      </c>
    </row>
    <row r="722" spans="1:8" x14ac:dyDescent="0.25">
      <c r="E722" t="str">
        <f>""</f>
        <v/>
      </c>
      <c r="F722" t="str">
        <f>""</f>
        <v/>
      </c>
      <c r="H722" t="str">
        <f>"116485633001"</f>
        <v>116485633001</v>
      </c>
    </row>
    <row r="723" spans="1:8" x14ac:dyDescent="0.25">
      <c r="E723" t="str">
        <f>""</f>
        <v/>
      </c>
      <c r="F723" t="str">
        <f>""</f>
        <v/>
      </c>
      <c r="H723" t="str">
        <f>"120165903001"</f>
        <v>120165903001</v>
      </c>
    </row>
    <row r="724" spans="1:8" x14ac:dyDescent="0.25">
      <c r="E724" t="str">
        <f>""</f>
        <v/>
      </c>
      <c r="F724" t="str">
        <f>""</f>
        <v/>
      </c>
      <c r="H724" t="str">
        <f>"121045162001"</f>
        <v>121045162001</v>
      </c>
    </row>
    <row r="725" spans="1:8" x14ac:dyDescent="0.25">
      <c r="E725" t="str">
        <f>""</f>
        <v/>
      </c>
      <c r="F725" t="str">
        <f>""</f>
        <v/>
      </c>
      <c r="H725" t="str">
        <f>"119266949001"</f>
        <v>119266949001</v>
      </c>
    </row>
    <row r="726" spans="1:8" x14ac:dyDescent="0.25">
      <c r="E726" t="str">
        <f>""</f>
        <v/>
      </c>
      <c r="F726" t="str">
        <f>""</f>
        <v/>
      </c>
      <c r="H726" t="str">
        <f>"120304555001"</f>
        <v>120304555001</v>
      </c>
    </row>
    <row r="727" spans="1:8" x14ac:dyDescent="0.25">
      <c r="E727" t="str">
        <f>""</f>
        <v/>
      </c>
      <c r="F727" t="str">
        <f>""</f>
        <v/>
      </c>
      <c r="H727" t="str">
        <f>"121220892001"</f>
        <v>121220892001</v>
      </c>
    </row>
    <row r="728" spans="1:8" x14ac:dyDescent="0.25">
      <c r="E728" t="str">
        <f>""</f>
        <v/>
      </c>
      <c r="F728" t="str">
        <f>""</f>
        <v/>
      </c>
      <c r="H728" t="str">
        <f>"121220892002"</f>
        <v>121220892002</v>
      </c>
    </row>
    <row r="729" spans="1:8" x14ac:dyDescent="0.25">
      <c r="E729" t="str">
        <f>""</f>
        <v/>
      </c>
      <c r="F729" t="str">
        <f>""</f>
        <v/>
      </c>
      <c r="H729" t="str">
        <f>"121303418001"</f>
        <v>121303418001</v>
      </c>
    </row>
    <row r="730" spans="1:8" x14ac:dyDescent="0.25">
      <c r="A730" t="s">
        <v>251</v>
      </c>
      <c r="B730">
        <v>3508</v>
      </c>
      <c r="C730" s="1">
        <v>989</v>
      </c>
      <c r="D730" s="5">
        <v>44145</v>
      </c>
      <c r="E730" t="str">
        <f>"2056-1"</f>
        <v>2056-1</v>
      </c>
      <c r="F730" t="str">
        <f>"DIAGNOSTIC CHARGE/JUVENILE BLD"</f>
        <v>DIAGNOSTIC CHARGE/JUVENILE BLD</v>
      </c>
      <c r="G730" s="1">
        <v>168</v>
      </c>
      <c r="H730" t="str">
        <f>"DIAGNOSTIC CHARGE/JUVENILE BLD"</f>
        <v>DIAGNOSTIC CHARGE/JUVENILE BLD</v>
      </c>
    </row>
    <row r="731" spans="1:8" x14ac:dyDescent="0.25">
      <c r="E731" t="str">
        <f>"2056-2"</f>
        <v>2056-2</v>
      </c>
      <c r="F731" t="str">
        <f>"PLUMBING SVCS/104 LOOP 150 W"</f>
        <v>PLUMBING SVCS/104 LOOP 150 W</v>
      </c>
      <c r="G731" s="1">
        <v>821</v>
      </c>
      <c r="H731" t="str">
        <f>"PLUMBING SVCS/104 LOOP 150 W"</f>
        <v>PLUMBING SVCS/104 LOOP 150 W</v>
      </c>
    </row>
    <row r="732" spans="1:8" x14ac:dyDescent="0.25">
      <c r="A732" t="s">
        <v>252</v>
      </c>
      <c r="B732">
        <v>133634</v>
      </c>
      <c r="C732" s="1">
        <v>260</v>
      </c>
      <c r="D732" s="5">
        <v>44144</v>
      </c>
      <c r="E732" t="str">
        <f>"202011029826"</f>
        <v>202011029826</v>
      </c>
      <c r="F732" t="str">
        <f>"REIMBURSE STATE BAR DUES"</f>
        <v>REIMBURSE STATE BAR DUES</v>
      </c>
      <c r="G732" s="1">
        <v>260</v>
      </c>
      <c r="H732" t="str">
        <f>"REIMBURSE STATE BAR DUES"</f>
        <v>REIMBURSE STATE BAR DUES</v>
      </c>
    </row>
    <row r="733" spans="1:8" x14ac:dyDescent="0.25">
      <c r="A733" t="s">
        <v>253</v>
      </c>
      <c r="B733">
        <v>133813</v>
      </c>
      <c r="C733" s="1">
        <v>230</v>
      </c>
      <c r="D733" s="5">
        <v>44158</v>
      </c>
      <c r="E733" t="str">
        <f>"202011180249"</f>
        <v>202011180249</v>
      </c>
      <c r="F733" t="str">
        <f>"FERAL HOGS"</f>
        <v>FERAL HOGS</v>
      </c>
      <c r="G733" s="1">
        <v>230</v>
      </c>
      <c r="H733" t="str">
        <f>"FERAL HOGS"</f>
        <v>FERAL HOGS</v>
      </c>
    </row>
    <row r="734" spans="1:8" x14ac:dyDescent="0.25">
      <c r="A734" t="s">
        <v>254</v>
      </c>
      <c r="B734">
        <v>3468</v>
      </c>
      <c r="C734" s="1">
        <v>92929.600000000006</v>
      </c>
      <c r="D734" s="5">
        <v>44145</v>
      </c>
      <c r="E734" t="str">
        <f>"20481"</f>
        <v>20481</v>
      </c>
      <c r="F734" t="str">
        <f>"ASPHALT EMULSION/PCT#2"</f>
        <v>ASPHALT EMULSION/PCT#2</v>
      </c>
      <c r="G734" s="1">
        <v>92929.600000000006</v>
      </c>
      <c r="H734" t="str">
        <f>"ASPHALT EMULSION/PCT#2"</f>
        <v>ASPHALT EMULSION/PCT#2</v>
      </c>
    </row>
    <row r="735" spans="1:8" x14ac:dyDescent="0.25">
      <c r="A735" t="s">
        <v>255</v>
      </c>
      <c r="B735">
        <v>3572</v>
      </c>
      <c r="C735" s="1">
        <v>145</v>
      </c>
      <c r="D735" s="5">
        <v>44159</v>
      </c>
      <c r="E735" t="str">
        <f>"00000054225"</f>
        <v>00000054225</v>
      </c>
      <c r="F735" t="str">
        <f>"INV 0000054225"</f>
        <v>INV 0000054225</v>
      </c>
      <c r="G735" s="1">
        <v>145</v>
      </c>
      <c r="H735" t="str">
        <f>"INV 0000054225"</f>
        <v>INV 0000054225</v>
      </c>
    </row>
    <row r="736" spans="1:8" x14ac:dyDescent="0.25">
      <c r="A736" t="s">
        <v>256</v>
      </c>
      <c r="B736">
        <v>3477</v>
      </c>
      <c r="C736" s="1">
        <v>3954</v>
      </c>
      <c r="D736" s="5">
        <v>44145</v>
      </c>
      <c r="E736" t="str">
        <f>"2008440"</f>
        <v>2008440</v>
      </c>
      <c r="F736" t="str">
        <f>"ACCT#BA-CNTY-01/INSTALL OUTLET"</f>
        <v>ACCT#BA-CNTY-01/INSTALL OUTLET</v>
      </c>
      <c r="G736" s="1">
        <v>471.4</v>
      </c>
      <c r="H736" t="str">
        <f>"ACCT#BA-CNTY-01/INSTALL OUTLET"</f>
        <v>ACCT#BA-CNTY-01/INSTALL OUTLET</v>
      </c>
    </row>
    <row r="737" spans="1:8" x14ac:dyDescent="0.25">
      <c r="E737" t="str">
        <f>"2008441"</f>
        <v>2008441</v>
      </c>
      <c r="F737" t="str">
        <f>"ACCT#BA-CNTY-01/BOOT CAMP"</f>
        <v>ACCT#BA-CNTY-01/BOOT CAMP</v>
      </c>
      <c r="G737" s="1">
        <v>1722.15</v>
      </c>
      <c r="H737" t="str">
        <f>"INSTALL MAIN FEEDER/BOOT CAMP"</f>
        <v>INSTALL MAIN FEEDER/BOOT CAMP</v>
      </c>
    </row>
    <row r="738" spans="1:8" x14ac:dyDescent="0.25">
      <c r="E738" t="str">
        <f>"2008442"</f>
        <v>2008442</v>
      </c>
      <c r="F738" t="str">
        <f>"ACCT#BA-CNTY-01/ELGIN ANNEX"</f>
        <v>ACCT#BA-CNTY-01/ELGIN ANNEX</v>
      </c>
      <c r="G738" s="1">
        <v>1760.45</v>
      </c>
      <c r="H738" t="str">
        <f>"ACCT#BA-CNTY-01/ELGIN ANNEX"</f>
        <v>ACCT#BA-CNTY-01/ELGIN ANNEX</v>
      </c>
    </row>
    <row r="739" spans="1:8" x14ac:dyDescent="0.25">
      <c r="A739" t="s">
        <v>257</v>
      </c>
      <c r="B739">
        <v>133635</v>
      </c>
      <c r="C739" s="1">
        <v>1522.78</v>
      </c>
      <c r="D739" s="5">
        <v>44144</v>
      </c>
      <c r="E739" t="str">
        <f>"202011039916"</f>
        <v>202011039916</v>
      </c>
      <c r="F739" t="str">
        <f>"ACCT#0200140783"</f>
        <v>ACCT#0200140783</v>
      </c>
      <c r="G739" s="1">
        <v>343.42</v>
      </c>
      <c r="H739" t="str">
        <f>"ACCT#0200140783"</f>
        <v>ACCT#0200140783</v>
      </c>
    </row>
    <row r="740" spans="1:8" x14ac:dyDescent="0.25">
      <c r="E740" t="str">
        <f>""</f>
        <v/>
      </c>
      <c r="F740" t="str">
        <f>""</f>
        <v/>
      </c>
      <c r="H740" t="str">
        <f>"ACCT#0200140783"</f>
        <v>ACCT#0200140783</v>
      </c>
    </row>
    <row r="741" spans="1:8" x14ac:dyDescent="0.25">
      <c r="E741" t="str">
        <f>"202011039917"</f>
        <v>202011039917</v>
      </c>
      <c r="F741" t="str">
        <f>"ACCT#0200140783"</f>
        <v>ACCT#0200140783</v>
      </c>
      <c r="G741" s="1">
        <v>1179.3599999999999</v>
      </c>
      <c r="H741" t="str">
        <f>"ACCT#0200140783"</f>
        <v>ACCT#0200140783</v>
      </c>
    </row>
    <row r="742" spans="1:8" x14ac:dyDescent="0.25">
      <c r="E742" t="str">
        <f>""</f>
        <v/>
      </c>
      <c r="F742" t="str">
        <f>""</f>
        <v/>
      </c>
      <c r="H742" t="str">
        <f>"ACCT#0200140783"</f>
        <v>ACCT#0200140783</v>
      </c>
    </row>
    <row r="743" spans="1:8" x14ac:dyDescent="0.25">
      <c r="A743" t="s">
        <v>258</v>
      </c>
      <c r="B743">
        <v>3471</v>
      </c>
      <c r="C743" s="1">
        <v>422.5</v>
      </c>
      <c r="D743" s="5">
        <v>44145</v>
      </c>
      <c r="E743" t="str">
        <f>"202011039843"</f>
        <v>202011039843</v>
      </c>
      <c r="F743" t="str">
        <f>"TRASH REMOVAL 10/26-10/29/PCT4"</f>
        <v>TRASH REMOVAL 10/26-10/29/PCT4</v>
      </c>
      <c r="G743" s="1">
        <v>208</v>
      </c>
      <c r="H743" t="str">
        <f>"TRASH REMOVAL 10/26-10/29/PCT4"</f>
        <v>TRASH REMOVAL 10/26-10/29/PCT4</v>
      </c>
    </row>
    <row r="744" spans="1:8" x14ac:dyDescent="0.25">
      <c r="E744" t="str">
        <f>"202011039844"</f>
        <v>202011039844</v>
      </c>
      <c r="F744" t="str">
        <f>"TRASH REMOVAL 11/2-11/5/PCT4"</f>
        <v>TRASH REMOVAL 11/2-11/5/PCT4</v>
      </c>
      <c r="G744" s="1">
        <v>214.5</v>
      </c>
      <c r="H744" t="str">
        <f>"TRASH REMOVAL 11/2-11/5/PCT4"</f>
        <v>TRASH REMOVAL 11/2-11/5/PCT4</v>
      </c>
    </row>
    <row r="745" spans="1:8" x14ac:dyDescent="0.25">
      <c r="A745" t="s">
        <v>258</v>
      </c>
      <c r="B745">
        <v>3531</v>
      </c>
      <c r="C745" s="1">
        <v>461.5</v>
      </c>
      <c r="D745" s="5">
        <v>44159</v>
      </c>
      <c r="E745" t="str">
        <f>"202011180178"</f>
        <v>202011180178</v>
      </c>
      <c r="F745" t="str">
        <f>"TRASH REMOVAL 11/9-11/19/PCT#4"</f>
        <v>TRASH REMOVAL 11/9-11/19/PCT#4</v>
      </c>
      <c r="G745" s="1">
        <v>461.5</v>
      </c>
      <c r="H745" t="str">
        <f>"TRASH REMOVAL 11/9-11/19/PCT#4"</f>
        <v>TRASH REMOVAL 11/9-11/19/PCT#4</v>
      </c>
    </row>
    <row r="746" spans="1:8" x14ac:dyDescent="0.25">
      <c r="A746" t="s">
        <v>259</v>
      </c>
      <c r="B746">
        <v>133636</v>
      </c>
      <c r="C746" s="1">
        <v>500</v>
      </c>
      <c r="D746" s="5">
        <v>44144</v>
      </c>
      <c r="E746" t="str">
        <f>"202010299808"</f>
        <v>202010299808</v>
      </c>
      <c r="F746" t="str">
        <f>"DVLPMT &amp; DWY PERMIT FEE REFUN"</f>
        <v>DVLPMT &amp; DWY PERMIT FEE REFUN</v>
      </c>
      <c r="G746" s="1">
        <v>250</v>
      </c>
      <c r="H746" t="str">
        <f>"DVLPMT &amp; DWY PERMIT FEE REFUN"</f>
        <v>DVLPMT &amp; DWY PERMIT FEE REFUN</v>
      </c>
    </row>
    <row r="747" spans="1:8" x14ac:dyDescent="0.25">
      <c r="E747" t="str">
        <f>""</f>
        <v/>
      </c>
      <c r="F747" t="str">
        <f>""</f>
        <v/>
      </c>
      <c r="H747" t="str">
        <f>"DVLPMT &amp; DWY PERMIT FEE REFUN"</f>
        <v>DVLPMT &amp; DWY PERMIT FEE REFUN</v>
      </c>
    </row>
    <row r="748" spans="1:8" x14ac:dyDescent="0.25">
      <c r="E748" t="str">
        <f>"202010299809"</f>
        <v>202010299809</v>
      </c>
      <c r="F748" t="str">
        <f>"DEVLPMT &amp; DWY PERMIT FEE REFUN"</f>
        <v>DEVLPMT &amp; DWY PERMIT FEE REFUN</v>
      </c>
      <c r="G748" s="1">
        <v>250</v>
      </c>
      <c r="H748" t="str">
        <f>"DEVLPMT &amp; DWY PERMIT FEE REFUN"</f>
        <v>DEVLPMT &amp; DWY PERMIT FEE REFUN</v>
      </c>
    </row>
    <row r="749" spans="1:8" x14ac:dyDescent="0.25">
      <c r="E749" t="str">
        <f>""</f>
        <v/>
      </c>
      <c r="F749" t="str">
        <f>""</f>
        <v/>
      </c>
      <c r="H749" t="str">
        <f>"DEVLPMT &amp; DWY PERMIT FEE REFUN"</f>
        <v>DEVLPMT &amp; DWY PERMIT FEE REFUN</v>
      </c>
    </row>
    <row r="750" spans="1:8" x14ac:dyDescent="0.25">
      <c r="A750" t="s">
        <v>260</v>
      </c>
      <c r="B750">
        <v>3509</v>
      </c>
      <c r="C750" s="1">
        <v>1690</v>
      </c>
      <c r="D750" s="5">
        <v>44145</v>
      </c>
      <c r="E750" t="str">
        <f>"202011039952"</f>
        <v>202011039952</v>
      </c>
      <c r="F750" t="str">
        <f>"55843"</f>
        <v>55843</v>
      </c>
      <c r="G750" s="1">
        <v>250</v>
      </c>
      <c r="H750" t="str">
        <f>"55843"</f>
        <v>55843</v>
      </c>
    </row>
    <row r="751" spans="1:8" x14ac:dyDescent="0.25">
      <c r="E751" t="str">
        <f>"202011039953"</f>
        <v>202011039953</v>
      </c>
      <c r="F751" t="str">
        <f>"57 393"</f>
        <v>57 393</v>
      </c>
      <c r="G751" s="1">
        <v>250</v>
      </c>
      <c r="H751" t="str">
        <f>"57 393"</f>
        <v>57 393</v>
      </c>
    </row>
    <row r="752" spans="1:8" x14ac:dyDescent="0.25">
      <c r="E752" t="str">
        <f>"202011039954"</f>
        <v>202011039954</v>
      </c>
      <c r="F752" t="str">
        <f>"56 824"</f>
        <v>56 824</v>
      </c>
      <c r="G752" s="1">
        <v>250</v>
      </c>
      <c r="H752" t="str">
        <f>"56 824"</f>
        <v>56 824</v>
      </c>
    </row>
    <row r="753" spans="1:8" x14ac:dyDescent="0.25">
      <c r="E753" t="str">
        <f>"202011039955"</f>
        <v>202011039955</v>
      </c>
      <c r="F753" t="str">
        <f>"20-20377"</f>
        <v>20-20377</v>
      </c>
      <c r="G753" s="1">
        <v>250</v>
      </c>
      <c r="H753" t="str">
        <f>"20-20377"</f>
        <v>20-20377</v>
      </c>
    </row>
    <row r="754" spans="1:8" x14ac:dyDescent="0.25">
      <c r="E754" t="str">
        <f>"202011039956"</f>
        <v>202011039956</v>
      </c>
      <c r="F754" t="str">
        <f>"20-20227"</f>
        <v>20-20227</v>
      </c>
      <c r="G754" s="1">
        <v>257.5</v>
      </c>
      <c r="H754" t="str">
        <f>"20-20227"</f>
        <v>20-20227</v>
      </c>
    </row>
    <row r="755" spans="1:8" x14ac:dyDescent="0.25">
      <c r="E755" t="str">
        <f>"202011039957"</f>
        <v>202011039957</v>
      </c>
      <c r="F755" t="str">
        <f>"19-19948"</f>
        <v>19-19948</v>
      </c>
      <c r="G755" s="1">
        <v>197.5</v>
      </c>
      <c r="H755" t="str">
        <f>"19-19948"</f>
        <v>19-19948</v>
      </c>
    </row>
    <row r="756" spans="1:8" x14ac:dyDescent="0.25">
      <c r="E756" t="str">
        <f>"202011039958"</f>
        <v>202011039958</v>
      </c>
      <c r="F756" t="str">
        <f>"19-19811"</f>
        <v>19-19811</v>
      </c>
      <c r="G756" s="1">
        <v>235</v>
      </c>
      <c r="H756" t="str">
        <f>"19-19811"</f>
        <v>19-19811</v>
      </c>
    </row>
    <row r="757" spans="1:8" x14ac:dyDescent="0.25">
      <c r="A757" t="s">
        <v>260</v>
      </c>
      <c r="B757">
        <v>3579</v>
      </c>
      <c r="C757" s="1">
        <v>1706</v>
      </c>
      <c r="D757" s="5">
        <v>44159</v>
      </c>
      <c r="E757" t="str">
        <f>"202011180147"</f>
        <v>202011180147</v>
      </c>
      <c r="F757" t="str">
        <f>"20-20394"</f>
        <v>20-20394</v>
      </c>
      <c r="G757" s="1">
        <v>505</v>
      </c>
      <c r="H757" t="str">
        <f>"20-20394"</f>
        <v>20-20394</v>
      </c>
    </row>
    <row r="758" spans="1:8" x14ac:dyDescent="0.25">
      <c r="E758" t="str">
        <f>"202011180149"</f>
        <v>202011180149</v>
      </c>
      <c r="F758" t="str">
        <f>"20-20084"</f>
        <v>20-20084</v>
      </c>
      <c r="G758" s="1">
        <v>512.5</v>
      </c>
      <c r="H758" t="str">
        <f>"20-20084"</f>
        <v>20-20084</v>
      </c>
    </row>
    <row r="759" spans="1:8" x14ac:dyDescent="0.25">
      <c r="E759" t="str">
        <f>"202011180150"</f>
        <v>202011180150</v>
      </c>
      <c r="F759" t="str">
        <f>"20-20448"</f>
        <v>20-20448</v>
      </c>
      <c r="G759" s="1">
        <v>347.5</v>
      </c>
      <c r="H759" t="str">
        <f>"20-20448"</f>
        <v>20-20448</v>
      </c>
    </row>
    <row r="760" spans="1:8" x14ac:dyDescent="0.25">
      <c r="E760" t="str">
        <f>"202011180152"</f>
        <v>202011180152</v>
      </c>
      <c r="F760" t="str">
        <f>"18-19130"</f>
        <v>18-19130</v>
      </c>
      <c r="G760" s="1">
        <v>113.5</v>
      </c>
      <c r="H760" t="str">
        <f>"18-19130"</f>
        <v>18-19130</v>
      </c>
    </row>
    <row r="761" spans="1:8" x14ac:dyDescent="0.25">
      <c r="E761" t="str">
        <f>"202011180161"</f>
        <v>202011180161</v>
      </c>
      <c r="F761" t="str">
        <f>"20-20415"</f>
        <v>20-20415</v>
      </c>
      <c r="G761" s="1">
        <v>227.5</v>
      </c>
      <c r="H761" t="str">
        <f>"20-20415"</f>
        <v>20-20415</v>
      </c>
    </row>
    <row r="762" spans="1:8" x14ac:dyDescent="0.25">
      <c r="A762" t="s">
        <v>261</v>
      </c>
      <c r="B762">
        <v>133637</v>
      </c>
      <c r="C762" s="1">
        <v>250</v>
      </c>
      <c r="D762" s="5">
        <v>44144</v>
      </c>
      <c r="E762" t="str">
        <f>"202011039959"</f>
        <v>202011039959</v>
      </c>
      <c r="F762" t="str">
        <f>"56 553"</f>
        <v>56 553</v>
      </c>
      <c r="G762" s="1">
        <v>250</v>
      </c>
      <c r="H762" t="str">
        <f>"56 553"</f>
        <v>56 553</v>
      </c>
    </row>
    <row r="763" spans="1:8" x14ac:dyDescent="0.25">
      <c r="A763" t="s">
        <v>262</v>
      </c>
      <c r="B763">
        <v>133638</v>
      </c>
      <c r="C763" s="1">
        <v>80</v>
      </c>
      <c r="D763" s="5">
        <v>44144</v>
      </c>
      <c r="E763" t="str">
        <f>"003190"</f>
        <v>003190</v>
      </c>
      <c r="F763" t="str">
        <f>"INSPECTIONS/PCT#3"</f>
        <v>INSPECTIONS/PCT#3</v>
      </c>
      <c r="G763" s="1">
        <v>80</v>
      </c>
      <c r="H763" t="str">
        <f>"INSPECTIONS/PCT#3"</f>
        <v>INSPECTIONS/PCT#3</v>
      </c>
    </row>
    <row r="764" spans="1:8" x14ac:dyDescent="0.25">
      <c r="A764" t="s">
        <v>263</v>
      </c>
      <c r="B764">
        <v>3561</v>
      </c>
      <c r="C764" s="1">
        <v>210.98</v>
      </c>
      <c r="D764" s="5">
        <v>44159</v>
      </c>
      <c r="E764" t="str">
        <f>"202011160044"</f>
        <v>202011160044</v>
      </c>
      <c r="F764" t="str">
        <f>"ACCT#0005/PCT#4"</f>
        <v>ACCT#0005/PCT#4</v>
      </c>
      <c r="G764" s="1">
        <v>210.98</v>
      </c>
      <c r="H764" t="str">
        <f>"ACCT#0005/PCT#4"</f>
        <v>ACCT#0005/PCT#4</v>
      </c>
    </row>
    <row r="765" spans="1:8" x14ac:dyDescent="0.25">
      <c r="A765" t="s">
        <v>264</v>
      </c>
      <c r="B765">
        <v>133814</v>
      </c>
      <c r="C765" s="1">
        <v>725</v>
      </c>
      <c r="D765" s="5">
        <v>44158</v>
      </c>
      <c r="E765" t="str">
        <f>"4511526"</f>
        <v>4511526</v>
      </c>
      <c r="F765" t="str">
        <f>"PERMIT#4511526/BRM ANNUAL MAIN"</f>
        <v>PERMIT#4511526/BRM ANNUAL MAIN</v>
      </c>
      <c r="G765" s="1">
        <v>725</v>
      </c>
      <c r="H765" t="str">
        <f>"PERMIT#4511526/BRM ANNUAL MAIN"</f>
        <v>PERMIT#4511526/BRM ANNUAL MAIN</v>
      </c>
    </row>
    <row r="766" spans="1:8" x14ac:dyDescent="0.25">
      <c r="A766" t="s">
        <v>265</v>
      </c>
      <c r="B766">
        <v>133639</v>
      </c>
      <c r="C766" s="1">
        <v>861.1</v>
      </c>
      <c r="D766" s="5">
        <v>44144</v>
      </c>
      <c r="E766" t="str">
        <f>"202011039906"</f>
        <v>202011039906</v>
      </c>
      <c r="F766" t="str">
        <f>"ACCT#8850283308/PCT#4"</f>
        <v>ACCT#8850283308/PCT#4</v>
      </c>
      <c r="G766" s="1">
        <v>861.1</v>
      </c>
      <c r="H766" t="str">
        <f>"ACCT#8850283308/PCT#4"</f>
        <v>ACCT#8850283308/PCT#4</v>
      </c>
    </row>
    <row r="767" spans="1:8" x14ac:dyDescent="0.25">
      <c r="A767" t="s">
        <v>266</v>
      </c>
      <c r="B767">
        <v>133640</v>
      </c>
      <c r="C767" s="1">
        <v>162</v>
      </c>
      <c r="D767" s="5">
        <v>44144</v>
      </c>
      <c r="E767" t="str">
        <f>"BCCP024112919"</f>
        <v>BCCP024112919</v>
      </c>
      <c r="F767" t="str">
        <f>"TCLEDDS SUBSCRIPTION/PCT4"</f>
        <v>TCLEDDS SUBSCRIPTION/PCT4</v>
      </c>
      <c r="G767" s="1">
        <v>162</v>
      </c>
      <c r="H767" t="str">
        <f>"TCLEDDS SUBSCRIPTION/PCT4"</f>
        <v>TCLEDDS SUBSCRIPTION/PCT4</v>
      </c>
    </row>
    <row r="768" spans="1:8" x14ac:dyDescent="0.25">
      <c r="A768" t="s">
        <v>267</v>
      </c>
      <c r="B768">
        <v>133641</v>
      </c>
      <c r="C768" s="1">
        <v>495</v>
      </c>
      <c r="D768" s="5">
        <v>44144</v>
      </c>
      <c r="E768" t="str">
        <f>"2020132"</f>
        <v>2020132</v>
      </c>
      <c r="F768" t="str">
        <f>"TRANSPORT - T. NEWLIN"</f>
        <v>TRANSPORT - T. NEWLIN</v>
      </c>
      <c r="G768" s="1">
        <v>495</v>
      </c>
      <c r="H768" t="str">
        <f>"TRANSPORT - T. NEWLIN"</f>
        <v>TRANSPORT - T. NEWLIN</v>
      </c>
    </row>
    <row r="769" spans="1:8" x14ac:dyDescent="0.25">
      <c r="A769" t="s">
        <v>268</v>
      </c>
      <c r="B769">
        <v>133815</v>
      </c>
      <c r="C769" s="1">
        <v>350</v>
      </c>
      <c r="D769" s="5">
        <v>44158</v>
      </c>
      <c r="E769" t="str">
        <f>"202011180250"</f>
        <v>202011180250</v>
      </c>
      <c r="F769" t="str">
        <f>"FERAL HOGS"</f>
        <v>FERAL HOGS</v>
      </c>
      <c r="G769" s="1">
        <v>350</v>
      </c>
      <c r="H769" t="str">
        <f>"FERAL HOGS"</f>
        <v>FERAL HOGS</v>
      </c>
    </row>
    <row r="770" spans="1:8" x14ac:dyDescent="0.25">
      <c r="A770" t="s">
        <v>269</v>
      </c>
      <c r="B770">
        <v>133816</v>
      </c>
      <c r="C770" s="1">
        <v>90</v>
      </c>
      <c r="D770" s="5">
        <v>44158</v>
      </c>
      <c r="E770" t="str">
        <f>"202011180251"</f>
        <v>202011180251</v>
      </c>
      <c r="F770" t="str">
        <f>"FERAL HOGS"</f>
        <v>FERAL HOGS</v>
      </c>
      <c r="G770" s="1">
        <v>90</v>
      </c>
      <c r="H770" t="str">
        <f>"FERAL HOGS"</f>
        <v>FERAL HOGS</v>
      </c>
    </row>
    <row r="771" spans="1:8" x14ac:dyDescent="0.25">
      <c r="A771" t="s">
        <v>270</v>
      </c>
      <c r="B771">
        <v>133817</v>
      </c>
      <c r="C771" s="1">
        <v>108</v>
      </c>
      <c r="D771" s="5">
        <v>44158</v>
      </c>
      <c r="E771" t="str">
        <f>"133724"</f>
        <v>133724</v>
      </c>
      <c r="F771" t="str">
        <f>"AUTOMATIC DIESEL NOZZLE/PCT#1"</f>
        <v>AUTOMATIC DIESEL NOZZLE/PCT#1</v>
      </c>
      <c r="G771" s="1">
        <v>108</v>
      </c>
      <c r="H771" t="str">
        <f>"AUTOMATIC DIESEL NOZZLE/PCT#1"</f>
        <v>AUTOMATIC DIESEL NOZZLE/PCT#1</v>
      </c>
    </row>
    <row r="772" spans="1:8" x14ac:dyDescent="0.25">
      <c r="A772" t="s">
        <v>271</v>
      </c>
      <c r="B772">
        <v>3525</v>
      </c>
      <c r="C772" s="1">
        <v>140.86000000000001</v>
      </c>
      <c r="D772" s="5">
        <v>44159</v>
      </c>
      <c r="E772" t="str">
        <f>"10K0121569859"</f>
        <v>10K0121569859</v>
      </c>
      <c r="F772" t="str">
        <f>"ACCT#0121569859/1125 DILDY"</f>
        <v>ACCT#0121569859/1125 DILDY</v>
      </c>
      <c r="G772" s="1">
        <v>12.99</v>
      </c>
      <c r="H772" t="str">
        <f>"ACCT#0121569859/1125 DILDY"</f>
        <v>ACCT#0121569859/1125 DILDY</v>
      </c>
    </row>
    <row r="773" spans="1:8" x14ac:dyDescent="0.25">
      <c r="E773" t="str">
        <f>"10K0121587851"</f>
        <v>10K0121587851</v>
      </c>
      <c r="F773" t="str">
        <f>"ACCT#0121587851/PCT#4"</f>
        <v>ACCT#0121587851/PCT#4</v>
      </c>
      <c r="G773" s="1">
        <v>127.87</v>
      </c>
      <c r="H773" t="str">
        <f>"ACCT#0121587851/PCT#4"</f>
        <v>ACCT#0121587851/PCT#4</v>
      </c>
    </row>
    <row r="774" spans="1:8" x14ac:dyDescent="0.25">
      <c r="A774" t="s">
        <v>272</v>
      </c>
      <c r="B774">
        <v>3492</v>
      </c>
      <c r="C774" s="1">
        <v>1500</v>
      </c>
      <c r="D774" s="5">
        <v>44145</v>
      </c>
      <c r="E774" t="str">
        <f>"17"</f>
        <v>17</v>
      </c>
      <c r="F774" t="str">
        <f>"PROF SVCS OCT22-29/ANIMAL SVCS"</f>
        <v>PROF SVCS OCT22-29/ANIMAL SVCS</v>
      </c>
      <c r="G774" s="1">
        <v>1500</v>
      </c>
      <c r="H774" t="str">
        <f>"PROF SVCS OCT22-29/ANIMAL SVCS"</f>
        <v>PROF SVCS OCT22-29/ANIMAL SVCS</v>
      </c>
    </row>
    <row r="775" spans="1:8" x14ac:dyDescent="0.25">
      <c r="A775" t="s">
        <v>272</v>
      </c>
      <c r="B775">
        <v>3564</v>
      </c>
      <c r="C775" s="1">
        <v>1500</v>
      </c>
      <c r="D775" s="5">
        <v>44159</v>
      </c>
      <c r="E775" t="str">
        <f>"202011180187"</f>
        <v>202011180187</v>
      </c>
      <c r="F775" t="str">
        <f>"PROF SVCS-11/5  11/10  11/12"</f>
        <v>PROF SVCS-11/5  11/10  11/12</v>
      </c>
      <c r="G775" s="1">
        <v>1500</v>
      </c>
      <c r="H775" t="str">
        <f>"PROF SVCS-11/5  11/10  11/12"</f>
        <v>PROF SVCS-11/5  11/10  11/12</v>
      </c>
    </row>
    <row r="776" spans="1:8" x14ac:dyDescent="0.25">
      <c r="A776" t="s">
        <v>273</v>
      </c>
      <c r="B776">
        <v>133565</v>
      </c>
      <c r="C776" s="1">
        <v>1626.21</v>
      </c>
      <c r="D776" s="5">
        <v>44139</v>
      </c>
      <c r="E776" t="str">
        <f>"305 000 685 105 1"</f>
        <v>305 000 685 105 1</v>
      </c>
      <c r="F776" t="str">
        <f>"ACCT#15 070 712-3/10302020"</f>
        <v>ACCT#15 070 712-3/10302020</v>
      </c>
      <c r="G776" s="1">
        <v>18.29</v>
      </c>
      <c r="H776" t="str">
        <f>"ACCT#15 070 712-3/10302020"</f>
        <v>ACCT#15 070 712-3/10302020</v>
      </c>
    </row>
    <row r="777" spans="1:8" x14ac:dyDescent="0.25">
      <c r="E777" t="str">
        <f>"305 000 685 106 9"</f>
        <v>305 000 685 106 9</v>
      </c>
      <c r="F777" t="str">
        <f>"ACCT#15 070 713-1/10302020"</f>
        <v>ACCT#15 070 713-1/10302020</v>
      </c>
      <c r="G777" s="1">
        <v>22.07</v>
      </c>
      <c r="H777" t="str">
        <f>"ACCT#15 070 713-1/10302020"</f>
        <v>ACCT#15 070 713-1/10302020</v>
      </c>
    </row>
    <row r="778" spans="1:8" x14ac:dyDescent="0.25">
      <c r="E778" t="str">
        <f>"306 000 625 072 5"</f>
        <v>306 000 625 072 5</v>
      </c>
      <c r="F778" t="str">
        <f>"ACCT#15 069 451-1/10262020"</f>
        <v>ACCT#15 069 451-1/10262020</v>
      </c>
      <c r="G778" s="1">
        <v>410.15</v>
      </c>
      <c r="H778" t="str">
        <f>"ACCT#15 069 451-1/10262020"</f>
        <v>ACCT#15 069 451-1/10262020</v>
      </c>
    </row>
    <row r="779" spans="1:8" x14ac:dyDescent="0.25">
      <c r="E779" t="str">
        <f>"306 000 627 868 4"</f>
        <v>306 000 627 868 4</v>
      </c>
      <c r="F779" t="str">
        <f>"ACCT#15 072 199-1 / 10292020"</f>
        <v>ACCT#15 072 199-1 / 10292020</v>
      </c>
      <c r="G779" s="1">
        <v>83.48</v>
      </c>
      <c r="H779" t="str">
        <f>"ACCT#15 072 199-1 / 10292020"</f>
        <v>ACCT#15 072 199-1 / 10292020</v>
      </c>
    </row>
    <row r="780" spans="1:8" x14ac:dyDescent="0.25">
      <c r="E780" t="str">
        <f>"306 000 627 869 2"</f>
        <v>306 000 627 869 2</v>
      </c>
      <c r="F780" t="str">
        <f>"ACCT#15 072 200-7/10292020"</f>
        <v>ACCT#15 072 200-7/10292020</v>
      </c>
      <c r="G780" s="1">
        <v>230.57</v>
      </c>
      <c r="H780" t="str">
        <f>"ACCT#15 072 200-7/10292020"</f>
        <v>ACCT#15 072 200-7/10292020</v>
      </c>
    </row>
    <row r="781" spans="1:8" x14ac:dyDescent="0.25">
      <c r="E781" t="str">
        <f>"306 000 627 870 0"</f>
        <v>306 000 627 870 0</v>
      </c>
      <c r="F781" t="str">
        <f>"ACCT#15 072 201-5/10292020"</f>
        <v>ACCT#15 072 201-5/10292020</v>
      </c>
      <c r="G781" s="1">
        <v>460.67</v>
      </c>
      <c r="H781" t="str">
        <f>"ACCT#15 072 201-5/10292020"</f>
        <v>ACCT#15 072 201-5/10292020</v>
      </c>
    </row>
    <row r="782" spans="1:8" x14ac:dyDescent="0.25">
      <c r="E782" t="str">
        <f>"306 000 627 871 8"</f>
        <v>306 000 627 871 8</v>
      </c>
      <c r="F782" t="str">
        <f>"ACCT#15 072 202-3/10292020"</f>
        <v>ACCT#15 072 202-3/10292020</v>
      </c>
      <c r="G782" s="1">
        <v>25.37</v>
      </c>
      <c r="H782" t="str">
        <f>"ACCT#15 072 202-3/10292020"</f>
        <v>ACCT#15 072 202-3/10292020</v>
      </c>
    </row>
    <row r="783" spans="1:8" x14ac:dyDescent="0.25">
      <c r="E783" t="str">
        <f>"306 000 627 872 6"</f>
        <v>306 000 627 872 6</v>
      </c>
      <c r="F783" t="str">
        <f>"ACCT#15 072 203-1/10292020"</f>
        <v>ACCT#15 072 203-1/10292020</v>
      </c>
      <c r="G783" s="1">
        <v>16.36</v>
      </c>
      <c r="H783" t="str">
        <f>"ACCT#15 072 203-1/10292020"</f>
        <v>ACCT#15 072 203-1/10292020</v>
      </c>
    </row>
    <row r="784" spans="1:8" x14ac:dyDescent="0.25">
      <c r="E784" t="str">
        <f>"306 000 627 873 4"</f>
        <v>306 000 627 873 4</v>
      </c>
      <c r="F784" t="str">
        <f>"ACCT#15 072 204-9/10292020"</f>
        <v>ACCT#15 072 204-9/10292020</v>
      </c>
      <c r="G784" s="1">
        <v>359.25</v>
      </c>
      <c r="H784" t="str">
        <f>"ACCT#15 072 204-9/10292020"</f>
        <v>ACCT#15 072 204-9/10292020</v>
      </c>
    </row>
    <row r="785" spans="1:8" x14ac:dyDescent="0.25">
      <c r="A785" t="s">
        <v>274</v>
      </c>
      <c r="B785">
        <v>133642</v>
      </c>
      <c r="C785" s="1">
        <v>9000</v>
      </c>
      <c r="D785" s="5">
        <v>44144</v>
      </c>
      <c r="E785" t="str">
        <f>"202010279787"</f>
        <v>202010279787</v>
      </c>
      <c r="F785" t="str">
        <f>"ACCT#34549337"</f>
        <v>ACCT#34549337</v>
      </c>
      <c r="G785" s="1">
        <v>9000</v>
      </c>
      <c r="H785" t="str">
        <f>"ACCT#34549337"</f>
        <v>ACCT#34549337</v>
      </c>
    </row>
    <row r="786" spans="1:8" x14ac:dyDescent="0.25">
      <c r="A786" t="s">
        <v>275</v>
      </c>
      <c r="B786">
        <v>133643</v>
      </c>
      <c r="C786" s="1">
        <v>48.3</v>
      </c>
      <c r="D786" s="5">
        <v>44144</v>
      </c>
      <c r="E786" t="str">
        <f>"88071"</f>
        <v>88071</v>
      </c>
      <c r="F786" t="str">
        <f>"ACCT#104073/SENSOR/PCT#4"</f>
        <v>ACCT#104073/SENSOR/PCT#4</v>
      </c>
      <c r="G786" s="1">
        <v>48.3</v>
      </c>
      <c r="H786" t="str">
        <f>"ACCT#104073/SENSOR/PCT#4"</f>
        <v>ACCT#104073/SENSOR/PCT#4</v>
      </c>
    </row>
    <row r="787" spans="1:8" x14ac:dyDescent="0.25">
      <c r="A787" t="s">
        <v>276</v>
      </c>
      <c r="B787">
        <v>3527</v>
      </c>
      <c r="C787" s="1">
        <v>41</v>
      </c>
      <c r="D787" s="5">
        <v>44159</v>
      </c>
      <c r="E787" t="str">
        <f>"1086747821"</f>
        <v>1086747821</v>
      </c>
      <c r="F787" t="str">
        <f>"CUST#12847097/SHIPPING"</f>
        <v>CUST#12847097/SHIPPING</v>
      </c>
      <c r="G787" s="1">
        <v>41</v>
      </c>
      <c r="H787" t="str">
        <f>"CUST#12847097/SHIPPING"</f>
        <v>CUST#12847097/SHIPPING</v>
      </c>
    </row>
    <row r="788" spans="1:8" x14ac:dyDescent="0.25">
      <c r="A788" t="s">
        <v>277</v>
      </c>
      <c r="B788">
        <v>3466</v>
      </c>
      <c r="C788" s="1">
        <v>290</v>
      </c>
      <c r="D788" s="5">
        <v>44145</v>
      </c>
      <c r="E788" t="str">
        <f>"I014623"</f>
        <v>I014623</v>
      </c>
      <c r="F788" t="str">
        <f>"2015 FORD/PCT#3"</f>
        <v>2015 FORD/PCT#3</v>
      </c>
      <c r="G788" s="1">
        <v>290</v>
      </c>
      <c r="H788" t="str">
        <f>"2015 FORD/PCT#3"</f>
        <v>2015 FORD/PCT#3</v>
      </c>
    </row>
    <row r="789" spans="1:8" x14ac:dyDescent="0.25">
      <c r="A789" t="s">
        <v>278</v>
      </c>
      <c r="B789">
        <v>133644</v>
      </c>
      <c r="C789" s="1">
        <v>219.95</v>
      </c>
      <c r="D789" s="5">
        <v>44144</v>
      </c>
      <c r="E789" t="str">
        <f>"99999901554462"</f>
        <v>99999901554462</v>
      </c>
      <c r="F789" t="str">
        <f>"DRUGS/ANIMAL SVCS"</f>
        <v>DRUGS/ANIMAL SVCS</v>
      </c>
      <c r="G789" s="1">
        <v>219.95</v>
      </c>
      <c r="H789" t="str">
        <f>"DRUGS/ANIMAL SVCS"</f>
        <v>DRUGS/ANIMAL SVCS</v>
      </c>
    </row>
    <row r="790" spans="1:8" x14ac:dyDescent="0.25">
      <c r="A790" t="s">
        <v>279</v>
      </c>
      <c r="B790">
        <v>3552</v>
      </c>
      <c r="C790" s="1">
        <v>650</v>
      </c>
      <c r="D790" s="5">
        <v>44159</v>
      </c>
      <c r="E790" t="str">
        <f>"BCSOOCT20"</f>
        <v>BCSOOCT20</v>
      </c>
      <c r="F790" t="str">
        <f>"INV BCSOOCT20"</f>
        <v>INV BCSOOCT20</v>
      </c>
      <c r="G790" s="1">
        <v>650</v>
      </c>
      <c r="H790" t="str">
        <f>"INV BCSOOCT20"</f>
        <v>INV BCSOOCT20</v>
      </c>
    </row>
    <row r="791" spans="1:8" x14ac:dyDescent="0.25">
      <c r="A791" t="s">
        <v>280</v>
      </c>
      <c r="B791">
        <v>133645</v>
      </c>
      <c r="C791" s="1">
        <v>245.51</v>
      </c>
      <c r="D791" s="5">
        <v>44144</v>
      </c>
      <c r="E791" t="str">
        <f>"5126507 5126511"</f>
        <v>5126507 5126511</v>
      </c>
      <c r="F791" t="str">
        <f>"INV 5126507"</f>
        <v>INV 5126507</v>
      </c>
      <c r="G791" s="1">
        <v>245.51</v>
      </c>
      <c r="H791" t="str">
        <f>"INV 5126507"</f>
        <v>INV 5126507</v>
      </c>
    </row>
    <row r="792" spans="1:8" x14ac:dyDescent="0.25">
      <c r="E792" t="str">
        <f>""</f>
        <v/>
      </c>
      <c r="F792" t="str">
        <f>""</f>
        <v/>
      </c>
      <c r="H792" t="str">
        <f>"INV 5126511"</f>
        <v>INV 5126511</v>
      </c>
    </row>
    <row r="793" spans="1:8" x14ac:dyDescent="0.25">
      <c r="A793" t="s">
        <v>280</v>
      </c>
      <c r="B793">
        <v>133818</v>
      </c>
      <c r="C793" s="1">
        <v>182.46</v>
      </c>
      <c r="D793" s="5">
        <v>44158</v>
      </c>
      <c r="E793" t="str">
        <f>"202011170097"</f>
        <v>202011170097</v>
      </c>
      <c r="F793" t="str">
        <f>"INV 90565"</f>
        <v>INV 90565</v>
      </c>
      <c r="G793" s="1">
        <v>182.46</v>
      </c>
      <c r="H793" t="str">
        <f>"INV 90565"</f>
        <v>INV 90565</v>
      </c>
    </row>
    <row r="794" spans="1:8" x14ac:dyDescent="0.25">
      <c r="A794" t="s">
        <v>281</v>
      </c>
      <c r="B794">
        <v>133646</v>
      </c>
      <c r="C794" s="1">
        <v>83</v>
      </c>
      <c r="D794" s="5">
        <v>44144</v>
      </c>
      <c r="E794" t="str">
        <f>"202010279788"</f>
        <v>202010279788</v>
      </c>
      <c r="F794" t="str">
        <f>"SHIRTS/PCT#4"</f>
        <v>SHIRTS/PCT#4</v>
      </c>
      <c r="G794" s="1">
        <v>83</v>
      </c>
      <c r="H794" t="str">
        <f>"SHIRTS/PCT#4"</f>
        <v>SHIRTS/PCT#4</v>
      </c>
    </row>
    <row r="795" spans="1:8" x14ac:dyDescent="0.25">
      <c r="A795" t="s">
        <v>281</v>
      </c>
      <c r="B795">
        <v>133819</v>
      </c>
      <c r="C795" s="1">
        <v>157</v>
      </c>
      <c r="D795" s="5">
        <v>44158</v>
      </c>
      <c r="E795" t="str">
        <f>"201015-2"</f>
        <v>201015-2</v>
      </c>
      <c r="F795" t="str">
        <f>"BCEC STAFF TEES"</f>
        <v>BCEC STAFF TEES</v>
      </c>
      <c r="G795" s="1">
        <v>110</v>
      </c>
      <c r="H795" t="str">
        <f>"BCEC STAFF TEES"</f>
        <v>BCEC STAFF TEES</v>
      </c>
    </row>
    <row r="796" spans="1:8" x14ac:dyDescent="0.25">
      <c r="E796" t="str">
        <f>"201028-1"</f>
        <v>201028-1</v>
      </c>
      <c r="F796" t="str">
        <f>"EMBROIDERY/UNIFORM"</f>
        <v>EMBROIDERY/UNIFORM</v>
      </c>
      <c r="G796" s="1">
        <v>47</v>
      </c>
      <c r="H796" t="str">
        <f>"EMBROIDERY/UNIFORM"</f>
        <v>EMBROIDERY/UNIFORM</v>
      </c>
    </row>
    <row r="797" spans="1:8" x14ac:dyDescent="0.25">
      <c r="A797" t="s">
        <v>282</v>
      </c>
      <c r="B797">
        <v>133820</v>
      </c>
      <c r="C797" s="1">
        <v>155</v>
      </c>
      <c r="D797" s="5">
        <v>44158</v>
      </c>
      <c r="E797" t="str">
        <f>"202011180252"</f>
        <v>202011180252</v>
      </c>
      <c r="F797" t="str">
        <f>"FERAL HOGS"</f>
        <v>FERAL HOGS</v>
      </c>
      <c r="G797" s="1">
        <v>75</v>
      </c>
      <c r="H797" t="str">
        <f>"FERAL HOGS"</f>
        <v>FERAL HOGS</v>
      </c>
    </row>
    <row r="798" spans="1:8" x14ac:dyDescent="0.25">
      <c r="E798" t="str">
        <f>"202011180253"</f>
        <v>202011180253</v>
      </c>
      <c r="F798" t="str">
        <f>"FERAL HOGS"</f>
        <v>FERAL HOGS</v>
      </c>
      <c r="G798" s="1">
        <v>80</v>
      </c>
      <c r="H798" t="str">
        <f>"FERAL HOGS"</f>
        <v>FERAL HOGS</v>
      </c>
    </row>
    <row r="799" spans="1:8" x14ac:dyDescent="0.25">
      <c r="A799" t="s">
        <v>283</v>
      </c>
      <c r="B799">
        <v>133821</v>
      </c>
      <c r="C799" s="1">
        <v>427</v>
      </c>
      <c r="D799" s="5">
        <v>44158</v>
      </c>
      <c r="E799" t="str">
        <f>"202011170077"</f>
        <v>202011170077</v>
      </c>
      <c r="F799" t="str">
        <f>"DEVELOPMENT SVCS RECORDING FEE"</f>
        <v>DEVELOPMENT SVCS RECORDING FEE</v>
      </c>
      <c r="G799" s="1">
        <v>305</v>
      </c>
      <c r="H799" t="str">
        <f>"DEVELOPMENT SVCS RECORDING FEE"</f>
        <v>DEVELOPMENT SVCS RECORDING FEE</v>
      </c>
    </row>
    <row r="800" spans="1:8" x14ac:dyDescent="0.25">
      <c r="E800" t="str">
        <f>"202011180175"</f>
        <v>202011180175</v>
      </c>
      <c r="F800" t="str">
        <f>"DEVELOPMENT SVCS RECORDING FEE"</f>
        <v>DEVELOPMENT SVCS RECORDING FEE</v>
      </c>
      <c r="G800" s="1">
        <v>122</v>
      </c>
      <c r="H800" t="str">
        <f>"DEVELOPMENT SVCS RECORDING FEE"</f>
        <v>DEVELOPMENT SVCS RECORDING FEE</v>
      </c>
    </row>
    <row r="801" spans="1:8" x14ac:dyDescent="0.25">
      <c r="A801" t="s">
        <v>284</v>
      </c>
      <c r="B801">
        <v>133647</v>
      </c>
      <c r="C801" s="1">
        <v>3390.9</v>
      </c>
      <c r="D801" s="5">
        <v>44144</v>
      </c>
      <c r="E801" t="str">
        <f>"28136515"</f>
        <v>28136515</v>
      </c>
      <c r="F801" t="str">
        <f>"ORD#28136515"</f>
        <v>ORD#28136515</v>
      </c>
      <c r="G801" s="1">
        <v>3390.9</v>
      </c>
      <c r="H801" t="str">
        <f>"ORD#28136515"</f>
        <v>ORD#28136515</v>
      </c>
    </row>
    <row r="802" spans="1:8" x14ac:dyDescent="0.25">
      <c r="A802" t="s">
        <v>285</v>
      </c>
      <c r="B802">
        <v>3583</v>
      </c>
      <c r="C802" s="1">
        <v>144.09</v>
      </c>
      <c r="D802" s="5">
        <v>44159</v>
      </c>
      <c r="E802" t="str">
        <f>"202011180153"</f>
        <v>202011180153</v>
      </c>
      <c r="F802" t="str">
        <f>"INDIGENT HEALTH"</f>
        <v>INDIGENT HEALTH</v>
      </c>
      <c r="G802" s="1">
        <v>144.09</v>
      </c>
      <c r="H802" t="str">
        <f>"INDIGENT HEALTH"</f>
        <v>INDIGENT HEALTH</v>
      </c>
    </row>
    <row r="803" spans="1:8" x14ac:dyDescent="0.25">
      <c r="E803" t="str">
        <f>""</f>
        <v/>
      </c>
      <c r="F803" t="str">
        <f>""</f>
        <v/>
      </c>
      <c r="H803" t="str">
        <f>"INDIGENT HEALTH"</f>
        <v>INDIGENT HEALTH</v>
      </c>
    </row>
    <row r="804" spans="1:8" x14ac:dyDescent="0.25">
      <c r="A804" t="s">
        <v>286</v>
      </c>
      <c r="B804">
        <v>133822</v>
      </c>
      <c r="C804" s="1">
        <v>60</v>
      </c>
      <c r="D804" s="5">
        <v>44158</v>
      </c>
      <c r="E804" t="str">
        <f>"202011180254"</f>
        <v>202011180254</v>
      </c>
      <c r="F804" t="str">
        <f>"FERAL HOGS"</f>
        <v>FERAL HOGS</v>
      </c>
      <c r="G804" s="1">
        <v>60</v>
      </c>
      <c r="H804" t="str">
        <f>"FERAL HOGS"</f>
        <v>FERAL HOGS</v>
      </c>
    </row>
    <row r="805" spans="1:8" x14ac:dyDescent="0.25">
      <c r="A805" t="s">
        <v>287</v>
      </c>
      <c r="B805">
        <v>133648</v>
      </c>
      <c r="C805" s="1">
        <v>90</v>
      </c>
      <c r="D805" s="5">
        <v>44144</v>
      </c>
      <c r="E805" t="str">
        <f>"13349"</f>
        <v>13349</v>
      </c>
      <c r="F805" t="str">
        <f>"SERVICE"</f>
        <v>SERVICE</v>
      </c>
      <c r="G805" s="1">
        <v>90</v>
      </c>
      <c r="H805" t="str">
        <f>"SERVICE"</f>
        <v>SERVICE</v>
      </c>
    </row>
    <row r="806" spans="1:8" x14ac:dyDescent="0.25">
      <c r="A806" t="s">
        <v>288</v>
      </c>
      <c r="B806">
        <v>133823</v>
      </c>
      <c r="C806" s="1">
        <v>120</v>
      </c>
      <c r="D806" s="5">
        <v>44158</v>
      </c>
      <c r="E806" t="str">
        <f>"202011180255"</f>
        <v>202011180255</v>
      </c>
      <c r="F806" t="str">
        <f>"FERAL HOGS"</f>
        <v>FERAL HOGS</v>
      </c>
      <c r="G806" s="1">
        <v>100</v>
      </c>
      <c r="H806" t="str">
        <f>"FERAL HOGS"</f>
        <v>FERAL HOGS</v>
      </c>
    </row>
    <row r="807" spans="1:8" x14ac:dyDescent="0.25">
      <c r="E807" t="str">
        <f>"202011180256"</f>
        <v>202011180256</v>
      </c>
      <c r="F807" t="str">
        <f>"FERAL HOGS"</f>
        <v>FERAL HOGS</v>
      </c>
      <c r="G807" s="1">
        <v>20</v>
      </c>
      <c r="H807" t="str">
        <f>"FERAL HOGS"</f>
        <v>FERAL HOGS</v>
      </c>
    </row>
    <row r="808" spans="1:8" x14ac:dyDescent="0.25">
      <c r="A808" t="s">
        <v>289</v>
      </c>
      <c r="B808">
        <v>133649</v>
      </c>
      <c r="C808" s="1">
        <v>113.32</v>
      </c>
      <c r="D808" s="5">
        <v>44144</v>
      </c>
      <c r="E808" t="str">
        <f>"202011049986"</f>
        <v>202011049986</v>
      </c>
      <c r="F808" t="str">
        <f>"REIMBURSEMENT/ELECTIONS"</f>
        <v>REIMBURSEMENT/ELECTIONS</v>
      </c>
      <c r="G808" s="1">
        <v>113.32</v>
      </c>
      <c r="H808" t="str">
        <f>"REIMBURSEMENT/ELECTIONS"</f>
        <v>REIMBURSEMENT/ELECTIONS</v>
      </c>
    </row>
    <row r="809" spans="1:8" x14ac:dyDescent="0.25">
      <c r="A809" t="s">
        <v>290</v>
      </c>
      <c r="B809">
        <v>133650</v>
      </c>
      <c r="C809" s="1">
        <v>830.9</v>
      </c>
      <c r="D809" s="5">
        <v>44144</v>
      </c>
      <c r="E809" t="str">
        <f>"202010279786"</f>
        <v>202010279786</v>
      </c>
      <c r="F809" t="str">
        <f>"SALE OF LIVESTOCK"</f>
        <v>SALE OF LIVESTOCK</v>
      </c>
      <c r="G809" s="1">
        <v>830.9</v>
      </c>
      <c r="H809" t="str">
        <f>"SALE OF LIVESTOCK"</f>
        <v>SALE OF LIVESTOCK</v>
      </c>
    </row>
    <row r="810" spans="1:8" x14ac:dyDescent="0.25">
      <c r="A810" t="s">
        <v>291</v>
      </c>
      <c r="B810">
        <v>133824</v>
      </c>
      <c r="C810" s="1">
        <v>7.22</v>
      </c>
      <c r="D810" s="5">
        <v>44158</v>
      </c>
      <c r="E810" t="str">
        <f>"202011180157"</f>
        <v>202011180157</v>
      </c>
      <c r="F810" t="str">
        <f>"INDIGENT HEALTH"</f>
        <v>INDIGENT HEALTH</v>
      </c>
      <c r="G810" s="1">
        <v>7.22</v>
      </c>
      <c r="H810" t="str">
        <f>"INDIGENT HEALTH"</f>
        <v>INDIGENT HEALTH</v>
      </c>
    </row>
    <row r="811" spans="1:8" x14ac:dyDescent="0.25">
      <c r="A811" t="s">
        <v>292</v>
      </c>
      <c r="B811">
        <v>3479</v>
      </c>
      <c r="C811" s="1">
        <v>20934</v>
      </c>
      <c r="D811" s="5">
        <v>44145</v>
      </c>
      <c r="E811" t="str">
        <f>"PPDINV0015281 /82"</f>
        <v>PPDINV0015281 /82</v>
      </c>
      <c r="F811" t="str">
        <f>"INV PPDINV0015281"</f>
        <v>INV PPDINV0015281</v>
      </c>
      <c r="G811" s="1">
        <v>20934</v>
      </c>
      <c r="H811" t="str">
        <f>"INV PPDINV0015281"</f>
        <v>INV PPDINV0015281</v>
      </c>
    </row>
    <row r="812" spans="1:8" x14ac:dyDescent="0.25">
      <c r="E812" t="str">
        <f>""</f>
        <v/>
      </c>
      <c r="F812" t="str">
        <f>""</f>
        <v/>
      </c>
      <c r="H812" t="str">
        <f>"INV PPDINV0015282"</f>
        <v>INV PPDINV0015282</v>
      </c>
    </row>
    <row r="813" spans="1:8" x14ac:dyDescent="0.25">
      <c r="A813" t="s">
        <v>293</v>
      </c>
      <c r="B813">
        <v>133651</v>
      </c>
      <c r="C813" s="1">
        <v>36453.129999999997</v>
      </c>
      <c r="D813" s="5">
        <v>44144</v>
      </c>
      <c r="E813" t="str">
        <f>"4714*06024*1"</f>
        <v>4714*06024*1</v>
      </c>
      <c r="F813" t="str">
        <f>"JAIL MEDICAL"</f>
        <v>JAIL MEDICAL</v>
      </c>
      <c r="G813" s="1">
        <v>36453.129999999997</v>
      </c>
      <c r="H813" t="str">
        <f>"JAIL MEDICAL"</f>
        <v>JAIL MEDICAL</v>
      </c>
    </row>
    <row r="814" spans="1:8" x14ac:dyDescent="0.25">
      <c r="A814" t="s">
        <v>293</v>
      </c>
      <c r="B814">
        <v>133825</v>
      </c>
      <c r="C814" s="1">
        <v>43079.92</v>
      </c>
      <c r="D814" s="5">
        <v>44158</v>
      </c>
      <c r="E814" t="str">
        <f>"202011180159"</f>
        <v>202011180159</v>
      </c>
      <c r="F814" t="str">
        <f>"INDIGENT HEALTH"</f>
        <v>INDIGENT HEALTH</v>
      </c>
      <c r="G814" s="1">
        <v>23733.23</v>
      </c>
      <c r="H814" t="str">
        <f>"INDIGENT HEALTH"</f>
        <v>INDIGENT HEALTH</v>
      </c>
    </row>
    <row r="815" spans="1:8" x14ac:dyDescent="0.25">
      <c r="E815" t="str">
        <f>"202011180160"</f>
        <v>202011180160</v>
      </c>
      <c r="F815" t="str">
        <f>"INDIGENT HEALTH"</f>
        <v>INDIGENT HEALTH</v>
      </c>
      <c r="G815" s="1">
        <v>19346.689999999999</v>
      </c>
      <c r="H815" t="str">
        <f>"INDIGENT HEALTH"</f>
        <v>INDIGENT HEALTH</v>
      </c>
    </row>
    <row r="816" spans="1:8" x14ac:dyDescent="0.25">
      <c r="A816" t="s">
        <v>294</v>
      </c>
      <c r="B816">
        <v>133826</v>
      </c>
      <c r="C816" s="1">
        <v>3400</v>
      </c>
      <c r="D816" s="5">
        <v>44158</v>
      </c>
      <c r="E816" t="str">
        <f>"202011180185"</f>
        <v>202011180185</v>
      </c>
      <c r="F816" t="str">
        <f>"SETON PRESCRIPTION ASSISTANCE"</f>
        <v>SETON PRESCRIPTION ASSISTANCE</v>
      </c>
      <c r="G816" s="1">
        <v>3400</v>
      </c>
      <c r="H816" t="str">
        <f>"SETON PRESCRIPTION ASSISTANCE"</f>
        <v>SETON PRESCRIPTION ASSISTANCE</v>
      </c>
    </row>
    <row r="817" spans="1:8" x14ac:dyDescent="0.25">
      <c r="A817" t="s">
        <v>295</v>
      </c>
      <c r="B817">
        <v>133827</v>
      </c>
      <c r="C817" s="1">
        <v>334.82</v>
      </c>
      <c r="D817" s="5">
        <v>44158</v>
      </c>
      <c r="E817" t="str">
        <f>"202011160032"</f>
        <v>202011160032</v>
      </c>
      <c r="F817" t="str">
        <f>"ACCT#35327/EMER MGMT"</f>
        <v>ACCT#35327/EMER MGMT</v>
      </c>
      <c r="G817" s="1">
        <v>334.82</v>
      </c>
      <c r="H817" t="str">
        <f>"ACCT#35327/EMER MGMT"</f>
        <v>ACCT#35327/EMER MGMT</v>
      </c>
    </row>
    <row r="818" spans="1:8" x14ac:dyDescent="0.25">
      <c r="A818" t="s">
        <v>296</v>
      </c>
      <c r="B818">
        <v>133828</v>
      </c>
      <c r="C818" s="1">
        <v>196341.29</v>
      </c>
      <c r="D818" s="5">
        <v>44158</v>
      </c>
      <c r="E818" t="str">
        <f>"202011170062"</f>
        <v>202011170062</v>
      </c>
      <c r="F818" t="str">
        <f>"Office 365"</f>
        <v>Office 365</v>
      </c>
      <c r="G818" s="1">
        <v>16429</v>
      </c>
      <c r="H818" t="str">
        <f>"Part 1 of 2"</f>
        <v>Part 1 of 2</v>
      </c>
    </row>
    <row r="819" spans="1:8" x14ac:dyDescent="0.25">
      <c r="E819" t="str">
        <f>"202011170063"</f>
        <v>202011170063</v>
      </c>
      <c r="F819" t="str">
        <f>"Microsoft"</f>
        <v>Microsoft</v>
      </c>
      <c r="G819" s="1">
        <v>41252.449999999997</v>
      </c>
      <c r="H819" t="str">
        <f>"FY 19/20"</f>
        <v>FY 19/20</v>
      </c>
    </row>
    <row r="820" spans="1:8" x14ac:dyDescent="0.25">
      <c r="E820" t="str">
        <f>"202011180104"</f>
        <v>202011180104</v>
      </c>
      <c r="F820" t="str">
        <f>"JP 1"</f>
        <v>JP 1</v>
      </c>
      <c r="G820" s="1">
        <v>1324.2</v>
      </c>
      <c r="H820" t="str">
        <f>"W1A56A#BGJ"</f>
        <v>W1A56A#BGJ</v>
      </c>
    </row>
    <row r="821" spans="1:8" x14ac:dyDescent="0.25">
      <c r="E821" t="str">
        <f>""</f>
        <v/>
      </c>
      <c r="F821" t="str">
        <f>""</f>
        <v/>
      </c>
      <c r="H821" t="str">
        <f>"960-001087"</f>
        <v>960-001087</v>
      </c>
    </row>
    <row r="822" spans="1:8" x14ac:dyDescent="0.25">
      <c r="E822" t="str">
        <f>""</f>
        <v/>
      </c>
      <c r="F822" t="str">
        <f>""</f>
        <v/>
      </c>
      <c r="H822" t="str">
        <f>"PA03670-B065"</f>
        <v>PA03670-B065</v>
      </c>
    </row>
    <row r="823" spans="1:8" x14ac:dyDescent="0.25">
      <c r="E823" t="str">
        <f>"GB00379220"</f>
        <v>GB00379220</v>
      </c>
      <c r="F823" t="str">
        <f>"Microsoft"</f>
        <v>Microsoft</v>
      </c>
      <c r="G823" s="1">
        <v>123757.35</v>
      </c>
      <c r="H823" t="str">
        <f>"FY 20/21"</f>
        <v>FY 20/21</v>
      </c>
    </row>
    <row r="824" spans="1:8" x14ac:dyDescent="0.25">
      <c r="E824" t="str">
        <f>"GB00387309"</f>
        <v>GB00387309</v>
      </c>
      <c r="F824" t="str">
        <f>"Phones"</f>
        <v>Phones</v>
      </c>
      <c r="G824" s="1">
        <v>1858.03</v>
      </c>
      <c r="H824" t="str">
        <f>"Phone 8831 Base"</f>
        <v>Phone 8831 Base</v>
      </c>
    </row>
    <row r="825" spans="1:8" x14ac:dyDescent="0.25">
      <c r="E825" t="str">
        <f>""</f>
        <v/>
      </c>
      <c r="F825" t="str">
        <f>""</f>
        <v/>
      </c>
      <c r="H825" t="str">
        <f>"Phone 8811"</f>
        <v>Phone 8811</v>
      </c>
    </row>
    <row r="826" spans="1:8" x14ac:dyDescent="0.25">
      <c r="E826" t="str">
        <f>"GB00387514"</f>
        <v>GB00387514</v>
      </c>
      <c r="F826" t="str">
        <f>"Subscription Renewal"</f>
        <v>Subscription Renewal</v>
      </c>
      <c r="G826" s="1">
        <v>1344</v>
      </c>
      <c r="H826" t="str">
        <f>"Subscription Renewal"</f>
        <v>Subscription Renewal</v>
      </c>
    </row>
    <row r="827" spans="1:8" x14ac:dyDescent="0.25">
      <c r="E827" t="str">
        <f>"GB00387515"</f>
        <v>GB00387515</v>
      </c>
      <c r="F827" t="str">
        <f>"Renewal"</f>
        <v>Renewal</v>
      </c>
      <c r="G827" s="1">
        <v>392</v>
      </c>
      <c r="H827" t="str">
        <f>"Renewal"</f>
        <v>Renewal</v>
      </c>
    </row>
    <row r="828" spans="1:8" x14ac:dyDescent="0.25">
      <c r="E828" t="str">
        <f>"GB00389563"</f>
        <v>GB00389563</v>
      </c>
      <c r="F828" t="str">
        <f>"SMARTnet"</f>
        <v>SMARTnet</v>
      </c>
      <c r="G828" s="1">
        <v>912.05</v>
      </c>
      <c r="H828" t="str">
        <f>"SMARTnet Renewal"</f>
        <v>SMARTnet Renewal</v>
      </c>
    </row>
    <row r="829" spans="1:8" x14ac:dyDescent="0.25">
      <c r="E829" t="str">
        <f>"GB00389966"</f>
        <v>GB00389966</v>
      </c>
      <c r="F829" t="str">
        <f>"ESET Renewal"</f>
        <v>ESET Renewal</v>
      </c>
      <c r="G829" s="1">
        <v>7963.8</v>
      </c>
      <c r="H829" t="str">
        <f>"ESET Renewal"</f>
        <v>ESET Renewal</v>
      </c>
    </row>
    <row r="830" spans="1:8" x14ac:dyDescent="0.25">
      <c r="E830" t="str">
        <f>"GB00390343"</f>
        <v>GB00390343</v>
      </c>
      <c r="F830" t="str">
        <f>"Office Phone for HR"</f>
        <v>Office Phone for HR</v>
      </c>
      <c r="G830" s="1">
        <v>236.41</v>
      </c>
      <c r="H830" t="str">
        <f>"Cisco IP 8811"</f>
        <v>Cisco IP 8811</v>
      </c>
    </row>
    <row r="831" spans="1:8" x14ac:dyDescent="0.25">
      <c r="E831" t="str">
        <f>"GB00390887"</f>
        <v>GB00390887</v>
      </c>
      <c r="F831" t="str">
        <f>"DroneSAR Renewal"</f>
        <v>DroneSAR Renewal</v>
      </c>
      <c r="G831" s="1">
        <v>872</v>
      </c>
      <c r="H831" t="str">
        <f>"DroneSAR Command"</f>
        <v>DroneSAR Command</v>
      </c>
    </row>
    <row r="832" spans="1:8" x14ac:dyDescent="0.25">
      <c r="A832" t="s">
        <v>297</v>
      </c>
      <c r="B832">
        <v>133652</v>
      </c>
      <c r="C832" s="1">
        <v>736.16</v>
      </c>
      <c r="D832" s="5">
        <v>44144</v>
      </c>
      <c r="E832" t="str">
        <f>"8180798299"</f>
        <v>8180798299</v>
      </c>
      <c r="F832" t="str">
        <f>"INV 8180798299"</f>
        <v>INV 8180798299</v>
      </c>
      <c r="G832" s="1">
        <v>163.84</v>
      </c>
      <c r="H832" t="str">
        <f>"INV 8180798299 (LE)"</f>
        <v>INV 8180798299 (LE)</v>
      </c>
    </row>
    <row r="833" spans="1:8" x14ac:dyDescent="0.25">
      <c r="E833" t="str">
        <f>""</f>
        <v/>
      </c>
      <c r="F833" t="str">
        <f>""</f>
        <v/>
      </c>
      <c r="H833" t="str">
        <f>"INV 8180798299 (JAIL"</f>
        <v>INV 8180798299 (JAIL</v>
      </c>
    </row>
    <row r="834" spans="1:8" x14ac:dyDescent="0.25">
      <c r="E834" t="str">
        <f>"8180798772"</f>
        <v>8180798772</v>
      </c>
      <c r="F834" t="str">
        <f>"CUST#16155373/PURCHASING"</f>
        <v>CUST#16155373/PURCHASING</v>
      </c>
      <c r="G834" s="1">
        <v>503.15</v>
      </c>
      <c r="H834" t="str">
        <f>"CUST#16155373/PURCHASING"</f>
        <v>CUST#16155373/PURCHASING</v>
      </c>
    </row>
    <row r="835" spans="1:8" x14ac:dyDescent="0.25">
      <c r="E835" t="str">
        <f>"8180798888"</f>
        <v>8180798888</v>
      </c>
      <c r="F835" t="str">
        <f>"CUST#16158670/JP"</f>
        <v>CUST#16158670/JP</v>
      </c>
      <c r="G835" s="1">
        <v>69.17</v>
      </c>
      <c r="H835" t="str">
        <f>"CUST#16158670/JP"</f>
        <v>CUST#16158670/JP</v>
      </c>
    </row>
    <row r="836" spans="1:8" x14ac:dyDescent="0.25">
      <c r="A836" t="s">
        <v>297</v>
      </c>
      <c r="B836">
        <v>133829</v>
      </c>
      <c r="C836" s="1">
        <v>85.94</v>
      </c>
      <c r="D836" s="5">
        <v>44158</v>
      </c>
      <c r="E836" t="str">
        <f>"8180798812"</f>
        <v>8180798812</v>
      </c>
      <c r="F836" t="str">
        <f>"CUST#16156071/TAX OFFICE"</f>
        <v>CUST#16156071/TAX OFFICE</v>
      </c>
      <c r="G836" s="1">
        <v>85.94</v>
      </c>
      <c r="H836" t="str">
        <f>"CUST#16156071/TAX OFFICE"</f>
        <v>CUST#16156071/TAX OFFICE</v>
      </c>
    </row>
    <row r="837" spans="1:8" x14ac:dyDescent="0.25">
      <c r="A837" t="s">
        <v>298</v>
      </c>
      <c r="B837">
        <v>3481</v>
      </c>
      <c r="C837" s="1">
        <v>33997.58</v>
      </c>
      <c r="D837" s="5">
        <v>44145</v>
      </c>
      <c r="E837" t="str">
        <f>"202011039897"</f>
        <v>202011039897</v>
      </c>
      <c r="F837" t="str">
        <f>"SILSBEE FORD"</f>
        <v>SILSBEE FORD</v>
      </c>
      <c r="G837" s="1">
        <v>33997.58</v>
      </c>
      <c r="H837" t="str">
        <f>"2020 Chevy Tahoe"</f>
        <v>2020 Chevy Tahoe</v>
      </c>
    </row>
    <row r="838" spans="1:8" x14ac:dyDescent="0.25">
      <c r="E838" t="str">
        <f>""</f>
        <v/>
      </c>
      <c r="F838" t="str">
        <f>""</f>
        <v/>
      </c>
      <c r="H838" t="str">
        <f>"Goodbuy Fee"</f>
        <v>Goodbuy Fee</v>
      </c>
    </row>
    <row r="839" spans="1:8" x14ac:dyDescent="0.25">
      <c r="A839" t="s">
        <v>299</v>
      </c>
      <c r="B839">
        <v>133830</v>
      </c>
      <c r="C839" s="1">
        <v>294.3</v>
      </c>
      <c r="D839" s="5">
        <v>44158</v>
      </c>
      <c r="E839" t="str">
        <f>"202011180162"</f>
        <v>202011180162</v>
      </c>
      <c r="F839" t="str">
        <f>"INDIGENT HEALTH"</f>
        <v>INDIGENT HEALTH</v>
      </c>
      <c r="G839" s="1">
        <v>69.5</v>
      </c>
      <c r="H839" t="str">
        <f>"INDIGENT HEALTH"</f>
        <v>INDIGENT HEALTH</v>
      </c>
    </row>
    <row r="840" spans="1:8" x14ac:dyDescent="0.25">
      <c r="E840" t="str">
        <f>"202011180182"</f>
        <v>202011180182</v>
      </c>
      <c r="F840" t="str">
        <f>"JAIL MEDICAL"</f>
        <v>JAIL MEDICAL</v>
      </c>
      <c r="G840" s="1">
        <v>224.8</v>
      </c>
      <c r="H840" t="str">
        <f>"JAIL MEDICAL"</f>
        <v>JAIL MEDICAL</v>
      </c>
    </row>
    <row r="841" spans="1:8" x14ac:dyDescent="0.25">
      <c r="A841" t="s">
        <v>300</v>
      </c>
      <c r="B841">
        <v>133653</v>
      </c>
      <c r="C841" s="1">
        <v>23.79</v>
      </c>
      <c r="D841" s="5">
        <v>44144</v>
      </c>
      <c r="E841" t="str">
        <f>"5995"</f>
        <v>5995</v>
      </c>
      <c r="F841" t="str">
        <f>"REPLACEMENT LIGHT"</f>
        <v>REPLACEMENT LIGHT</v>
      </c>
      <c r="G841" s="1">
        <v>23.79</v>
      </c>
      <c r="H841" t="str">
        <f>"REPLACEMENT LIGHT"</f>
        <v>REPLACEMENT LIGHT</v>
      </c>
    </row>
    <row r="842" spans="1:8" x14ac:dyDescent="0.25">
      <c r="A842" t="s">
        <v>300</v>
      </c>
      <c r="B842">
        <v>133831</v>
      </c>
      <c r="C842" s="1">
        <v>341.8</v>
      </c>
      <c r="D842" s="5">
        <v>44158</v>
      </c>
      <c r="E842" t="str">
        <f>"6610"</f>
        <v>6610</v>
      </c>
      <c r="F842" t="str">
        <f>"LIGHT FIXTURE/POSTAGE"</f>
        <v>LIGHT FIXTURE/POSTAGE</v>
      </c>
      <c r="G842" s="1">
        <v>341.8</v>
      </c>
      <c r="H842" t="str">
        <f>"LIGHT FIXTURE/POSTAGE"</f>
        <v>LIGHT FIXTURE/POSTAGE</v>
      </c>
    </row>
    <row r="843" spans="1:8" x14ac:dyDescent="0.25">
      <c r="A843" t="s">
        <v>301</v>
      </c>
      <c r="B843">
        <v>133832</v>
      </c>
      <c r="C843" s="1">
        <v>94.76</v>
      </c>
      <c r="D843" s="5">
        <v>44158</v>
      </c>
      <c r="E843" t="str">
        <f>"34707"</f>
        <v>34707</v>
      </c>
      <c r="F843" t="str">
        <f>"SUPPLIES/PCT#2"</f>
        <v>SUPPLIES/PCT#2</v>
      </c>
      <c r="G843" s="1">
        <v>94.76</v>
      </c>
      <c r="H843" t="str">
        <f>"SUPPLIES/PCT#2"</f>
        <v>SUPPLIES/PCT#2</v>
      </c>
    </row>
    <row r="844" spans="1:8" x14ac:dyDescent="0.25">
      <c r="A844" t="s">
        <v>302</v>
      </c>
      <c r="B844">
        <v>133833</v>
      </c>
      <c r="C844" s="1">
        <v>195</v>
      </c>
      <c r="D844" s="5">
        <v>44158</v>
      </c>
      <c r="E844" t="str">
        <f>"8471"</f>
        <v>8471</v>
      </c>
      <c r="F844" t="str">
        <f>"MEMBERSHIP RENEWAL-ANNUAL DUES"</f>
        <v>MEMBERSHIP RENEWAL-ANNUAL DUES</v>
      </c>
      <c r="G844" s="1">
        <v>195</v>
      </c>
      <c r="H844" t="str">
        <f>"MEMBERSHIP RENEWAL-ANNUAL DUES"</f>
        <v>MEMBERSHIP RENEWAL-ANNUAL DUES</v>
      </c>
    </row>
    <row r="845" spans="1:8" x14ac:dyDescent="0.25">
      <c r="A845" t="s">
        <v>303</v>
      </c>
      <c r="B845">
        <v>133834</v>
      </c>
      <c r="C845" s="1">
        <v>1006.12</v>
      </c>
      <c r="D845" s="5">
        <v>44158</v>
      </c>
      <c r="E845" t="str">
        <f>"202011160038"</f>
        <v>202011160038</v>
      </c>
      <c r="F845" t="str">
        <f>"ACCT#260/PCT#2"</f>
        <v>ACCT#260/PCT#2</v>
      </c>
      <c r="G845" s="1">
        <v>1006.12</v>
      </c>
      <c r="H845" t="str">
        <f>"ACCT#260/PCT#2"</f>
        <v>ACCT#260/PCT#2</v>
      </c>
    </row>
    <row r="846" spans="1:8" x14ac:dyDescent="0.25">
      <c r="A846" t="s">
        <v>83</v>
      </c>
      <c r="B846">
        <v>133835</v>
      </c>
      <c r="C846" s="1">
        <v>8500</v>
      </c>
      <c r="D846" s="5">
        <v>44158</v>
      </c>
      <c r="E846" t="str">
        <f>"202011160022"</f>
        <v>202011160022</v>
      </c>
      <c r="F846" t="str">
        <f>"FY 20-21"</f>
        <v>FY 20-21</v>
      </c>
      <c r="G846" s="1">
        <v>8500</v>
      </c>
      <c r="H846" t="str">
        <f>"FY 20-21"</f>
        <v>FY 20-21</v>
      </c>
    </row>
    <row r="847" spans="1:8" x14ac:dyDescent="0.25">
      <c r="A847" t="s">
        <v>304</v>
      </c>
      <c r="B847">
        <v>133836</v>
      </c>
      <c r="C847" s="1">
        <v>860.4</v>
      </c>
      <c r="D847" s="5">
        <v>44158</v>
      </c>
      <c r="E847" t="str">
        <f>"202011170060"</f>
        <v>202011170060</v>
      </c>
      <c r="F847" t="str">
        <f>"Scanner"</f>
        <v>Scanner</v>
      </c>
      <c r="G847" s="1">
        <v>860.4</v>
      </c>
      <c r="H847" t="str">
        <f>"Document Scanner"</f>
        <v>Document Scanner</v>
      </c>
    </row>
    <row r="848" spans="1:8" x14ac:dyDescent="0.25">
      <c r="A848" t="s">
        <v>305</v>
      </c>
      <c r="B848">
        <v>133654</v>
      </c>
      <c r="C848" s="1">
        <v>5129.74</v>
      </c>
      <c r="D848" s="5">
        <v>44144</v>
      </c>
      <c r="E848" t="str">
        <f>"4240019378"</f>
        <v>4240019378</v>
      </c>
      <c r="F848" t="str">
        <f>"INV 4240019378"</f>
        <v>INV 4240019378</v>
      </c>
      <c r="G848" s="1">
        <v>436.68</v>
      </c>
      <c r="H848" t="str">
        <f>"INV 4240019378"</f>
        <v>INV 4240019378</v>
      </c>
    </row>
    <row r="849" spans="1:8" x14ac:dyDescent="0.25">
      <c r="E849" t="str">
        <f>"4240019492"</f>
        <v>4240019492</v>
      </c>
      <c r="F849" t="str">
        <f>"INV 4240019492 /UNIT 4362"</f>
        <v>INV 4240019492 /UNIT 4362</v>
      </c>
      <c r="G849" s="1">
        <v>788.88</v>
      </c>
      <c r="H849" t="str">
        <f>"INV 4240019492 /UNIT 4362"</f>
        <v>INV 4240019492 /UNIT 4362</v>
      </c>
    </row>
    <row r="850" spans="1:8" x14ac:dyDescent="0.25">
      <c r="E850" t="str">
        <f>"4240019584"</f>
        <v>4240019584</v>
      </c>
      <c r="F850" t="str">
        <f>"INV 4240019584"</f>
        <v>INV 4240019584</v>
      </c>
      <c r="G850" s="1">
        <v>1570.08</v>
      </c>
      <c r="H850" t="str">
        <f>"INV 4240019584"</f>
        <v>INV 4240019584</v>
      </c>
    </row>
    <row r="851" spans="1:8" x14ac:dyDescent="0.25">
      <c r="E851" t="str">
        <f>"4240019586"</f>
        <v>4240019586</v>
      </c>
      <c r="F851" t="str">
        <f>"INV 4240019586"</f>
        <v>INV 4240019586</v>
      </c>
      <c r="G851" s="1">
        <v>995.2</v>
      </c>
      <c r="H851" t="str">
        <f>"INV 4240019586"</f>
        <v>INV 4240019586</v>
      </c>
    </row>
    <row r="852" spans="1:8" x14ac:dyDescent="0.25">
      <c r="E852" t="str">
        <f>"4650054695"</f>
        <v>4650054695</v>
      </c>
      <c r="F852" t="str">
        <f>"CUST#0052157/PCT#4"</f>
        <v>CUST#0052157/PCT#4</v>
      </c>
      <c r="G852" s="1">
        <v>385.23</v>
      </c>
      <c r="H852" t="str">
        <f>"CUST#0052157/PCT#4"</f>
        <v>CUST#0052157/PCT#4</v>
      </c>
    </row>
    <row r="853" spans="1:8" x14ac:dyDescent="0.25">
      <c r="E853" t="str">
        <f>"4650059600"</f>
        <v>4650059600</v>
      </c>
      <c r="F853" t="str">
        <f>"CUST#0052157/PCT#3"</f>
        <v>CUST#0052157/PCT#3</v>
      </c>
      <c r="G853" s="1">
        <v>953.67</v>
      </c>
      <c r="H853" t="str">
        <f>"CUST#0052157/PCT#3"</f>
        <v>CUST#0052157/PCT#3</v>
      </c>
    </row>
    <row r="854" spans="1:8" x14ac:dyDescent="0.25">
      <c r="A854" t="s">
        <v>305</v>
      </c>
      <c r="B854">
        <v>133837</v>
      </c>
      <c r="C854" s="1">
        <v>3867.18</v>
      </c>
      <c r="D854" s="5">
        <v>44158</v>
      </c>
      <c r="E854" t="str">
        <f>"4650060936"</f>
        <v>4650060936</v>
      </c>
      <c r="F854" t="str">
        <f>"CUST#0052157/PCT#1"</f>
        <v>CUST#0052157/PCT#1</v>
      </c>
      <c r="G854" s="1">
        <v>160.5</v>
      </c>
      <c r="H854" t="str">
        <f>"CUST#0052157/PCT#1"</f>
        <v>CUST#0052157/PCT#1</v>
      </c>
    </row>
    <row r="855" spans="1:8" x14ac:dyDescent="0.25">
      <c r="E855" t="str">
        <f>"4650061065"</f>
        <v>4650061065</v>
      </c>
      <c r="F855" t="str">
        <f>"CUST#0052157/PCT#4"</f>
        <v>CUST#0052157/PCT#4</v>
      </c>
      <c r="G855" s="1">
        <v>1827.2</v>
      </c>
      <c r="H855" t="str">
        <f>"CUST#0052157/PCT#4"</f>
        <v>CUST#0052157/PCT#4</v>
      </c>
    </row>
    <row r="856" spans="1:8" x14ac:dyDescent="0.25">
      <c r="E856" t="str">
        <f>"4660021387"</f>
        <v>4660021387</v>
      </c>
      <c r="F856" t="str">
        <f>"CUST#0052158/PCT#2"</f>
        <v>CUST#0052158/PCT#2</v>
      </c>
      <c r="G856" s="1">
        <v>409.4</v>
      </c>
      <c r="H856" t="str">
        <f>"CUST#0052158/PCT#2"</f>
        <v>CUST#0052158/PCT#2</v>
      </c>
    </row>
    <row r="857" spans="1:8" x14ac:dyDescent="0.25">
      <c r="E857" t="str">
        <f>"4660022135"</f>
        <v>4660022135</v>
      </c>
      <c r="F857" t="str">
        <f>"CUST#0052158/PCT#2"</f>
        <v>CUST#0052158/PCT#2</v>
      </c>
      <c r="G857" s="1">
        <v>1470.08</v>
      </c>
      <c r="H857" t="str">
        <f>"CUST#0052158/PCT#2"</f>
        <v>CUST#0052158/PCT#2</v>
      </c>
    </row>
    <row r="858" spans="1:8" x14ac:dyDescent="0.25">
      <c r="A858" t="s">
        <v>306</v>
      </c>
      <c r="B858">
        <v>133655</v>
      </c>
      <c r="C858" s="1">
        <v>126.52</v>
      </c>
      <c r="D858" s="5">
        <v>44144</v>
      </c>
      <c r="E858" t="str">
        <f>"S1093525"</f>
        <v>S1093525</v>
      </c>
      <c r="F858" t="str">
        <f>"ACCT#114382/ANIMAL SHELTER"</f>
        <v>ACCT#114382/ANIMAL SHELTER</v>
      </c>
      <c r="G858" s="1">
        <v>126.52</v>
      </c>
      <c r="H858" t="str">
        <f>"ACCT#114382/ANIMAL SHELTER"</f>
        <v>ACCT#114382/ANIMAL SHELTER</v>
      </c>
    </row>
    <row r="859" spans="1:8" x14ac:dyDescent="0.25">
      <c r="A859" t="s">
        <v>306</v>
      </c>
      <c r="B859">
        <v>133838</v>
      </c>
      <c r="C859" s="1">
        <v>222.52</v>
      </c>
      <c r="D859" s="5">
        <v>44158</v>
      </c>
      <c r="E859" t="str">
        <f>"S1096387"</f>
        <v>S1096387</v>
      </c>
      <c r="F859" t="str">
        <f>"ACCT#114382/ANIMAL SHELTER"</f>
        <v>ACCT#114382/ANIMAL SHELTER</v>
      </c>
      <c r="G859" s="1">
        <v>222.52</v>
      </c>
      <c r="H859" t="str">
        <f>"ACCT#114382/ANIMAL SHELTER"</f>
        <v>ACCT#114382/ANIMAL SHELTER</v>
      </c>
    </row>
    <row r="860" spans="1:8" x14ac:dyDescent="0.25">
      <c r="A860" t="s">
        <v>307</v>
      </c>
      <c r="B860">
        <v>133839</v>
      </c>
      <c r="C860" s="1">
        <v>153.38</v>
      </c>
      <c r="D860" s="5">
        <v>44158</v>
      </c>
      <c r="E860" t="str">
        <f>"202011180156"</f>
        <v>202011180156</v>
      </c>
      <c r="F860" t="str">
        <f>"INDIGENT HEALTH"</f>
        <v>INDIGENT HEALTH</v>
      </c>
      <c r="G860" s="1">
        <v>153.38</v>
      </c>
      <c r="H860" t="str">
        <f>"INDIGENT HEALTH"</f>
        <v>INDIGENT HEALTH</v>
      </c>
    </row>
    <row r="861" spans="1:8" x14ac:dyDescent="0.25">
      <c r="A861" t="s">
        <v>308</v>
      </c>
      <c r="B861">
        <v>133840</v>
      </c>
      <c r="C861" s="1">
        <v>9039.6</v>
      </c>
      <c r="D861" s="5">
        <v>44158</v>
      </c>
      <c r="E861" t="str">
        <f>"4738*03131*1"</f>
        <v>4738*03131*1</v>
      </c>
      <c r="F861" t="str">
        <f>"JAIL MEDICAL"</f>
        <v>JAIL MEDICAL</v>
      </c>
      <c r="G861" s="1">
        <v>9039.6</v>
      </c>
      <c r="H861" t="str">
        <f>"JAIL MEDICAL"</f>
        <v>JAIL MEDICAL</v>
      </c>
    </row>
    <row r="862" spans="1:8" x14ac:dyDescent="0.25">
      <c r="A862" t="s">
        <v>309</v>
      </c>
      <c r="B862">
        <v>133841</v>
      </c>
      <c r="C862" s="1">
        <v>1196.8</v>
      </c>
      <c r="D862" s="5">
        <v>44158</v>
      </c>
      <c r="E862" t="str">
        <f>"202011190268"</f>
        <v>202011190268</v>
      </c>
      <c r="F862" t="str">
        <f>"Statement"</f>
        <v>Statement</v>
      </c>
      <c r="G862" s="1">
        <v>1196.8</v>
      </c>
      <c r="H862" t="str">
        <f>"3459215987"</f>
        <v>3459215987</v>
      </c>
    </row>
    <row r="863" spans="1:8" x14ac:dyDescent="0.25">
      <c r="E863" t="str">
        <f>""</f>
        <v/>
      </c>
      <c r="F863" t="str">
        <f>""</f>
        <v/>
      </c>
      <c r="H863" t="str">
        <f>"3459215988"</f>
        <v>3459215988</v>
      </c>
    </row>
    <row r="864" spans="1:8" x14ac:dyDescent="0.25">
      <c r="E864" t="str">
        <f>""</f>
        <v/>
      </c>
      <c r="F864" t="str">
        <f>""</f>
        <v/>
      </c>
      <c r="H864" t="str">
        <f>"3459215985"</f>
        <v>3459215985</v>
      </c>
    </row>
    <row r="865" spans="1:8" x14ac:dyDescent="0.25">
      <c r="E865" t="str">
        <f>""</f>
        <v/>
      </c>
      <c r="F865" t="str">
        <f>""</f>
        <v/>
      </c>
      <c r="H865" t="str">
        <f>"3459215989"</f>
        <v>3459215989</v>
      </c>
    </row>
    <row r="866" spans="1:8" x14ac:dyDescent="0.25">
      <c r="E866" t="str">
        <f>""</f>
        <v/>
      </c>
      <c r="F866" t="str">
        <f>""</f>
        <v/>
      </c>
      <c r="H866" t="str">
        <f>"3459215994"</f>
        <v>3459215994</v>
      </c>
    </row>
    <row r="867" spans="1:8" x14ac:dyDescent="0.25">
      <c r="E867" t="str">
        <f>""</f>
        <v/>
      </c>
      <c r="F867" t="str">
        <f>""</f>
        <v/>
      </c>
      <c r="H867" t="str">
        <f>"3459215992"</f>
        <v>3459215992</v>
      </c>
    </row>
    <row r="868" spans="1:8" x14ac:dyDescent="0.25">
      <c r="E868" t="str">
        <f>""</f>
        <v/>
      </c>
      <c r="F868" t="str">
        <f>""</f>
        <v/>
      </c>
      <c r="H868" t="str">
        <f>"3459215993"</f>
        <v>3459215993</v>
      </c>
    </row>
    <row r="869" spans="1:8" x14ac:dyDescent="0.25">
      <c r="E869" t="str">
        <f>""</f>
        <v/>
      </c>
      <c r="F869" t="str">
        <f>""</f>
        <v/>
      </c>
      <c r="H869" t="str">
        <f>"3459215995"</f>
        <v>3459215995</v>
      </c>
    </row>
    <row r="870" spans="1:8" x14ac:dyDescent="0.25">
      <c r="E870" t="str">
        <f>""</f>
        <v/>
      </c>
      <c r="F870" t="str">
        <f>""</f>
        <v/>
      </c>
      <c r="H870" t="str">
        <f>"3459215996"</f>
        <v>3459215996</v>
      </c>
    </row>
    <row r="871" spans="1:8" x14ac:dyDescent="0.25">
      <c r="E871" t="str">
        <f>""</f>
        <v/>
      </c>
      <c r="F871" t="str">
        <f>""</f>
        <v/>
      </c>
      <c r="H871" t="str">
        <f>"3459215991"</f>
        <v>3459215991</v>
      </c>
    </row>
    <row r="872" spans="1:8" x14ac:dyDescent="0.25">
      <c r="E872" t="str">
        <f>""</f>
        <v/>
      </c>
      <c r="F872" t="str">
        <f>""</f>
        <v/>
      </c>
      <c r="H872" t="str">
        <f>"3459215983"</f>
        <v>3459215983</v>
      </c>
    </row>
    <row r="873" spans="1:8" x14ac:dyDescent="0.25">
      <c r="A873" t="s">
        <v>310</v>
      </c>
      <c r="B873">
        <v>133842</v>
      </c>
      <c r="C873" s="1">
        <v>565.99</v>
      </c>
      <c r="D873" s="5">
        <v>44158</v>
      </c>
      <c r="E873" t="str">
        <f>"202011170088"</f>
        <v>202011170088</v>
      </c>
      <c r="F873" t="str">
        <f>"OCTOBER 2020"</f>
        <v>OCTOBER 2020</v>
      </c>
      <c r="G873" s="1">
        <v>565.99</v>
      </c>
      <c r="H873" t="str">
        <f>"OCTOBER 2020"</f>
        <v>OCTOBER 2020</v>
      </c>
    </row>
    <row r="874" spans="1:8" x14ac:dyDescent="0.25">
      <c r="A874" t="s">
        <v>311</v>
      </c>
      <c r="B874">
        <v>133656</v>
      </c>
      <c r="C874" s="1">
        <v>2850</v>
      </c>
      <c r="D874" s="5">
        <v>44144</v>
      </c>
      <c r="E874" t="str">
        <f>"202010279780"</f>
        <v>202010279780</v>
      </c>
      <c r="F874" t="str">
        <f>"1527-21"</f>
        <v>1527-21</v>
      </c>
      <c r="G874" s="1">
        <v>950</v>
      </c>
      <c r="H874" t="str">
        <f>"1527-21"</f>
        <v>1527-21</v>
      </c>
    </row>
    <row r="875" spans="1:8" x14ac:dyDescent="0.25">
      <c r="E875" t="str">
        <f>"202010279781"</f>
        <v>202010279781</v>
      </c>
      <c r="F875" t="str">
        <f>"423-7246"</f>
        <v>423-7246</v>
      </c>
      <c r="G875" s="1">
        <v>1900</v>
      </c>
      <c r="H875" t="str">
        <f>"423-7246"</f>
        <v>423-7246</v>
      </c>
    </row>
    <row r="876" spans="1:8" x14ac:dyDescent="0.25">
      <c r="A876" t="s">
        <v>312</v>
      </c>
      <c r="B876">
        <v>133843</v>
      </c>
      <c r="C876" s="1">
        <v>100</v>
      </c>
      <c r="D876" s="5">
        <v>44158</v>
      </c>
      <c r="E876" t="str">
        <f>"202011180257"</f>
        <v>202011180257</v>
      </c>
      <c r="F876" t="str">
        <f>"FERAL HOGS"</f>
        <v>FERAL HOGS</v>
      </c>
      <c r="G876" s="1">
        <v>100</v>
      </c>
      <c r="H876" t="str">
        <f>"FERAL HOGS"</f>
        <v>FERAL HOGS</v>
      </c>
    </row>
    <row r="877" spans="1:8" x14ac:dyDescent="0.25">
      <c r="A877" t="s">
        <v>313</v>
      </c>
      <c r="B877">
        <v>3474</v>
      </c>
      <c r="C877" s="1">
        <v>416</v>
      </c>
      <c r="D877" s="5">
        <v>44145</v>
      </c>
      <c r="E877" t="str">
        <f>"202011039841"</f>
        <v>202011039841</v>
      </c>
      <c r="F877" t="str">
        <f>"TRASH REMOVAL 11/2-11/6/PCT4"</f>
        <v>TRASH REMOVAL 11/2-11/6/PCT4</v>
      </c>
      <c r="G877" s="1">
        <v>214.5</v>
      </c>
      <c r="H877" t="str">
        <f>"TRASH REMOVAL 11/2-11/6/PCT4"</f>
        <v>TRASH REMOVAL 11/2-11/6/PCT4</v>
      </c>
    </row>
    <row r="878" spans="1:8" x14ac:dyDescent="0.25">
      <c r="E878" t="str">
        <f>"202011039842"</f>
        <v>202011039842</v>
      </c>
      <c r="F878" t="str">
        <f>"TRASH REMOVAL 10/26-10/30/PCT4"</f>
        <v>TRASH REMOVAL 10/26-10/30/PCT4</v>
      </c>
      <c r="G878" s="1">
        <v>201.5</v>
      </c>
      <c r="H878" t="str">
        <f>"TRASH REMOVAL 10/26-10/30/PCT4"</f>
        <v>TRASH REMOVAL 10/26-10/30/PCT4</v>
      </c>
    </row>
    <row r="879" spans="1:8" x14ac:dyDescent="0.25">
      <c r="A879" t="s">
        <v>313</v>
      </c>
      <c r="B879">
        <v>3534</v>
      </c>
      <c r="C879" s="1">
        <v>461.5</v>
      </c>
      <c r="D879" s="5">
        <v>44159</v>
      </c>
      <c r="E879" t="str">
        <f>"202011180177"</f>
        <v>202011180177</v>
      </c>
      <c r="F879" t="str">
        <f>"TRASH REMOVAL 11/9-11/20/PCT#4"</f>
        <v>TRASH REMOVAL 11/9-11/20/PCT#4</v>
      </c>
      <c r="G879" s="1">
        <v>461.5</v>
      </c>
      <c r="H879" t="str">
        <f>"TRASH REMOVAL 11/9-11/20/PCT#4"</f>
        <v>TRASH REMOVAL 11/9-11/20/PCT#4</v>
      </c>
    </row>
    <row r="880" spans="1:8" x14ac:dyDescent="0.25">
      <c r="A880" t="s">
        <v>314</v>
      </c>
      <c r="B880">
        <v>3555</v>
      </c>
      <c r="C880" s="1">
        <v>14300</v>
      </c>
      <c r="D880" s="5">
        <v>44159</v>
      </c>
      <c r="E880" t="str">
        <f>"785"</f>
        <v>785</v>
      </c>
      <c r="F880" t="str">
        <f>"SHREDDING/MOWING/PCT#2"</f>
        <v>SHREDDING/MOWING/PCT#2</v>
      </c>
      <c r="G880" s="1">
        <v>14300</v>
      </c>
      <c r="H880" t="str">
        <f>"SHREDDING/MOWING/PCT#2"</f>
        <v>SHREDDING/MOWING/PCT#2</v>
      </c>
    </row>
    <row r="881" spans="1:8" x14ac:dyDescent="0.25">
      <c r="A881" t="s">
        <v>315</v>
      </c>
      <c r="B881">
        <v>3493</v>
      </c>
      <c r="C881" s="1">
        <v>3791.38</v>
      </c>
      <c r="D881" s="5">
        <v>44145</v>
      </c>
      <c r="E881" t="str">
        <f>"95867815"</f>
        <v>95867815</v>
      </c>
      <c r="F881" t="str">
        <f>"ACCT#10187718/PCT#2"</f>
        <v>ACCT#10187718/PCT#2</v>
      </c>
      <c r="G881" s="1">
        <v>2257.66</v>
      </c>
      <c r="H881" t="str">
        <f>"ACCT#10187718/PCT#2"</f>
        <v>ACCT#10187718/PCT#2</v>
      </c>
    </row>
    <row r="882" spans="1:8" x14ac:dyDescent="0.25">
      <c r="E882" t="str">
        <f>"95879611"</f>
        <v>95879611</v>
      </c>
      <c r="F882" t="str">
        <f>"ACCT#10187718/PCT#2"</f>
        <v>ACCT#10187718/PCT#2</v>
      </c>
      <c r="G882" s="1">
        <v>1533.72</v>
      </c>
      <c r="H882" t="str">
        <f>"ACCT#10187718/PCT#2"</f>
        <v>ACCT#10187718/PCT#2</v>
      </c>
    </row>
    <row r="883" spans="1:8" x14ac:dyDescent="0.25">
      <c r="A883" t="s">
        <v>315</v>
      </c>
      <c r="B883">
        <v>3565</v>
      </c>
      <c r="C883" s="1">
        <v>4249.8999999999996</v>
      </c>
      <c r="D883" s="5">
        <v>44159</v>
      </c>
      <c r="E883" t="str">
        <f>"95889262"</f>
        <v>95889262</v>
      </c>
      <c r="F883" t="str">
        <f>"ACCT#10187718/PCT#2"</f>
        <v>ACCT#10187718/PCT#2</v>
      </c>
      <c r="G883" s="1">
        <v>2206.1</v>
      </c>
      <c r="H883" t="str">
        <f>"ACCT#10187718/PCT#2"</f>
        <v>ACCT#10187718/PCT#2</v>
      </c>
    </row>
    <row r="884" spans="1:8" x14ac:dyDescent="0.25">
      <c r="E884" t="str">
        <f>"95902160"</f>
        <v>95902160</v>
      </c>
      <c r="F884" t="str">
        <f>"ACCT#10187718/PCT#2"</f>
        <v>ACCT#10187718/PCT#2</v>
      </c>
      <c r="G884" s="1">
        <v>2043.8</v>
      </c>
      <c r="H884" t="str">
        <f>"ACCT#10187718/PCT#2"</f>
        <v>ACCT#10187718/PCT#2</v>
      </c>
    </row>
    <row r="885" spans="1:8" x14ac:dyDescent="0.25">
      <c r="A885" t="s">
        <v>316</v>
      </c>
      <c r="B885">
        <v>133657</v>
      </c>
      <c r="C885" s="1">
        <v>150</v>
      </c>
      <c r="D885" s="5">
        <v>44144</v>
      </c>
      <c r="E885" t="str">
        <f>"C1625"</f>
        <v>C1625</v>
      </c>
      <c r="F885" t="str">
        <f>"INV C1625"</f>
        <v>INV C1625</v>
      </c>
      <c r="G885" s="1">
        <v>150</v>
      </c>
      <c r="H885" t="str">
        <f>"INV C1625"</f>
        <v>INV C1625</v>
      </c>
    </row>
    <row r="886" spans="1:8" x14ac:dyDescent="0.25">
      <c r="A886" t="s">
        <v>317</v>
      </c>
      <c r="B886">
        <v>133844</v>
      </c>
      <c r="C886" s="1">
        <v>500</v>
      </c>
      <c r="D886" s="5">
        <v>44158</v>
      </c>
      <c r="E886" t="str">
        <f>"202011180258"</f>
        <v>202011180258</v>
      </c>
      <c r="F886" t="str">
        <f>"FERAL HOGS"</f>
        <v>FERAL HOGS</v>
      </c>
      <c r="G886" s="1">
        <v>500</v>
      </c>
      <c r="H886" t="str">
        <f>"FERAL HOGS"</f>
        <v>FERAL HOGS</v>
      </c>
    </row>
    <row r="887" spans="1:8" x14ac:dyDescent="0.25">
      <c r="A887" t="s">
        <v>318</v>
      </c>
      <c r="B887">
        <v>133845</v>
      </c>
      <c r="C887" s="1">
        <v>20</v>
      </c>
      <c r="D887" s="5">
        <v>44158</v>
      </c>
      <c r="E887" t="str">
        <f>"202011180259"</f>
        <v>202011180259</v>
      </c>
      <c r="F887" t="str">
        <f>"FERAL HOGS"</f>
        <v>FERAL HOGS</v>
      </c>
      <c r="G887" s="1">
        <v>20</v>
      </c>
      <c r="H887" t="str">
        <f>"FERAL HOGS"</f>
        <v>FERAL HOGS</v>
      </c>
    </row>
    <row r="888" spans="1:8" x14ac:dyDescent="0.25">
      <c r="A888" t="s">
        <v>319</v>
      </c>
      <c r="B888">
        <v>133658</v>
      </c>
      <c r="C888" s="1">
        <v>51.77</v>
      </c>
      <c r="D888" s="5">
        <v>44144</v>
      </c>
      <c r="E888" t="str">
        <f>"202011039973"</f>
        <v>202011039973</v>
      </c>
      <c r="F888" t="str">
        <f>"REIMBURSEMENT"</f>
        <v>REIMBURSEMENT</v>
      </c>
      <c r="G888" s="1">
        <v>51.77</v>
      </c>
      <c r="H888" t="str">
        <f>"REIMBURSEMENT"</f>
        <v>REIMBURSEMENT</v>
      </c>
    </row>
    <row r="889" spans="1:8" x14ac:dyDescent="0.25">
      <c r="A889" t="s">
        <v>320</v>
      </c>
      <c r="B889">
        <v>3483</v>
      </c>
      <c r="C889" s="1">
        <v>57.68</v>
      </c>
      <c r="D889" s="5">
        <v>44145</v>
      </c>
      <c r="E889" t="str">
        <f>"20110209"</f>
        <v>20110209</v>
      </c>
      <c r="F889" t="str">
        <f>"SVC CONTRACT 10/01-11/02"</f>
        <v>SVC CONTRACT 10/01-11/02</v>
      </c>
      <c r="G889" s="1">
        <v>57.68</v>
      </c>
      <c r="H889" t="str">
        <f>"SVC CONTRACT 10/01-11/02"</f>
        <v>SVC CONTRACT 10/01-11/02</v>
      </c>
    </row>
    <row r="890" spans="1:8" x14ac:dyDescent="0.25">
      <c r="A890" t="s">
        <v>321</v>
      </c>
      <c r="B890">
        <v>133846</v>
      </c>
      <c r="C890" s="1">
        <v>750</v>
      </c>
      <c r="D890" s="5">
        <v>44158</v>
      </c>
      <c r="E890" t="str">
        <f>"202011170080"</f>
        <v>202011170080</v>
      </c>
      <c r="F890" t="str">
        <f>"INV#'S173223 173707 175601"</f>
        <v>INV#'S173223 173707 175601</v>
      </c>
      <c r="G890" s="1">
        <v>750</v>
      </c>
      <c r="H890" t="str">
        <f>"INV#'S173223 173707 175601"</f>
        <v>INV#'S173223 173707 175601</v>
      </c>
    </row>
    <row r="891" spans="1:8" x14ac:dyDescent="0.25">
      <c r="A891" t="s">
        <v>322</v>
      </c>
      <c r="B891">
        <v>3593</v>
      </c>
      <c r="C891" s="1">
        <v>217</v>
      </c>
      <c r="D891" s="5">
        <v>44159</v>
      </c>
      <c r="E891" t="str">
        <f>"2012053"</f>
        <v>2012053</v>
      </c>
      <c r="F891" t="str">
        <f>"CUST ID:BASTROP CNTY CT"</f>
        <v>CUST ID:BASTROP CNTY CT</v>
      </c>
      <c r="G891" s="1">
        <v>217</v>
      </c>
      <c r="H891" t="str">
        <f>"CUST ID:BASTROP CNTY CT"</f>
        <v>CUST ID:BASTROP CNTY CT</v>
      </c>
    </row>
    <row r="892" spans="1:8" x14ac:dyDescent="0.25">
      <c r="A892" t="s">
        <v>323</v>
      </c>
      <c r="B892">
        <v>3582</v>
      </c>
      <c r="C892" s="1">
        <v>69</v>
      </c>
      <c r="D892" s="5">
        <v>44159</v>
      </c>
      <c r="E892" t="str">
        <f>"202011180186"</f>
        <v>202011180186</v>
      </c>
      <c r="F892" t="str">
        <f>"MILEAGE REIMBURSEMENT"</f>
        <v>MILEAGE REIMBURSEMENT</v>
      </c>
      <c r="G892" s="1">
        <v>69</v>
      </c>
      <c r="H892" t="str">
        <f>"MILEAGE REIMBURSEMENT"</f>
        <v>MILEAGE REIMBURSEMENT</v>
      </c>
    </row>
    <row r="893" spans="1:8" x14ac:dyDescent="0.25">
      <c r="A893" t="s">
        <v>324</v>
      </c>
      <c r="B893">
        <v>133847</v>
      </c>
      <c r="C893" s="1">
        <v>90</v>
      </c>
      <c r="D893" s="5">
        <v>44158</v>
      </c>
      <c r="E893" t="str">
        <f>"202011180260"</f>
        <v>202011180260</v>
      </c>
      <c r="F893" t="str">
        <f>"FERAL HOGS"</f>
        <v>FERAL HOGS</v>
      </c>
      <c r="G893" s="1">
        <v>90</v>
      </c>
      <c r="H893" t="str">
        <f>"FERAL HOGS"</f>
        <v>FERAL HOGS</v>
      </c>
    </row>
    <row r="894" spans="1:8" x14ac:dyDescent="0.25">
      <c r="A894" t="s">
        <v>325</v>
      </c>
      <c r="B894">
        <v>3513</v>
      </c>
      <c r="C894" s="1">
        <v>62.56</v>
      </c>
      <c r="D894" s="5">
        <v>44145</v>
      </c>
      <c r="E894" t="str">
        <f>"892558"</f>
        <v>892558</v>
      </c>
      <c r="F894" t="str">
        <f>"ACCT#63275/CUST ID:BASCO1/P3"</f>
        <v>ACCT#63275/CUST ID:BASCO1/P3</v>
      </c>
      <c r="G894" s="1">
        <v>62.56</v>
      </c>
      <c r="H894" t="str">
        <f>"ACCT#63275/CUST ID:BASCO1/P3"</f>
        <v>ACCT#63275/CUST ID:BASCO1/P3</v>
      </c>
    </row>
    <row r="895" spans="1:8" x14ac:dyDescent="0.25">
      <c r="A895" t="s">
        <v>326</v>
      </c>
      <c r="B895">
        <v>133659</v>
      </c>
      <c r="C895" s="1">
        <v>12791.86</v>
      </c>
      <c r="D895" s="5">
        <v>44144</v>
      </c>
      <c r="E895" t="str">
        <f>"1020529-IN"</f>
        <v>1020529-IN</v>
      </c>
      <c r="F895" t="str">
        <f>"ACCT#01-0112917/BOL#786473/P1"</f>
        <v>ACCT#01-0112917/BOL#786473/P1</v>
      </c>
      <c r="G895" s="1">
        <v>3612.48</v>
      </c>
      <c r="H895" t="str">
        <f>"ACCT#01-0112917/BOL#786473/P1"</f>
        <v>ACCT#01-0112917/BOL#786473/P1</v>
      </c>
    </row>
    <row r="896" spans="1:8" x14ac:dyDescent="0.25">
      <c r="E896" t="str">
        <f>"1024237-IN"</f>
        <v>1024237-IN</v>
      </c>
      <c r="F896" t="str">
        <f>"ACCT#01-0112917/FUEL/PCT#3"</f>
        <v>ACCT#01-0112917/FUEL/PCT#3</v>
      </c>
      <c r="G896" s="1">
        <v>2932.9</v>
      </c>
      <c r="H896" t="str">
        <f>"ACCT#01-0112917/FUEL/PCT#3"</f>
        <v>ACCT#01-0112917/FUEL/PCT#3</v>
      </c>
    </row>
    <row r="897" spans="1:8" x14ac:dyDescent="0.25">
      <c r="E897" t="str">
        <f>"1027592-IN"</f>
        <v>1027592-IN</v>
      </c>
      <c r="F897" t="str">
        <f>"ACCT#01-0112917/FUEL/PCT#3"</f>
        <v>ACCT#01-0112917/FUEL/PCT#3</v>
      </c>
      <c r="G897" s="1">
        <v>2506.91</v>
      </c>
      <c r="H897" t="str">
        <f>"ACCT#01-0112917/FUEL/PCT#3"</f>
        <v>ACCT#01-0112917/FUEL/PCT#3</v>
      </c>
    </row>
    <row r="898" spans="1:8" x14ac:dyDescent="0.25">
      <c r="E898" t="str">
        <f>"1027866-IN"</f>
        <v>1027866-IN</v>
      </c>
      <c r="F898" t="str">
        <f>"ACCT#01-0112917/BOL#11369/PCT4"</f>
        <v>ACCT#01-0112917/BOL#11369/PCT4</v>
      </c>
      <c r="G898" s="1">
        <v>3739.57</v>
      </c>
      <c r="H898" t="str">
        <f>"ACCT#01-0112917/BOL#11369/PCT4"</f>
        <v>ACCT#01-0112917/BOL#11369/PCT4</v>
      </c>
    </row>
    <row r="899" spans="1:8" x14ac:dyDescent="0.25">
      <c r="A899" t="s">
        <v>326</v>
      </c>
      <c r="B899">
        <v>133848</v>
      </c>
      <c r="C899" s="1">
        <v>4779.42</v>
      </c>
      <c r="D899" s="5">
        <v>44158</v>
      </c>
      <c r="E899" t="str">
        <f>"1028552-IN"</f>
        <v>1028552-IN</v>
      </c>
      <c r="F899" t="str">
        <f>"ACCT#01-0112917/601 COOL WATER"</f>
        <v>ACCT#01-0112917/601 COOL WATER</v>
      </c>
      <c r="G899" s="1">
        <v>1084.23</v>
      </c>
      <c r="H899" t="str">
        <f>"ACCT#01-0112917/601 COOL WATER"</f>
        <v>ACCT#01-0112917/601 COOL WATER</v>
      </c>
    </row>
    <row r="900" spans="1:8" x14ac:dyDescent="0.25">
      <c r="E900" t="str">
        <f>"1031241-IN"</f>
        <v>1031241-IN</v>
      </c>
      <c r="F900" t="str">
        <f>"ACCT#01-0112917/601 COOL WATER"</f>
        <v>ACCT#01-0112917/601 COOL WATER</v>
      </c>
      <c r="G900" s="1">
        <v>3695.19</v>
      </c>
      <c r="H900" t="str">
        <f>"ACCT#01-0112917/601 COOL WATER"</f>
        <v>ACCT#01-0112917/601 COOL WATER</v>
      </c>
    </row>
    <row r="901" spans="1:8" x14ac:dyDescent="0.25">
      <c r="A901" t="s">
        <v>327</v>
      </c>
      <c r="B901">
        <v>133849</v>
      </c>
      <c r="C901" s="1">
        <v>126.97</v>
      </c>
      <c r="D901" s="5">
        <v>44158</v>
      </c>
      <c r="E901" t="str">
        <f>"202011180164"</f>
        <v>202011180164</v>
      </c>
      <c r="F901" t="str">
        <f>"INDIGENT HEALTH"</f>
        <v>INDIGENT HEALTH</v>
      </c>
      <c r="G901" s="1">
        <v>126.97</v>
      </c>
      <c r="H901" t="str">
        <f>"INDIGENT HEALTH"</f>
        <v>INDIGENT HEALTH</v>
      </c>
    </row>
    <row r="902" spans="1:8" x14ac:dyDescent="0.25">
      <c r="A902" t="s">
        <v>328</v>
      </c>
      <c r="B902">
        <v>133850</v>
      </c>
      <c r="C902" s="1">
        <v>150</v>
      </c>
      <c r="D902" s="5">
        <v>44158</v>
      </c>
      <c r="E902" t="str">
        <f>"202011170093"</f>
        <v>202011170093</v>
      </c>
      <c r="F902" t="str">
        <f>"TEXAS ASSOCIATES INSURORS AGEN"</f>
        <v>TEXAS ASSOCIATES INSURORS AGEN</v>
      </c>
      <c r="G902" s="1">
        <v>150</v>
      </c>
      <c r="H902" t="str">
        <f>""</f>
        <v/>
      </c>
    </row>
    <row r="903" spans="1:8" x14ac:dyDescent="0.25">
      <c r="A903" t="s">
        <v>329</v>
      </c>
      <c r="B903">
        <v>133851</v>
      </c>
      <c r="C903" s="1">
        <v>310</v>
      </c>
      <c r="D903" s="5">
        <v>44158</v>
      </c>
      <c r="E903" t="str">
        <f>"304196"</f>
        <v>304196</v>
      </c>
      <c r="F903" t="str">
        <f>"MEMBER ID:203296/FALL CONFEREN"</f>
        <v>MEMBER ID:203296/FALL CONFEREN</v>
      </c>
      <c r="G903" s="1">
        <v>150</v>
      </c>
      <c r="H903" t="str">
        <f>"MEMBER ID:203296/FALL CONFEREN"</f>
        <v>MEMBER ID:203296/FALL CONFEREN</v>
      </c>
    </row>
    <row r="904" spans="1:8" x14ac:dyDescent="0.25">
      <c r="E904" t="str">
        <f>"66369"</f>
        <v>66369</v>
      </c>
      <c r="F904" t="str">
        <f>"ACCT#203296 / ORDER #213739"</f>
        <v>ACCT#203296 / ORDER #213739</v>
      </c>
      <c r="G904" s="1">
        <v>160</v>
      </c>
      <c r="H904" t="str">
        <f>"ACCT#203296 / ORDER #213739"</f>
        <v>ACCT#203296 / ORDER #213739</v>
      </c>
    </row>
    <row r="905" spans="1:8" x14ac:dyDescent="0.25">
      <c r="A905" t="s">
        <v>330</v>
      </c>
      <c r="B905">
        <v>133852</v>
      </c>
      <c r="C905" s="1">
        <v>950</v>
      </c>
      <c r="D905" s="5">
        <v>44158</v>
      </c>
      <c r="E905" t="str">
        <f>"202011180188"</f>
        <v>202011180188</v>
      </c>
      <c r="F905" t="str">
        <f>"ANN DUES/MIDWIN CON/S STRONG"</f>
        <v>ANN DUES/MIDWIN CON/S STRONG</v>
      </c>
      <c r="G905" s="1">
        <v>300</v>
      </c>
      <c r="H905" t="str">
        <f>"ANNUAL DUES/MIDWINTER CONFEREN"</f>
        <v>ANNUAL DUES/MIDWINTER CONFEREN</v>
      </c>
    </row>
    <row r="906" spans="1:8" x14ac:dyDescent="0.25">
      <c r="E906" t="str">
        <f>"202011180189"</f>
        <v>202011180189</v>
      </c>
      <c r="F906" t="str">
        <f>"ANN DUES/MIDWIN CON/M WELCH"</f>
        <v>ANN DUES/MIDWIN CON/M WELCH</v>
      </c>
      <c r="G906" s="1">
        <v>300</v>
      </c>
      <c r="H906" t="str">
        <f>"ANN DUES/MIDWIN CON/M WELCH"</f>
        <v>ANN DUES/MIDWIN CON/M WELCH</v>
      </c>
    </row>
    <row r="907" spans="1:8" x14ac:dyDescent="0.25">
      <c r="E907" t="str">
        <f>"202011180190"</f>
        <v>202011180190</v>
      </c>
      <c r="F907" t="str">
        <f>"ANN DUES/MIDWIN CON/K MILES"</f>
        <v>ANN DUES/MIDWIN CON/K MILES</v>
      </c>
      <c r="G907" s="1">
        <v>350</v>
      </c>
      <c r="H907" t="str">
        <f>"ANN DUES/MIDWIN CON/K MILES"</f>
        <v>ANN DUES/MIDWIN CON/K MILES</v>
      </c>
    </row>
    <row r="908" spans="1:8" x14ac:dyDescent="0.25">
      <c r="A908" t="s">
        <v>331</v>
      </c>
      <c r="B908">
        <v>133660</v>
      </c>
      <c r="C908" s="1">
        <v>471.8</v>
      </c>
      <c r="D908" s="5">
        <v>44144</v>
      </c>
      <c r="E908" t="str">
        <f>"150881"</f>
        <v>150881</v>
      </c>
      <c r="F908" t="str">
        <f>"REF#P-7103/PCT#1"</f>
        <v>REF#P-7103/PCT#1</v>
      </c>
      <c r="G908" s="1">
        <v>471.8</v>
      </c>
      <c r="H908" t="str">
        <f>"REF#P-7103/PCT#1"</f>
        <v>REF#P-7103/PCT#1</v>
      </c>
    </row>
    <row r="909" spans="1:8" x14ac:dyDescent="0.25">
      <c r="A909" t="s">
        <v>332</v>
      </c>
      <c r="B909">
        <v>133853</v>
      </c>
      <c r="C909" s="1">
        <v>61</v>
      </c>
      <c r="D909" s="5">
        <v>44158</v>
      </c>
      <c r="E909" t="str">
        <f>"CRS-202002-190270"</f>
        <v>CRS-202002-190270</v>
      </c>
      <c r="F909" t="str">
        <f>"SECURE SITE CCH NAME SRCH/FEBR"</f>
        <v>SECURE SITE CCH NAME SRCH/FEBR</v>
      </c>
      <c r="G909" s="1">
        <v>33</v>
      </c>
      <c r="H909" t="str">
        <f>"SECURE SITE CCH NAME SRCH/FEBR"</f>
        <v>SECURE SITE CCH NAME SRCH/FEBR</v>
      </c>
    </row>
    <row r="910" spans="1:8" x14ac:dyDescent="0.25">
      <c r="E910" t="str">
        <f>"CRS-202009-201536"</f>
        <v>CRS-202009-201536</v>
      </c>
      <c r="F910" t="str">
        <f>"SECURE SITE CCH NAME SRCH/SEPT"</f>
        <v>SECURE SITE CCH NAME SRCH/SEPT</v>
      </c>
      <c r="G910" s="1">
        <v>28</v>
      </c>
      <c r="H910" t="str">
        <f>"SECURE SITE CCH NAME SRCH/SEPT"</f>
        <v>SECURE SITE CCH NAME SRCH/SEPT</v>
      </c>
    </row>
    <row r="911" spans="1:8" x14ac:dyDescent="0.25">
      <c r="A911" t="s">
        <v>333</v>
      </c>
      <c r="B911">
        <v>133661</v>
      </c>
      <c r="C911" s="1">
        <v>155</v>
      </c>
      <c r="D911" s="5">
        <v>44144</v>
      </c>
      <c r="E911" t="str">
        <f>"5654840"</f>
        <v>5654840</v>
      </c>
      <c r="F911" t="str">
        <f>"ACCT#1-238865 7/TAHITIAN VILL"</f>
        <v>ACCT#1-238865 7/TAHITIAN VILL</v>
      </c>
      <c r="G911" s="1">
        <v>155</v>
      </c>
      <c r="H911" t="str">
        <f>"ACCT#1-238865 7/TAHITIAN VILL"</f>
        <v>ACCT#1-238865 7/TAHITIAN VILL</v>
      </c>
    </row>
    <row r="912" spans="1:8" x14ac:dyDescent="0.25">
      <c r="A912" t="s">
        <v>334</v>
      </c>
      <c r="B912">
        <v>133662</v>
      </c>
      <c r="C912" s="1">
        <v>395</v>
      </c>
      <c r="D912" s="5">
        <v>44144</v>
      </c>
      <c r="E912" t="str">
        <f>"4277"</f>
        <v>4277</v>
      </c>
      <c r="F912" t="str">
        <f>"TRAINING INV 4277"</f>
        <v>TRAINING INV 4277</v>
      </c>
      <c r="G912" s="1">
        <v>395</v>
      </c>
      <c r="H912" t="str">
        <f>"TRAINING INV 4277"</f>
        <v>TRAINING INV 4277</v>
      </c>
    </row>
    <row r="913" spans="1:8" x14ac:dyDescent="0.25">
      <c r="A913" t="s">
        <v>329</v>
      </c>
      <c r="B913">
        <v>133854</v>
      </c>
      <c r="C913" s="1">
        <v>200</v>
      </c>
      <c r="D913" s="5">
        <v>44158</v>
      </c>
      <c r="E913" t="str">
        <f>"236245  10/20/2020"</f>
        <v>236245  10/20/2020</v>
      </c>
      <c r="F913" t="str">
        <f>"TX JUDICIAL ACADEMY-PAUL PAPE"</f>
        <v>TX JUDICIAL ACADEMY-PAUL PAPE</v>
      </c>
      <c r="G913" s="1">
        <v>200</v>
      </c>
      <c r="H913" t="str">
        <f>"TX JUDICIAL ACADEMY-PAUL PAPE"</f>
        <v>TX JUDICIAL ACADEMY-PAUL PAPE</v>
      </c>
    </row>
    <row r="914" spans="1:8" x14ac:dyDescent="0.25">
      <c r="A914" t="s">
        <v>335</v>
      </c>
      <c r="B914">
        <v>133663</v>
      </c>
      <c r="C914" s="1">
        <v>908.86</v>
      </c>
      <c r="D914" s="5">
        <v>44144</v>
      </c>
      <c r="E914" t="str">
        <f>"200910141"</f>
        <v>200910141</v>
      </c>
      <c r="F914" t="str">
        <f>"CUST#255120/PCT#2"</f>
        <v>CUST#255120/PCT#2</v>
      </c>
      <c r="G914" s="1">
        <v>908.86</v>
      </c>
      <c r="H914" t="str">
        <f>"CUST#255120/PCT#2"</f>
        <v>CUST#255120/PCT#2</v>
      </c>
    </row>
    <row r="915" spans="1:8" x14ac:dyDescent="0.25">
      <c r="A915" t="s">
        <v>335</v>
      </c>
      <c r="B915">
        <v>133855</v>
      </c>
      <c r="C915" s="1">
        <v>1673.88</v>
      </c>
      <c r="D915" s="5">
        <v>44158</v>
      </c>
      <c r="E915" t="str">
        <f>"200913530"</f>
        <v>200913530</v>
      </c>
      <c r="F915" t="str">
        <f>"CUST#255120/PCT#2"</f>
        <v>CUST#255120/PCT#2</v>
      </c>
      <c r="G915" s="1">
        <v>1673.88</v>
      </c>
      <c r="H915" t="str">
        <f>"CUST#255120/PCT#2"</f>
        <v>CUST#255120/PCT#2</v>
      </c>
    </row>
    <row r="916" spans="1:8" x14ac:dyDescent="0.25">
      <c r="A916" t="s">
        <v>336</v>
      </c>
      <c r="B916">
        <v>133664</v>
      </c>
      <c r="C916" s="1">
        <v>538.04999999999995</v>
      </c>
      <c r="D916" s="5">
        <v>44144</v>
      </c>
      <c r="E916" t="str">
        <f>"A13673"</f>
        <v>A13673</v>
      </c>
      <c r="F916" t="str">
        <f>"J2-68607 - B.C. GARDNER"</f>
        <v>J2-68607 - B.C. GARDNER</v>
      </c>
      <c r="G916" s="1">
        <v>79.05</v>
      </c>
      <c r="H916" t="str">
        <f>"J2-68607 - B.C. GARDNER"</f>
        <v>J2-68607 - B.C. GARDNER</v>
      </c>
    </row>
    <row r="917" spans="1:8" x14ac:dyDescent="0.25">
      <c r="E917" t="str">
        <f>"A8353760"</f>
        <v>A8353760</v>
      </c>
      <c r="F917" t="str">
        <f>"J2-68760 - J.D. NOACK"</f>
        <v>J2-68760 - J.D. NOACK</v>
      </c>
      <c r="G917" s="1">
        <v>114.75</v>
      </c>
      <c r="H917" t="str">
        <f>"J2-68760 - J.D. NOACK"</f>
        <v>J2-68760 - J.D. NOACK</v>
      </c>
    </row>
    <row r="918" spans="1:8" x14ac:dyDescent="0.25">
      <c r="E918" t="str">
        <f>"J2-67569"</f>
        <v>J2-67569</v>
      </c>
      <c r="F918" t="str">
        <f>"A8303707 / J.T. ODEM"</f>
        <v>A8303707 / J.T. ODEM</v>
      </c>
      <c r="G918" s="1">
        <v>114.75</v>
      </c>
      <c r="H918" t="str">
        <f>"A8303707 / J.T. ODEM"</f>
        <v>A8303707 / J.T. ODEM</v>
      </c>
    </row>
    <row r="919" spans="1:8" x14ac:dyDescent="0.25">
      <c r="E919" t="str">
        <f>"J2-68297"</f>
        <v>J2-68297</v>
      </c>
      <c r="F919" t="str">
        <f>"A8286552 - B.M. KASPER"</f>
        <v>A8286552 - B.M. KASPER</v>
      </c>
      <c r="G919" s="1">
        <v>114.75</v>
      </c>
      <c r="H919" t="str">
        <f>"A8286552 - B.M. KASPER"</f>
        <v>A8286552 - B.M. KASPER</v>
      </c>
    </row>
    <row r="920" spans="1:8" x14ac:dyDescent="0.25">
      <c r="E920" t="str">
        <f>"J2-68761"</f>
        <v>J2-68761</v>
      </c>
      <c r="F920" t="str">
        <f>"A8353760 - J.D. NOACK"</f>
        <v>A8353760 - J.D. NOACK</v>
      </c>
      <c r="G920" s="1">
        <v>114.75</v>
      </c>
      <c r="H920" t="str">
        <f>"A8353760 - J.D. NOACK"</f>
        <v>A8353760 - J.D. NOACK</v>
      </c>
    </row>
    <row r="921" spans="1:8" x14ac:dyDescent="0.25">
      <c r="A921" t="s">
        <v>336</v>
      </c>
      <c r="B921">
        <v>133856</v>
      </c>
      <c r="C921" s="1">
        <v>565.25</v>
      </c>
      <c r="D921" s="5">
        <v>44158</v>
      </c>
      <c r="E921" t="str">
        <f>"3CO-1979-20"</f>
        <v>3CO-1979-20</v>
      </c>
      <c r="F921" t="str">
        <f>"A8286540 - A. GUITIERREZ"</f>
        <v>A8286540 - A. GUITIERREZ</v>
      </c>
      <c r="G921" s="1">
        <v>425</v>
      </c>
      <c r="H921" t="str">
        <f>"A8286540 - A. GUITIERREZ"</f>
        <v>A8286540 - A. GUITIERREZ</v>
      </c>
    </row>
    <row r="922" spans="1:8" x14ac:dyDescent="0.25">
      <c r="E922" t="str">
        <f>"J2-56884"</f>
        <v>J2-56884</v>
      </c>
      <c r="F922" t="str">
        <f>"A8207056 - J.C. MARTINEZ"</f>
        <v>A8207056 - J.C. MARTINEZ</v>
      </c>
      <c r="G922" s="1">
        <v>25.5</v>
      </c>
      <c r="H922" t="str">
        <f>"A8207056 - J.C. MARTINEZ"</f>
        <v>A8207056 - J.C. MARTINEZ</v>
      </c>
    </row>
    <row r="923" spans="1:8" x14ac:dyDescent="0.25">
      <c r="E923" t="str">
        <f>"J2-68797"</f>
        <v>J2-68797</v>
      </c>
      <c r="F923" t="str">
        <f>"A8353759 - D. COOK"</f>
        <v>A8353759 - D. COOK</v>
      </c>
      <c r="G923" s="1">
        <v>114.75</v>
      </c>
      <c r="H923" t="str">
        <f>"A8353759 - D. COOK"</f>
        <v>A8353759 - D. COOK</v>
      </c>
    </row>
    <row r="924" spans="1:8" x14ac:dyDescent="0.25">
      <c r="A924" t="s">
        <v>337</v>
      </c>
      <c r="B924">
        <v>3566</v>
      </c>
      <c r="C924" s="1">
        <v>487.95</v>
      </c>
      <c r="D924" s="5">
        <v>44159</v>
      </c>
      <c r="E924" t="str">
        <f>"202011180165"</f>
        <v>202011180165</v>
      </c>
      <c r="F924" t="str">
        <f>"INDIGENT HEALTH"</f>
        <v>INDIGENT HEALTH</v>
      </c>
      <c r="G924" s="1">
        <v>487.95</v>
      </c>
      <c r="H924" t="str">
        <f>"INDIGENT HEALTH"</f>
        <v>INDIGENT HEALTH</v>
      </c>
    </row>
    <row r="925" spans="1:8" x14ac:dyDescent="0.25">
      <c r="E925" t="str">
        <f>""</f>
        <v/>
      </c>
      <c r="F925" t="str">
        <f>""</f>
        <v/>
      </c>
      <c r="H925" t="str">
        <f>"INDIGENT HEALTH"</f>
        <v>INDIGENT HEALTH</v>
      </c>
    </row>
    <row r="926" spans="1:8" x14ac:dyDescent="0.25">
      <c r="A926" t="s">
        <v>338</v>
      </c>
      <c r="B926">
        <v>3485</v>
      </c>
      <c r="C926" s="1">
        <v>1696</v>
      </c>
      <c r="D926" s="5">
        <v>44145</v>
      </c>
      <c r="E926" t="str">
        <f>"187361"</f>
        <v>187361</v>
      </c>
      <c r="F926" t="str">
        <f>"ACCT#188757/STONY POINT PARK"</f>
        <v>ACCT#188757/STONY POINT PARK</v>
      </c>
      <c r="G926" s="1">
        <v>95</v>
      </c>
      <c r="H926" t="str">
        <f>"ACCT#188757/STONY POINT PARK"</f>
        <v>ACCT#188757/STONY POINT PARK</v>
      </c>
    </row>
    <row r="927" spans="1:8" x14ac:dyDescent="0.25">
      <c r="E927" t="str">
        <f>"187423"</f>
        <v>187423</v>
      </c>
      <c r="F927" t="str">
        <f>"ACCT#188757/RD&amp;BRIDGE/SIGN SHP"</f>
        <v>ACCT#188757/RD&amp;BRIDGE/SIGN SHP</v>
      </c>
      <c r="G927" s="1">
        <v>95</v>
      </c>
      <c r="H927" t="str">
        <f>"ACCT#188757/RD&amp;BRIDGE/SIGN SHP"</f>
        <v>ACCT#188757/RD&amp;BRIDGE/SIGN SHP</v>
      </c>
    </row>
    <row r="928" spans="1:8" x14ac:dyDescent="0.25">
      <c r="E928" t="str">
        <f>"187482"</f>
        <v>187482</v>
      </c>
      <c r="F928" t="str">
        <f>"ACCT#188757/COM CT JUV BOOT CP"</f>
        <v>ACCT#188757/COM CT JUV BOOT CP</v>
      </c>
      <c r="G928" s="1">
        <v>118.5</v>
      </c>
      <c r="H928" t="str">
        <f>"ACCT#188757/COM CT JUV BOOT CP"</f>
        <v>ACCT#188757/COM CT JUV BOOT CP</v>
      </c>
    </row>
    <row r="929" spans="1:8" x14ac:dyDescent="0.25">
      <c r="E929" t="str">
        <f>"187539"</f>
        <v>187539</v>
      </c>
      <c r="F929" t="str">
        <f>"ACCT#188757/MIKE FISHER BLDG"</f>
        <v>ACCT#188757/MIKE FISHER BLDG</v>
      </c>
      <c r="G929" s="1">
        <v>112</v>
      </c>
      <c r="H929" t="str">
        <f>"ACCT#188757/MIKE FISHER BLDG"</f>
        <v>ACCT#188757/MIKE FISHER BLDG</v>
      </c>
    </row>
    <row r="930" spans="1:8" x14ac:dyDescent="0.25">
      <c r="E930" t="str">
        <f>"187551"</f>
        <v>187551</v>
      </c>
      <c r="F930" t="str">
        <f>"ACCT#188757/JP4/TAX OFFICE"</f>
        <v>ACCT#188757/JP4/TAX OFFICE</v>
      </c>
      <c r="G930" s="1">
        <v>95</v>
      </c>
      <c r="H930" t="str">
        <f>"ACCT#188757/JP4/TAX OFFICE"</f>
        <v>ACCT#188757/JP4/TAX OFFICE</v>
      </c>
    </row>
    <row r="931" spans="1:8" x14ac:dyDescent="0.25">
      <c r="E931" t="str">
        <f>"187850"</f>
        <v>187850</v>
      </c>
      <c r="F931" t="str">
        <f>"ACCT#188757/JP2 ANNEX BLDG"</f>
        <v>ACCT#188757/JP2 ANNEX BLDG</v>
      </c>
      <c r="G931" s="1">
        <v>95</v>
      </c>
      <c r="H931" t="str">
        <f>"ACCT#188757/JP2 ANNEX BLDG"</f>
        <v>ACCT#188757/JP2 ANNEX BLDG</v>
      </c>
    </row>
    <row r="932" spans="1:8" x14ac:dyDescent="0.25">
      <c r="E932" t="str">
        <f>"187851"</f>
        <v>187851</v>
      </c>
      <c r="F932" t="str">
        <f>"ACCT#188757/PCT#2 MAINT BARN"</f>
        <v>ACCT#188757/PCT#2 MAINT BARN</v>
      </c>
      <c r="G932" s="1">
        <v>95</v>
      </c>
      <c r="H932" t="str">
        <f>"ACCT#188757/PCT#2 MAINT BARN"</f>
        <v>ACCT#188757/PCT#2 MAINT BARN</v>
      </c>
    </row>
    <row r="933" spans="1:8" x14ac:dyDescent="0.25">
      <c r="E933" t="str">
        <f>"188151"</f>
        <v>188151</v>
      </c>
      <c r="F933" t="str">
        <f>"ACCT#188757/JUVENILE PROBATION"</f>
        <v>ACCT#188757/JUVENILE PROBATION</v>
      </c>
      <c r="G933" s="1">
        <v>132</v>
      </c>
      <c r="H933" t="str">
        <f>"ACCT#188757/JUVENILE PROBATION"</f>
        <v>ACCT#188757/JUVENILE PROBATION</v>
      </c>
    </row>
    <row r="934" spans="1:8" x14ac:dyDescent="0.25">
      <c r="E934" t="str">
        <f>"188173"</f>
        <v>188173</v>
      </c>
      <c r="F934" t="str">
        <f>"ACCT#188757/EXT HABITAT OFFICE"</f>
        <v>ACCT#188757/EXT HABITAT OFFICE</v>
      </c>
      <c r="G934" s="1">
        <v>89</v>
      </c>
      <c r="H934" t="str">
        <f>"ACCT#188757/EXT HABITAT OFFICE"</f>
        <v>ACCT#188757/EXT HABITAT OFFICE</v>
      </c>
    </row>
    <row r="935" spans="1:8" x14ac:dyDescent="0.25">
      <c r="E935" t="str">
        <f>"188246"</f>
        <v>188246</v>
      </c>
      <c r="F935" t="str">
        <f>"ACCT#188757/HISTORIC JAIL"</f>
        <v>ACCT#188757/HISTORIC JAIL</v>
      </c>
      <c r="G935" s="1">
        <v>76</v>
      </c>
      <c r="H935" t="str">
        <f>"ACCT#188757/HISTORIC JAIL"</f>
        <v>ACCT#188757/HISTORIC JAIL</v>
      </c>
    </row>
    <row r="936" spans="1:8" x14ac:dyDescent="0.25">
      <c r="E936" t="str">
        <f>"188247"</f>
        <v>188247</v>
      </c>
      <c r="F936" t="str">
        <f>"ACCT#188757/COURTHOUSE"</f>
        <v>ACCT#188757/COURTHOUSE</v>
      </c>
      <c r="G936" s="1">
        <v>137</v>
      </c>
      <c r="H936" t="str">
        <f>"ACCT#188757/COURTHOUSE"</f>
        <v>ACCT#188757/COURTHOUSE</v>
      </c>
    </row>
    <row r="937" spans="1:8" x14ac:dyDescent="0.25">
      <c r="E937" t="str">
        <f>"188432"</f>
        <v>188432</v>
      </c>
      <c r="F937" t="str">
        <f>"ACCT#188757/TAX OFFICE"</f>
        <v>ACCT#188757/TAX OFFICE</v>
      </c>
      <c r="G937" s="1">
        <v>102</v>
      </c>
      <c r="H937" t="str">
        <f>"ACCT#188757/TAX OFFICE"</f>
        <v>ACCT#188757/TAX OFFICE</v>
      </c>
    </row>
    <row r="938" spans="1:8" x14ac:dyDescent="0.25">
      <c r="E938" t="str">
        <f>"188477"</f>
        <v>188477</v>
      </c>
      <c r="F938" t="str">
        <f>"ACCT#188757/PCT4 RD &amp; BRIDGE"</f>
        <v>ACCT#188757/PCT4 RD &amp; BRIDGE</v>
      </c>
      <c r="G938" s="1">
        <v>95.5</v>
      </c>
      <c r="H938" t="str">
        <f>"ACCT#188757/PCT4 RD &amp; BRIDGE"</f>
        <v>ACCT#188757/PCT4 RD &amp; BRIDGE</v>
      </c>
    </row>
    <row r="939" spans="1:8" x14ac:dyDescent="0.25">
      <c r="E939" t="str">
        <f>"188486"</f>
        <v>188486</v>
      </c>
      <c r="F939" t="str">
        <f>"ACCT#188757/LBJ BLDG/HLTH DPT"</f>
        <v>ACCT#188757/LBJ BLDG/HLTH DPT</v>
      </c>
      <c r="G939" s="1">
        <v>69</v>
      </c>
      <c r="H939" t="str">
        <f>"ACCT#188757/LBJ BLDG/HLTH DPT"</f>
        <v>ACCT#188757/LBJ BLDG/HLTH DPT</v>
      </c>
    </row>
    <row r="940" spans="1:8" x14ac:dyDescent="0.25">
      <c r="E940" t="str">
        <f>"188604"</f>
        <v>188604</v>
      </c>
      <c r="F940" t="str">
        <f>"ACCT#188757/ANIMAL SHELTER"</f>
        <v>ACCT#188757/ANIMAL SHELTER</v>
      </c>
      <c r="G940" s="1">
        <v>290</v>
      </c>
      <c r="H940" t="str">
        <f>"ACCT#188757/ANIMAL SHELTER"</f>
        <v>ACCT#188757/ANIMAL SHELTER</v>
      </c>
    </row>
    <row r="941" spans="1:8" x14ac:dyDescent="0.25">
      <c r="A941" t="s">
        <v>338</v>
      </c>
      <c r="B941">
        <v>3554</v>
      </c>
      <c r="C941" s="1">
        <v>296</v>
      </c>
      <c r="D941" s="5">
        <v>44159</v>
      </c>
      <c r="E941" t="str">
        <f>"190807"</f>
        <v>190807</v>
      </c>
      <c r="F941" t="str">
        <f>"ACCT#188757/CEDAR CREEK PARK"</f>
        <v>ACCT#188757/CEDAR CREEK PARK</v>
      </c>
      <c r="G941" s="1">
        <v>125</v>
      </c>
      <c r="H941" t="str">
        <f>"ACCT#188757/CEDAR CREEK PARK"</f>
        <v>ACCT#188757/CEDAR CREEK PARK</v>
      </c>
    </row>
    <row r="942" spans="1:8" x14ac:dyDescent="0.25">
      <c r="E942" t="str">
        <f>"191012"</f>
        <v>191012</v>
      </c>
      <c r="F942" t="str">
        <f>"ACCT#188757/PCT#3 WAREHOUSE"</f>
        <v>ACCT#188757/PCT#3 WAREHOUSE</v>
      </c>
      <c r="G942" s="1">
        <v>95</v>
      </c>
      <c r="H942" t="str">
        <f>"ACCT#188757/PCT#3 WAREHOUSE"</f>
        <v>ACCT#188757/PCT#3 WAREHOUSE</v>
      </c>
    </row>
    <row r="943" spans="1:8" x14ac:dyDescent="0.25">
      <c r="E943" t="str">
        <f>"192007"</f>
        <v>192007</v>
      </c>
      <c r="F943" t="str">
        <f>"ACCT#188757/DPS/TDS AQUA WTR B"</f>
        <v>ACCT#188757/DPS/TDS AQUA WTR B</v>
      </c>
      <c r="G943" s="1">
        <v>76</v>
      </c>
      <c r="H943" t="str">
        <f>"ACCT#188757/DPS/TDS AQUA WTR B"</f>
        <v>ACCT#188757/DPS/TDS AQUA WTR B</v>
      </c>
    </row>
    <row r="944" spans="1:8" x14ac:dyDescent="0.25">
      <c r="A944" t="s">
        <v>339</v>
      </c>
      <c r="B944">
        <v>3545</v>
      </c>
      <c r="C944" s="1">
        <v>250</v>
      </c>
      <c r="D944" s="5">
        <v>44159</v>
      </c>
      <c r="E944" t="str">
        <f>"202011180127"</f>
        <v>202011180127</v>
      </c>
      <c r="F944" t="str">
        <f>"56 632"</f>
        <v>56 632</v>
      </c>
      <c r="G944" s="1">
        <v>250</v>
      </c>
      <c r="H944" t="str">
        <f>"56 632"</f>
        <v>56 632</v>
      </c>
    </row>
    <row r="945" spans="1:8" x14ac:dyDescent="0.25">
      <c r="A945" t="s">
        <v>340</v>
      </c>
      <c r="B945">
        <v>133886</v>
      </c>
      <c r="C945" s="1">
        <v>185</v>
      </c>
      <c r="D945" s="5">
        <v>44159</v>
      </c>
      <c r="E945" t="str">
        <f>"331917"</f>
        <v>331917</v>
      </c>
      <c r="F945" t="str">
        <f>"DISPOSAL"</f>
        <v>DISPOSAL</v>
      </c>
      <c r="G945" s="1">
        <v>185</v>
      </c>
      <c r="H945" t="str">
        <f>"DISPOSAL"</f>
        <v>DISPOSAL</v>
      </c>
    </row>
    <row r="946" spans="1:8" x14ac:dyDescent="0.25">
      <c r="A946" t="s">
        <v>341</v>
      </c>
      <c r="B946">
        <v>3476</v>
      </c>
      <c r="C946" s="1">
        <v>2762.5</v>
      </c>
      <c r="D946" s="5">
        <v>44145</v>
      </c>
      <c r="E946" t="str">
        <f>"202010279778"</f>
        <v>202010279778</v>
      </c>
      <c r="F946" t="str">
        <f>"BC-2020-0801"</f>
        <v>BC-2020-0801</v>
      </c>
      <c r="G946" s="1">
        <v>400</v>
      </c>
      <c r="H946" t="str">
        <f>"BC-2020-0801"</f>
        <v>BC-2020-0801</v>
      </c>
    </row>
    <row r="947" spans="1:8" x14ac:dyDescent="0.25">
      <c r="E947" t="str">
        <f>"202010279779"</f>
        <v>202010279779</v>
      </c>
      <c r="F947" t="str">
        <f>"1639-335"</f>
        <v>1639-335</v>
      </c>
      <c r="G947" s="1">
        <v>100</v>
      </c>
      <c r="H947" t="str">
        <f>"1639-335"</f>
        <v>1639-335</v>
      </c>
    </row>
    <row r="948" spans="1:8" x14ac:dyDescent="0.25">
      <c r="E948" t="str">
        <f>"202010299804"</f>
        <v>202010299804</v>
      </c>
      <c r="F948" t="str">
        <f>"16 775"</f>
        <v>16 775</v>
      </c>
      <c r="G948" s="1">
        <v>512.5</v>
      </c>
      <c r="H948" t="str">
        <f>"16 775"</f>
        <v>16 775</v>
      </c>
    </row>
    <row r="949" spans="1:8" x14ac:dyDescent="0.25">
      <c r="E949" t="str">
        <f>"202010299805"</f>
        <v>202010299805</v>
      </c>
      <c r="F949" t="str">
        <f>"17 212"</f>
        <v>17 212</v>
      </c>
      <c r="G949" s="1">
        <v>1000</v>
      </c>
      <c r="H949" t="str">
        <f>"17 212"</f>
        <v>17 212</v>
      </c>
    </row>
    <row r="950" spans="1:8" x14ac:dyDescent="0.25">
      <c r="E950" t="str">
        <f>"202010299806"</f>
        <v>202010299806</v>
      </c>
      <c r="F950" t="str">
        <f>"1443-21"</f>
        <v>1443-21</v>
      </c>
      <c r="G950" s="1">
        <v>300</v>
      </c>
      <c r="H950" t="str">
        <f>"1443-21"</f>
        <v>1443-21</v>
      </c>
    </row>
    <row r="951" spans="1:8" x14ac:dyDescent="0.25">
      <c r="E951" t="str">
        <f>"202011039961"</f>
        <v>202011039961</v>
      </c>
      <c r="F951" t="str">
        <f>"19-19711"</f>
        <v>19-19711</v>
      </c>
      <c r="G951" s="1">
        <v>150</v>
      </c>
      <c r="H951" t="str">
        <f>"19-19711"</f>
        <v>19-19711</v>
      </c>
    </row>
    <row r="952" spans="1:8" x14ac:dyDescent="0.25">
      <c r="E952" t="str">
        <f>"202011039962"</f>
        <v>202011039962</v>
      </c>
      <c r="F952" t="str">
        <f>"20-20030"</f>
        <v>20-20030</v>
      </c>
      <c r="G952" s="1">
        <v>300</v>
      </c>
      <c r="H952" t="str">
        <f>"20-20030"</f>
        <v>20-20030</v>
      </c>
    </row>
    <row r="953" spans="1:8" x14ac:dyDescent="0.25">
      <c r="A953" t="s">
        <v>341</v>
      </c>
      <c r="B953">
        <v>3536</v>
      </c>
      <c r="C953" s="1">
        <v>987.5</v>
      </c>
      <c r="D953" s="5">
        <v>44159</v>
      </c>
      <c r="E953" t="str">
        <f>"202011160009"</f>
        <v>202011160009</v>
      </c>
      <c r="F953" t="str">
        <f>"LOCKLIN"</f>
        <v>LOCKLIN</v>
      </c>
      <c r="G953" s="1">
        <v>100</v>
      </c>
      <c r="H953" t="str">
        <f>"LOCKLIN"</f>
        <v>LOCKLIN</v>
      </c>
    </row>
    <row r="954" spans="1:8" x14ac:dyDescent="0.25">
      <c r="E954" t="str">
        <f>"202011180163"</f>
        <v>202011180163</v>
      </c>
      <c r="F954" t="str">
        <f>"57 024"</f>
        <v>57 024</v>
      </c>
      <c r="G954" s="1">
        <v>250</v>
      </c>
      <c r="H954" t="str">
        <f>"57 024"</f>
        <v>57 024</v>
      </c>
    </row>
    <row r="955" spans="1:8" x14ac:dyDescent="0.25">
      <c r="E955" t="str">
        <f>"202011180166"</f>
        <v>202011180166</v>
      </c>
      <c r="F955" t="str">
        <f>"20-20455"</f>
        <v>20-20455</v>
      </c>
      <c r="G955" s="1">
        <v>212.5</v>
      </c>
      <c r="H955" t="str">
        <f>"20-20455"</f>
        <v>20-20455</v>
      </c>
    </row>
    <row r="956" spans="1:8" x14ac:dyDescent="0.25">
      <c r="E956" t="str">
        <f>"202011180168"</f>
        <v>202011180168</v>
      </c>
      <c r="F956" t="str">
        <f>"19-19711"</f>
        <v>19-19711</v>
      </c>
      <c r="G956" s="1">
        <v>212.5</v>
      </c>
      <c r="H956" t="str">
        <f>"19-19711"</f>
        <v>19-19711</v>
      </c>
    </row>
    <row r="957" spans="1:8" x14ac:dyDescent="0.25">
      <c r="E957" t="str">
        <f>"202011180169"</f>
        <v>202011180169</v>
      </c>
      <c r="F957" t="str">
        <f>"19-20002"</f>
        <v>19-20002</v>
      </c>
      <c r="G957" s="1">
        <v>212.5</v>
      </c>
      <c r="H957" t="str">
        <f>"19-20002"</f>
        <v>19-20002</v>
      </c>
    </row>
    <row r="958" spans="1:8" x14ac:dyDescent="0.25">
      <c r="A958" t="s">
        <v>342</v>
      </c>
      <c r="B958">
        <v>3516</v>
      </c>
      <c r="C958" s="1">
        <v>1077797</v>
      </c>
      <c r="D958" s="5">
        <v>44145</v>
      </c>
      <c r="E958" t="str">
        <f>"202011039899"</f>
        <v>202011039899</v>
      </c>
      <c r="F958" t="str">
        <f>"THE NITSCHE GROUP"</f>
        <v>THE NITSCHE GROUP</v>
      </c>
      <c r="G958" s="1">
        <v>1077797</v>
      </c>
      <c r="H958" t="str">
        <f>"Cyber Liability"</f>
        <v>Cyber Liability</v>
      </c>
    </row>
    <row r="959" spans="1:8" x14ac:dyDescent="0.25">
      <c r="E959" t="str">
        <f>""</f>
        <v/>
      </c>
      <c r="F959" t="str">
        <f>""</f>
        <v/>
      </c>
      <c r="H959" t="str">
        <f>"Travelers Package"</f>
        <v>Travelers Package</v>
      </c>
    </row>
    <row r="960" spans="1:8" x14ac:dyDescent="0.25">
      <c r="E960" t="str">
        <f>""</f>
        <v/>
      </c>
      <c r="F960" t="str">
        <f>""</f>
        <v/>
      </c>
      <c r="H960" t="str">
        <f>"Wei Ann Lin MD"</f>
        <v>Wei Ann Lin MD</v>
      </c>
    </row>
    <row r="961" spans="1:8" x14ac:dyDescent="0.25">
      <c r="A961" t="s">
        <v>343</v>
      </c>
      <c r="B961">
        <v>133857</v>
      </c>
      <c r="C961" s="1">
        <v>600</v>
      </c>
      <c r="D961" s="5">
        <v>44158</v>
      </c>
      <c r="E961" t="str">
        <f>"843237673"</f>
        <v>843237673</v>
      </c>
      <c r="F961" t="str">
        <f>"ACCT#1000648597/WEST INFO CHRG"</f>
        <v>ACCT#1000648597/WEST INFO CHRG</v>
      </c>
      <c r="G961" s="1">
        <v>600</v>
      </c>
      <c r="H961" t="str">
        <f>"ACCT#1000648597/WEST INFO CHRG"</f>
        <v>ACCT#1000648597/WEST INFO CHRG</v>
      </c>
    </row>
    <row r="962" spans="1:8" x14ac:dyDescent="0.25">
      <c r="A962" t="s">
        <v>344</v>
      </c>
      <c r="B962">
        <v>3568</v>
      </c>
      <c r="C962" s="1">
        <v>2350</v>
      </c>
      <c r="D962" s="5">
        <v>44159</v>
      </c>
      <c r="E962" t="str">
        <f>"202011160013"</f>
        <v>202011160013</v>
      </c>
      <c r="F962" t="str">
        <f>"423-7276"</f>
        <v>423-7276</v>
      </c>
      <c r="G962" s="1">
        <v>2350</v>
      </c>
      <c r="H962" t="str">
        <f>"423-7276"</f>
        <v>423-7276</v>
      </c>
    </row>
    <row r="963" spans="1:8" x14ac:dyDescent="0.25">
      <c r="A963" t="s">
        <v>345</v>
      </c>
      <c r="B963">
        <v>133665</v>
      </c>
      <c r="C963" s="1">
        <v>641.53</v>
      </c>
      <c r="D963" s="5">
        <v>44144</v>
      </c>
      <c r="E963" t="str">
        <f>"0167100101620"</f>
        <v>0167100101620</v>
      </c>
      <c r="F963" t="str">
        <f>"ACCT#8260 16 017 0167100"</f>
        <v>ACCT#8260 16 017 0167100</v>
      </c>
      <c r="G963" s="1">
        <v>641.53</v>
      </c>
      <c r="H963" t="str">
        <f>"ACCT#8260 16 017 0167100"</f>
        <v>ACCT#8260 16 017 0167100</v>
      </c>
    </row>
    <row r="964" spans="1:8" x14ac:dyDescent="0.25">
      <c r="A964" t="s">
        <v>345</v>
      </c>
      <c r="B964">
        <v>133858</v>
      </c>
      <c r="C964" s="1">
        <v>3760.07</v>
      </c>
      <c r="D964" s="5">
        <v>44158</v>
      </c>
      <c r="E964" t="str">
        <f>"0003669110820"</f>
        <v>0003669110820</v>
      </c>
      <c r="F964" t="str">
        <f>"ACCT#8260163000003669"</f>
        <v>ACCT#8260163000003669</v>
      </c>
      <c r="G964" s="1">
        <v>3067.92</v>
      </c>
      <c r="H964" t="str">
        <f>"ACCT#8260163000003669"</f>
        <v>ACCT#8260163000003669</v>
      </c>
    </row>
    <row r="965" spans="1:8" x14ac:dyDescent="0.25">
      <c r="E965" t="str">
        <f>""</f>
        <v/>
      </c>
      <c r="F965" t="str">
        <f>""</f>
        <v/>
      </c>
      <c r="H965" t="str">
        <f>"ACCT#8260163000003669"</f>
        <v>ACCT#8260163000003669</v>
      </c>
    </row>
    <row r="966" spans="1:8" x14ac:dyDescent="0.25">
      <c r="E966" t="str">
        <f>"0164314110920"</f>
        <v>0164314110920</v>
      </c>
      <c r="F966" t="str">
        <f>"ACCT#8260161110164314"</f>
        <v>ACCT#8260161110164314</v>
      </c>
      <c r="G966" s="1">
        <v>692.15</v>
      </c>
      <c r="H966" t="str">
        <f>"ACCT#8260161110164314"</f>
        <v>ACCT#8260161110164314</v>
      </c>
    </row>
    <row r="967" spans="1:8" x14ac:dyDescent="0.25">
      <c r="A967" t="s">
        <v>346</v>
      </c>
      <c r="B967">
        <v>133859</v>
      </c>
      <c r="C967" s="1">
        <v>150</v>
      </c>
      <c r="D967" s="5">
        <v>44158</v>
      </c>
      <c r="E967" t="str">
        <f>"202011180261"</f>
        <v>202011180261</v>
      </c>
      <c r="F967" t="str">
        <f>"FERAL HOGS"</f>
        <v>FERAL HOGS</v>
      </c>
      <c r="G967" s="1">
        <v>150</v>
      </c>
      <c r="H967" t="str">
        <f>"FERAL HOGS"</f>
        <v>FERAL HOGS</v>
      </c>
    </row>
    <row r="968" spans="1:8" x14ac:dyDescent="0.25">
      <c r="A968" t="s">
        <v>347</v>
      </c>
      <c r="B968">
        <v>133666</v>
      </c>
      <c r="C968" s="1">
        <v>147.44999999999999</v>
      </c>
      <c r="D968" s="5">
        <v>44144</v>
      </c>
      <c r="E968" t="str">
        <f>"031086"</f>
        <v>031086</v>
      </c>
      <c r="F968" t="str">
        <f>"CUST#0001725/EQUIPMENT"</f>
        <v>CUST#0001725/EQUIPMENT</v>
      </c>
      <c r="G968" s="1">
        <v>147.44999999999999</v>
      </c>
      <c r="H968" t="str">
        <f>"CUST#0001725/EQUIPMENT"</f>
        <v>CUST#0001725/EQUIPMENT</v>
      </c>
    </row>
    <row r="969" spans="1:8" x14ac:dyDescent="0.25">
      <c r="A969" t="s">
        <v>348</v>
      </c>
      <c r="B969">
        <v>133860</v>
      </c>
      <c r="C969" s="1">
        <v>1058.01</v>
      </c>
      <c r="D969" s="5">
        <v>44158</v>
      </c>
      <c r="E969" t="str">
        <f>"202011170066"</f>
        <v>202011170066</v>
      </c>
      <c r="F969" t="str">
        <f>"Statement"</f>
        <v>Statement</v>
      </c>
      <c r="G969" s="1">
        <v>1058.01</v>
      </c>
      <c r="H969" t="str">
        <f>"100587554"</f>
        <v>100587554</v>
      </c>
    </row>
    <row r="970" spans="1:8" x14ac:dyDescent="0.25">
      <c r="E970" t="str">
        <f>""</f>
        <v/>
      </c>
      <c r="F970" t="str">
        <f>""</f>
        <v/>
      </c>
      <c r="H970" t="str">
        <f>"200411246"</f>
        <v>200411246</v>
      </c>
    </row>
    <row r="971" spans="1:8" x14ac:dyDescent="0.25">
      <c r="E971" t="str">
        <f>""</f>
        <v/>
      </c>
      <c r="F971" t="str">
        <f>""</f>
        <v/>
      </c>
      <c r="H971" t="str">
        <f>"200417214"</f>
        <v>200417214</v>
      </c>
    </row>
    <row r="972" spans="1:8" x14ac:dyDescent="0.25">
      <c r="E972" t="str">
        <f>""</f>
        <v/>
      </c>
      <c r="F972" t="str">
        <f>""</f>
        <v/>
      </c>
      <c r="H972" t="str">
        <f>"200675631"</f>
        <v>200675631</v>
      </c>
    </row>
    <row r="973" spans="1:8" x14ac:dyDescent="0.25">
      <c r="E973" t="str">
        <f>""</f>
        <v/>
      </c>
      <c r="F973" t="str">
        <f>""</f>
        <v/>
      </c>
      <c r="H973" t="str">
        <f>"100217336"</f>
        <v>100217336</v>
      </c>
    </row>
    <row r="974" spans="1:8" x14ac:dyDescent="0.25">
      <c r="E974" t="str">
        <f>""</f>
        <v/>
      </c>
      <c r="F974" t="str">
        <f>""</f>
        <v/>
      </c>
      <c r="H974" t="str">
        <f>"100219108"</f>
        <v>100219108</v>
      </c>
    </row>
    <row r="975" spans="1:8" x14ac:dyDescent="0.25">
      <c r="E975" t="str">
        <f>""</f>
        <v/>
      </c>
      <c r="F975" t="str">
        <f>""</f>
        <v/>
      </c>
      <c r="H975" t="str">
        <f>"200596559"</f>
        <v>200596559</v>
      </c>
    </row>
    <row r="976" spans="1:8" x14ac:dyDescent="0.25">
      <c r="E976" t="str">
        <f>""</f>
        <v/>
      </c>
      <c r="F976" t="str">
        <f>""</f>
        <v/>
      </c>
      <c r="H976" t="str">
        <f>"300650413"</f>
        <v>300650413</v>
      </c>
    </row>
    <row r="977" spans="1:8" x14ac:dyDescent="0.25">
      <c r="A977" t="s">
        <v>349</v>
      </c>
      <c r="B977">
        <v>133667</v>
      </c>
      <c r="C977" s="1">
        <v>578</v>
      </c>
      <c r="D977" s="5">
        <v>44144</v>
      </c>
      <c r="E977" t="str">
        <f>"311240244"</f>
        <v>311240244</v>
      </c>
      <c r="F977" t="str">
        <f>"CUST#79910"</f>
        <v>CUST#79910</v>
      </c>
      <c r="G977" s="1">
        <v>578</v>
      </c>
      <c r="H977" t="str">
        <f>"CUST#79910"</f>
        <v>CUST#79910</v>
      </c>
    </row>
    <row r="978" spans="1:8" x14ac:dyDescent="0.25">
      <c r="A978" t="s">
        <v>350</v>
      </c>
      <c r="B978">
        <v>133668</v>
      </c>
      <c r="C978" s="1">
        <v>390</v>
      </c>
      <c r="D978" s="5">
        <v>44144</v>
      </c>
      <c r="E978" t="str">
        <f>"13274"</f>
        <v>13274</v>
      </c>
      <c r="F978" t="str">
        <f>"SERVICE"</f>
        <v>SERVICE</v>
      </c>
      <c r="G978" s="1">
        <v>150</v>
      </c>
      <c r="H978" t="str">
        <f>"SERVICE"</f>
        <v>SERVICE</v>
      </c>
    </row>
    <row r="979" spans="1:8" x14ac:dyDescent="0.25">
      <c r="E979" t="str">
        <f>"13490"</f>
        <v>13490</v>
      </c>
      <c r="F979" t="str">
        <f>"SERVICE"</f>
        <v>SERVICE</v>
      </c>
      <c r="G979" s="1">
        <v>160</v>
      </c>
      <c r="H979" t="str">
        <f>"SERVICE"</f>
        <v>SERVICE</v>
      </c>
    </row>
    <row r="980" spans="1:8" x14ac:dyDescent="0.25">
      <c r="E980" t="str">
        <f>"13512"</f>
        <v>13512</v>
      </c>
      <c r="F980" t="str">
        <f>"SERVICE"</f>
        <v>SERVICE</v>
      </c>
      <c r="G980" s="1">
        <v>80</v>
      </c>
      <c r="H980" t="str">
        <f>"SERVICE"</f>
        <v>SERVICE</v>
      </c>
    </row>
    <row r="981" spans="1:8" x14ac:dyDescent="0.25">
      <c r="A981" t="s">
        <v>350</v>
      </c>
      <c r="B981">
        <v>133861</v>
      </c>
      <c r="C981" s="1">
        <v>80</v>
      </c>
      <c r="D981" s="5">
        <v>44158</v>
      </c>
      <c r="E981" t="str">
        <f>"13544"</f>
        <v>13544</v>
      </c>
      <c r="F981" t="str">
        <f>"SERVICE"</f>
        <v>SERVICE</v>
      </c>
      <c r="G981" s="1">
        <v>80</v>
      </c>
      <c r="H981" t="str">
        <f>"SERVICE"</f>
        <v>SERVICE</v>
      </c>
    </row>
    <row r="982" spans="1:8" x14ac:dyDescent="0.25">
      <c r="A982" t="s">
        <v>351</v>
      </c>
      <c r="B982">
        <v>133669</v>
      </c>
      <c r="C982" s="1">
        <v>105.4</v>
      </c>
      <c r="D982" s="5">
        <v>44144</v>
      </c>
      <c r="E982" t="str">
        <f>"4734*98082*1"</f>
        <v>4734*98082*1</v>
      </c>
      <c r="F982" t="str">
        <f>"JAIL MEDICAL"</f>
        <v>JAIL MEDICAL</v>
      </c>
      <c r="G982" s="1">
        <v>105.4</v>
      </c>
      <c r="H982" t="str">
        <f>"JAIL MEDICAL"</f>
        <v>JAIL MEDICAL</v>
      </c>
    </row>
    <row r="983" spans="1:8" x14ac:dyDescent="0.25">
      <c r="A983" t="s">
        <v>351</v>
      </c>
      <c r="B983">
        <v>133862</v>
      </c>
      <c r="C983" s="1">
        <v>79.62</v>
      </c>
      <c r="D983" s="5">
        <v>44158</v>
      </c>
      <c r="E983" t="str">
        <f>"4725*98082*1"</f>
        <v>4725*98082*1</v>
      </c>
      <c r="F983" t="str">
        <f>"JAIL MEDICAL"</f>
        <v>JAIL MEDICAL</v>
      </c>
      <c r="G983" s="1">
        <v>79.62</v>
      </c>
      <c r="H983" t="str">
        <f>"JAIL MEDICAL"</f>
        <v>JAIL MEDICAL</v>
      </c>
    </row>
    <row r="984" spans="1:8" x14ac:dyDescent="0.25">
      <c r="A984" t="s">
        <v>352</v>
      </c>
      <c r="B984">
        <v>133863</v>
      </c>
      <c r="C984" s="1">
        <v>23200</v>
      </c>
      <c r="D984" s="5">
        <v>44158</v>
      </c>
      <c r="E984" t="str">
        <f>" 3300004021"</f>
        <v xml:space="preserve"> 3300004021</v>
      </c>
      <c r="F984" t="str">
        <f>"CUST#100010/INV#3300004021"</f>
        <v>CUST#100010/INV#3300004021</v>
      </c>
      <c r="G984" s="1">
        <v>2900</v>
      </c>
      <c r="H984" t="str">
        <f>"CUST#100010/INV#3300004021"</f>
        <v>CUST#100010/INV#3300004021</v>
      </c>
    </row>
    <row r="985" spans="1:8" x14ac:dyDescent="0.25">
      <c r="E985" t="str">
        <f>"3300004006"</f>
        <v>3300004006</v>
      </c>
      <c r="F985" t="str">
        <f>"CUST#100733/INV#3000004006"</f>
        <v>CUST#100733/INV#3000004006</v>
      </c>
      <c r="G985" s="1">
        <v>8700</v>
      </c>
      <c r="H985" t="str">
        <f>"CUST#100733/INV#3000004006"</f>
        <v>CUST#100733/INV#3000004006</v>
      </c>
    </row>
    <row r="986" spans="1:8" x14ac:dyDescent="0.25">
      <c r="E986" t="str">
        <f>"3300004021"</f>
        <v>3300004021</v>
      </c>
      <c r="F986" t="str">
        <f>"CUST#100010/INV#3300004021"</f>
        <v>CUST#100010/INV#3300004021</v>
      </c>
      <c r="G986" s="1">
        <v>8700</v>
      </c>
      <c r="H986" t="str">
        <f>"CUST#100010/INV#3300004021"</f>
        <v>CUST#100010/INV#3300004021</v>
      </c>
    </row>
    <row r="987" spans="1:8" x14ac:dyDescent="0.25">
      <c r="E987" t="str">
        <f>"3300004036"</f>
        <v>3300004036</v>
      </c>
      <c r="F987" t="str">
        <f>"CUST#100009/INV#3300004036"</f>
        <v>CUST#100009/INV#3300004036</v>
      </c>
      <c r="G987" s="1">
        <v>2900</v>
      </c>
      <c r="H987" t="str">
        <f>"CUST#100009/INV#3300004036"</f>
        <v>CUST#100009/INV#3300004036</v>
      </c>
    </row>
    <row r="988" spans="1:8" x14ac:dyDescent="0.25">
      <c r="A988" t="s">
        <v>353</v>
      </c>
      <c r="B988">
        <v>133864</v>
      </c>
      <c r="C988" s="1">
        <v>45</v>
      </c>
      <c r="D988" s="5">
        <v>44158</v>
      </c>
      <c r="E988" t="str">
        <f>"202011180262"</f>
        <v>202011180262</v>
      </c>
      <c r="F988" t="str">
        <f>"FERAL HOGS"</f>
        <v>FERAL HOGS</v>
      </c>
      <c r="G988" s="1">
        <v>45</v>
      </c>
      <c r="H988" t="str">
        <f>"FERAL HOGS"</f>
        <v>FERAL HOGS</v>
      </c>
    </row>
    <row r="989" spans="1:8" x14ac:dyDescent="0.25">
      <c r="A989" t="s">
        <v>354</v>
      </c>
      <c r="B989">
        <v>133865</v>
      </c>
      <c r="C989" s="1">
        <v>25</v>
      </c>
      <c r="D989" s="5">
        <v>44158</v>
      </c>
      <c r="E989" t="str">
        <f>"202011180263"</f>
        <v>202011180263</v>
      </c>
      <c r="F989" t="str">
        <f>"FERAL HOGS"</f>
        <v>FERAL HOGS</v>
      </c>
      <c r="G989" s="1">
        <v>25</v>
      </c>
      <c r="H989" t="str">
        <f>"FERAL HOGS"</f>
        <v>FERAL HOGS</v>
      </c>
    </row>
    <row r="990" spans="1:8" x14ac:dyDescent="0.25">
      <c r="A990" t="s">
        <v>355</v>
      </c>
      <c r="B990">
        <v>133670</v>
      </c>
      <c r="C990" s="1">
        <v>530.92999999999995</v>
      </c>
      <c r="D990" s="5">
        <v>44144</v>
      </c>
      <c r="E990" t="str">
        <f>"4734*131*1"</f>
        <v>4734*131*1</v>
      </c>
      <c r="F990" t="str">
        <f>"JAIL MEDICAL"</f>
        <v>JAIL MEDICAL</v>
      </c>
      <c r="G990" s="1">
        <v>530.92999999999995</v>
      </c>
      <c r="H990" t="str">
        <f>"JAIL MEDICAL"</f>
        <v>JAIL MEDICAL</v>
      </c>
    </row>
    <row r="991" spans="1:8" x14ac:dyDescent="0.25">
      <c r="A991" t="s">
        <v>355</v>
      </c>
      <c r="B991">
        <v>133866</v>
      </c>
      <c r="C991" s="1">
        <v>103.29</v>
      </c>
      <c r="D991" s="5">
        <v>44158</v>
      </c>
      <c r="E991" t="str">
        <f>"202011180158"</f>
        <v>202011180158</v>
      </c>
      <c r="F991" t="str">
        <f>"INDIGENT HEALTH"</f>
        <v>INDIGENT HEALTH</v>
      </c>
      <c r="G991" s="1">
        <v>103.29</v>
      </c>
      <c r="H991" t="str">
        <f>"INDIGENT HEALTH"</f>
        <v>INDIGENT HEALTH</v>
      </c>
    </row>
    <row r="992" spans="1:8" x14ac:dyDescent="0.25">
      <c r="A992" t="s">
        <v>356</v>
      </c>
      <c r="B992">
        <v>133671</v>
      </c>
      <c r="C992" s="1">
        <v>259.17</v>
      </c>
      <c r="D992" s="5">
        <v>44144</v>
      </c>
      <c r="E992" t="str">
        <f>"4715*152*1"</f>
        <v>4715*152*1</v>
      </c>
      <c r="F992" t="str">
        <f>"JAIL MEDICAL"</f>
        <v>JAIL MEDICAL</v>
      </c>
      <c r="G992" s="1">
        <v>259.17</v>
      </c>
      <c r="H992" t="str">
        <f>"JAIL MEDICAL"</f>
        <v>JAIL MEDICAL</v>
      </c>
    </row>
    <row r="993" spans="1:8" x14ac:dyDescent="0.25">
      <c r="A993" t="s">
        <v>357</v>
      </c>
      <c r="B993">
        <v>3521</v>
      </c>
      <c r="C993" s="1">
        <v>2175</v>
      </c>
      <c r="D993" s="5">
        <v>44145</v>
      </c>
      <c r="E993" t="str">
        <f>"202011029817"</f>
        <v>202011029817</v>
      </c>
      <c r="F993" t="str">
        <f>"AC-2019-10183"</f>
        <v>AC-2019-10183</v>
      </c>
      <c r="G993" s="1">
        <v>150</v>
      </c>
      <c r="H993" t="str">
        <f>"AC-2019-10183"</f>
        <v>AC-2019-10183</v>
      </c>
    </row>
    <row r="994" spans="1:8" x14ac:dyDescent="0.25">
      <c r="E994" t="str">
        <f>"202011029818"</f>
        <v>202011029818</v>
      </c>
      <c r="F994" t="str">
        <f>"4081520-1"</f>
        <v>4081520-1</v>
      </c>
      <c r="G994" s="1">
        <v>400</v>
      </c>
      <c r="H994" t="str">
        <f>"4081520-1"</f>
        <v>4081520-1</v>
      </c>
    </row>
    <row r="995" spans="1:8" x14ac:dyDescent="0.25">
      <c r="E995" t="str">
        <f>"202011039963"</f>
        <v>202011039963</v>
      </c>
      <c r="F995" t="str">
        <f>"002020021614"</f>
        <v>002020021614</v>
      </c>
      <c r="G995" s="1">
        <v>250</v>
      </c>
      <c r="H995" t="str">
        <f>"002020021614"</f>
        <v>002020021614</v>
      </c>
    </row>
    <row r="996" spans="1:8" x14ac:dyDescent="0.25">
      <c r="E996" t="str">
        <f>"202011039964"</f>
        <v>202011039964</v>
      </c>
      <c r="F996" t="str">
        <f>"AC-2020-0821"</f>
        <v>AC-2020-0821</v>
      </c>
      <c r="G996" s="1">
        <v>250</v>
      </c>
      <c r="H996" t="str">
        <f>"AC-2020-0821"</f>
        <v>AC-2020-0821</v>
      </c>
    </row>
    <row r="997" spans="1:8" x14ac:dyDescent="0.25">
      <c r="E997" t="str">
        <f>"202011039965"</f>
        <v>202011039965</v>
      </c>
      <c r="F997" t="str">
        <f>"57 407"</f>
        <v>57 407</v>
      </c>
      <c r="G997" s="1">
        <v>250</v>
      </c>
      <c r="H997" t="str">
        <f>"57 407"</f>
        <v>57 407</v>
      </c>
    </row>
    <row r="998" spans="1:8" x14ac:dyDescent="0.25">
      <c r="E998" t="str">
        <f>"202011039966"</f>
        <v>202011039966</v>
      </c>
      <c r="F998" t="str">
        <f>"57 173  303032019F"</f>
        <v>57 173  303032019F</v>
      </c>
      <c r="G998" s="1">
        <v>375</v>
      </c>
      <c r="H998" t="str">
        <f>"57 173  303032019F"</f>
        <v>57 173  303032019F</v>
      </c>
    </row>
    <row r="999" spans="1:8" x14ac:dyDescent="0.25">
      <c r="E999" t="str">
        <f>"202011039967"</f>
        <v>202011039967</v>
      </c>
      <c r="F999" t="str">
        <f>"57 403"</f>
        <v>57 403</v>
      </c>
      <c r="G999" s="1">
        <v>250</v>
      </c>
      <c r="H999" t="str">
        <f>"57 403"</f>
        <v>57 403</v>
      </c>
    </row>
    <row r="1000" spans="1:8" x14ac:dyDescent="0.25">
      <c r="E1000" t="str">
        <f>"202011039968"</f>
        <v>202011039968</v>
      </c>
      <c r="F1000" t="str">
        <f>"57 199"</f>
        <v>57 199</v>
      </c>
      <c r="G1000" s="1">
        <v>250</v>
      </c>
      <c r="H1000" t="str">
        <f>"57 199"</f>
        <v>57 199</v>
      </c>
    </row>
    <row r="1001" spans="1:8" x14ac:dyDescent="0.25">
      <c r="A1001" t="s">
        <v>357</v>
      </c>
      <c r="B1001">
        <v>3596</v>
      </c>
      <c r="C1001" s="1">
        <v>375</v>
      </c>
      <c r="D1001" s="5">
        <v>44159</v>
      </c>
      <c r="E1001" t="str">
        <f>"202011180170"</f>
        <v>202011180170</v>
      </c>
      <c r="F1001" t="str">
        <f>"57 461"</f>
        <v>57 461</v>
      </c>
      <c r="G1001" s="1">
        <v>375</v>
      </c>
      <c r="H1001" t="str">
        <f>"57 461"</f>
        <v>57 461</v>
      </c>
    </row>
    <row r="1002" spans="1:8" x14ac:dyDescent="0.25">
      <c r="A1002" t="s">
        <v>358</v>
      </c>
      <c r="B1002">
        <v>133672</v>
      </c>
      <c r="C1002" s="1">
        <v>2185.46</v>
      </c>
      <c r="D1002" s="5">
        <v>44144</v>
      </c>
      <c r="E1002" t="str">
        <f>"130-16875"</f>
        <v>130-16875</v>
      </c>
      <c r="F1002" t="str">
        <f>"CUST#42161-14173/ORD#12032"</f>
        <v>CUST#42161-14173/ORD#12032</v>
      </c>
      <c r="G1002" s="1">
        <v>2185.46</v>
      </c>
      <c r="H1002" t="str">
        <f>"CUST#42161-14173/ORD#12032"</f>
        <v>CUST#42161-14173/ORD#12032</v>
      </c>
    </row>
    <row r="1003" spans="1:8" x14ac:dyDescent="0.25">
      <c r="E1003" t="str">
        <f>""</f>
        <v/>
      </c>
      <c r="F1003" t="str">
        <f>""</f>
        <v/>
      </c>
      <c r="H1003" t="str">
        <f>"CUST#42161-14173/ORD#12032"</f>
        <v>CUST#42161-14173/ORD#12032</v>
      </c>
    </row>
    <row r="1004" spans="1:8" x14ac:dyDescent="0.25">
      <c r="A1004" t="s">
        <v>358</v>
      </c>
      <c r="B1004">
        <v>133867</v>
      </c>
      <c r="C1004" s="1">
        <v>3061.26</v>
      </c>
      <c r="D1004" s="5">
        <v>44158</v>
      </c>
      <c r="E1004" t="str">
        <f>"025-312095"</f>
        <v>025-312095</v>
      </c>
      <c r="F1004" t="str">
        <f>"CUST#42161/ORD#133741"</f>
        <v>CUST#42161/ORD#133741</v>
      </c>
      <c r="G1004" s="1">
        <v>970.87</v>
      </c>
      <c r="H1004" t="str">
        <f>"CUST#42161/ORD#133741"</f>
        <v>CUST#42161/ORD#133741</v>
      </c>
    </row>
    <row r="1005" spans="1:8" x14ac:dyDescent="0.25">
      <c r="E1005" t="str">
        <f>"130-16874"</f>
        <v>130-16874</v>
      </c>
      <c r="F1005" t="str">
        <f>"CUST#42161"</f>
        <v>CUST#42161</v>
      </c>
      <c r="G1005" s="1">
        <v>2090.39</v>
      </c>
      <c r="H1005" t="str">
        <f>"CUST#42161"</f>
        <v>CUST#42161</v>
      </c>
    </row>
    <row r="1006" spans="1:8" x14ac:dyDescent="0.25">
      <c r="E1006" t="str">
        <f>""</f>
        <v/>
      </c>
      <c r="F1006" t="str">
        <f>""</f>
        <v/>
      </c>
      <c r="H1006" t="str">
        <f>"CUST#42161"</f>
        <v>CUST#42161</v>
      </c>
    </row>
    <row r="1007" spans="1:8" x14ac:dyDescent="0.25">
      <c r="A1007" t="s">
        <v>359</v>
      </c>
      <c r="B1007">
        <v>3532</v>
      </c>
      <c r="C1007" s="1">
        <v>37.89</v>
      </c>
      <c r="D1007" s="5">
        <v>44159</v>
      </c>
      <c r="E1007" t="str">
        <f>"11246919"</f>
        <v>11246919</v>
      </c>
      <c r="F1007" t="str">
        <f>"ACCT#38052/PCT#4"</f>
        <v>ACCT#38052/PCT#4</v>
      </c>
      <c r="G1007" s="1">
        <v>37.89</v>
      </c>
      <c r="H1007" t="str">
        <f>"ACCT#38052/PCT#4"</f>
        <v>ACCT#38052/PCT#4</v>
      </c>
    </row>
    <row r="1008" spans="1:8" x14ac:dyDescent="0.25">
      <c r="A1008" t="s">
        <v>293</v>
      </c>
      <c r="B1008">
        <v>133673</v>
      </c>
      <c r="C1008" s="1">
        <v>10040.36</v>
      </c>
      <c r="D1008" s="5">
        <v>44144</v>
      </c>
      <c r="E1008" t="str">
        <f>"4734*98041*1"</f>
        <v>4734*98041*1</v>
      </c>
      <c r="F1008" t="str">
        <f>"JAIL MEDICAL"</f>
        <v>JAIL MEDICAL</v>
      </c>
      <c r="G1008" s="1">
        <v>10040.36</v>
      </c>
      <c r="H1008" t="str">
        <f>"JAIL MEDICAL"</f>
        <v>JAIL MEDICAL</v>
      </c>
    </row>
    <row r="1009" spans="1:8" x14ac:dyDescent="0.25">
      <c r="A1009" t="s">
        <v>360</v>
      </c>
      <c r="B1009">
        <v>133674</v>
      </c>
      <c r="C1009" s="1">
        <v>161900</v>
      </c>
      <c r="D1009" s="5">
        <v>44144</v>
      </c>
      <c r="E1009" t="str">
        <f>"E00383"</f>
        <v>E00383</v>
      </c>
      <c r="F1009" t="str">
        <f>"VERMEER EQUIPMENT OF TEXAS  IN"</f>
        <v>VERMEER EQUIPMENT OF TEXAS  IN</v>
      </c>
      <c r="G1009" s="1">
        <v>161900</v>
      </c>
      <c r="H1009" t="str">
        <f>"2020 Vermeer FT100"</f>
        <v>2020 Vermeer FT100</v>
      </c>
    </row>
    <row r="1010" spans="1:8" x14ac:dyDescent="0.25">
      <c r="A1010" t="s">
        <v>360</v>
      </c>
      <c r="B1010">
        <v>133868</v>
      </c>
      <c r="C1010" s="1">
        <v>1221.55</v>
      </c>
      <c r="D1010" s="5">
        <v>44158</v>
      </c>
      <c r="E1010" t="str">
        <f>"W04583"</f>
        <v>W04583</v>
      </c>
      <c r="F1010" t="str">
        <f>"ACCT#BASTR014"</f>
        <v>ACCT#BASTR014</v>
      </c>
      <c r="G1010" s="1">
        <v>1221.55</v>
      </c>
      <c r="H1010" t="str">
        <f>"ACCT#BASTR014"</f>
        <v>ACCT#BASTR014</v>
      </c>
    </row>
    <row r="1011" spans="1:8" x14ac:dyDescent="0.25">
      <c r="A1011" t="s">
        <v>361</v>
      </c>
      <c r="B1011">
        <v>133869</v>
      </c>
      <c r="C1011" s="1">
        <v>45</v>
      </c>
      <c r="D1011" s="5">
        <v>44158</v>
      </c>
      <c r="E1011" t="str">
        <f>"202011180264"</f>
        <v>202011180264</v>
      </c>
      <c r="F1011" t="str">
        <f>"FERAL HOGS"</f>
        <v>FERAL HOGS</v>
      </c>
      <c r="G1011" s="1">
        <v>45</v>
      </c>
      <c r="H1011" t="str">
        <f>"FERAL HOGS"</f>
        <v>FERAL HOGS</v>
      </c>
    </row>
    <row r="1012" spans="1:8" x14ac:dyDescent="0.25">
      <c r="A1012" t="s">
        <v>362</v>
      </c>
      <c r="B1012">
        <v>133870</v>
      </c>
      <c r="C1012" s="1">
        <v>232.41</v>
      </c>
      <c r="D1012" s="5">
        <v>44158</v>
      </c>
      <c r="E1012" t="str">
        <f>"2012084"</f>
        <v>2012084</v>
      </c>
      <c r="F1012" t="str">
        <f>"ACCT#17460002268 003/OCT 2020"</f>
        <v>ACCT#17460002268 003/OCT 2020</v>
      </c>
      <c r="G1012" s="1">
        <v>232.41</v>
      </c>
      <c r="H1012" t="str">
        <f>"ACCT#17460002268 003/OCT 2020"</f>
        <v>ACCT#17460002268 003/OCT 2020</v>
      </c>
    </row>
    <row r="1013" spans="1:8" x14ac:dyDescent="0.25">
      <c r="A1013" t="s">
        <v>363</v>
      </c>
      <c r="B1013">
        <v>3487</v>
      </c>
      <c r="C1013" s="1">
        <v>850</v>
      </c>
      <c r="D1013" s="5">
        <v>44145</v>
      </c>
      <c r="E1013" t="str">
        <f>"202010279784"</f>
        <v>202010279784</v>
      </c>
      <c r="F1013" t="str">
        <f>"20-S-03810"</f>
        <v>20-S-03810</v>
      </c>
      <c r="G1013" s="1">
        <v>850</v>
      </c>
      <c r="H1013" t="str">
        <f>"20-S-03810"</f>
        <v>20-S-03810</v>
      </c>
    </row>
    <row r="1014" spans="1:8" x14ac:dyDescent="0.25">
      <c r="A1014" t="s">
        <v>364</v>
      </c>
      <c r="B1014">
        <v>3494</v>
      </c>
      <c r="C1014" s="1">
        <v>40930.35</v>
      </c>
      <c r="D1014" s="5">
        <v>44145</v>
      </c>
      <c r="E1014" t="str">
        <f>"202011039896"</f>
        <v>202011039896</v>
      </c>
      <c r="F1014" t="str">
        <f>"Summary"</f>
        <v>Summary</v>
      </c>
      <c r="G1014" s="1">
        <v>40930.35</v>
      </c>
      <c r="H1014" t="str">
        <f>"purchasing"</f>
        <v>purchasing</v>
      </c>
    </row>
    <row r="1015" spans="1:8" x14ac:dyDescent="0.25">
      <c r="E1015" t="str">
        <f>""</f>
        <v/>
      </c>
      <c r="F1015" t="str">
        <f>""</f>
        <v/>
      </c>
      <c r="H1015" t="str">
        <f>"it"</f>
        <v>it</v>
      </c>
    </row>
    <row r="1016" spans="1:8" x14ac:dyDescent="0.25">
      <c r="E1016" t="str">
        <f>""</f>
        <v/>
      </c>
      <c r="F1016" t="str">
        <f>""</f>
        <v/>
      </c>
      <c r="H1016" t="str">
        <f>"tax"</f>
        <v>tax</v>
      </c>
    </row>
    <row r="1017" spans="1:8" x14ac:dyDescent="0.25">
      <c r="E1017" t="str">
        <f>""</f>
        <v/>
      </c>
      <c r="F1017" t="str">
        <f>""</f>
        <v/>
      </c>
      <c r="H1017" t="str">
        <f>"general services"</f>
        <v>general services</v>
      </c>
    </row>
    <row r="1018" spans="1:8" x14ac:dyDescent="0.25">
      <c r="E1018" t="str">
        <f>""</f>
        <v/>
      </c>
      <c r="F1018" t="str">
        <f>""</f>
        <v/>
      </c>
      <c r="H1018" t="str">
        <f>"tax"</f>
        <v>tax</v>
      </c>
    </row>
    <row r="1019" spans="1:8" x14ac:dyDescent="0.25">
      <c r="E1019" t="str">
        <f>""</f>
        <v/>
      </c>
      <c r="F1019" t="str">
        <f>""</f>
        <v/>
      </c>
      <c r="H1019" t="str">
        <f>"maintenance"</f>
        <v>maintenance</v>
      </c>
    </row>
    <row r="1020" spans="1:8" x14ac:dyDescent="0.25">
      <c r="E1020" t="str">
        <f>""</f>
        <v/>
      </c>
      <c r="F1020" t="str">
        <f>""</f>
        <v/>
      </c>
      <c r="H1020" t="str">
        <f>"development services"</f>
        <v>development services</v>
      </c>
    </row>
    <row r="1021" spans="1:8" x14ac:dyDescent="0.25">
      <c r="E1021" t="str">
        <f>""</f>
        <v/>
      </c>
      <c r="F1021" t="str">
        <f>""</f>
        <v/>
      </c>
      <c r="H1021" t="str">
        <f>"tax"</f>
        <v>tax</v>
      </c>
    </row>
    <row r="1022" spans="1:8" x14ac:dyDescent="0.25">
      <c r="E1022" t="str">
        <f>""</f>
        <v/>
      </c>
      <c r="F1022" t="str">
        <f>""</f>
        <v/>
      </c>
      <c r="H1022" t="str">
        <f>"maintenance"</f>
        <v>maintenance</v>
      </c>
    </row>
    <row r="1023" spans="1:8" x14ac:dyDescent="0.25">
      <c r="E1023" t="str">
        <f>""</f>
        <v/>
      </c>
      <c r="F1023" t="str">
        <f>""</f>
        <v/>
      </c>
      <c r="H1023" t="str">
        <f>"SO"</f>
        <v>SO</v>
      </c>
    </row>
    <row r="1024" spans="1:8" x14ac:dyDescent="0.25">
      <c r="E1024" t="str">
        <f>""</f>
        <v/>
      </c>
      <c r="F1024" t="str">
        <f>""</f>
        <v/>
      </c>
      <c r="H1024" t="str">
        <f>"tax"</f>
        <v>tax</v>
      </c>
    </row>
    <row r="1025" spans="1:8" x14ac:dyDescent="0.25">
      <c r="E1025" t="str">
        <f>""</f>
        <v/>
      </c>
      <c r="F1025" t="str">
        <f>""</f>
        <v/>
      </c>
      <c r="H1025" t="str">
        <f>"maintenance"</f>
        <v>maintenance</v>
      </c>
    </row>
    <row r="1026" spans="1:8" x14ac:dyDescent="0.25">
      <c r="E1026" t="str">
        <f>""</f>
        <v/>
      </c>
      <c r="F1026" t="str">
        <f>""</f>
        <v/>
      </c>
      <c r="H1026" t="str">
        <f>"SO"</f>
        <v>SO</v>
      </c>
    </row>
    <row r="1027" spans="1:8" x14ac:dyDescent="0.25">
      <c r="E1027" t="str">
        <f>""</f>
        <v/>
      </c>
      <c r="F1027" t="str">
        <f>""</f>
        <v/>
      </c>
      <c r="H1027" t="str">
        <f>"maintenance"</f>
        <v>maintenance</v>
      </c>
    </row>
    <row r="1028" spans="1:8" x14ac:dyDescent="0.25">
      <c r="E1028" t="str">
        <f>""</f>
        <v/>
      </c>
      <c r="F1028" t="str">
        <f>""</f>
        <v/>
      </c>
      <c r="H1028" t="str">
        <f>"animal services"</f>
        <v>animal services</v>
      </c>
    </row>
    <row r="1029" spans="1:8" x14ac:dyDescent="0.25">
      <c r="E1029" t="str">
        <f>""</f>
        <v/>
      </c>
      <c r="F1029" t="str">
        <f>""</f>
        <v/>
      </c>
      <c r="H1029" t="str">
        <f>"tax"</f>
        <v>tax</v>
      </c>
    </row>
    <row r="1030" spans="1:8" x14ac:dyDescent="0.25">
      <c r="E1030" t="str">
        <f>""</f>
        <v/>
      </c>
      <c r="F1030" t="str">
        <f>""</f>
        <v/>
      </c>
      <c r="H1030" t="str">
        <f>"maintenance"</f>
        <v>maintenance</v>
      </c>
    </row>
    <row r="1031" spans="1:8" x14ac:dyDescent="0.25">
      <c r="E1031" t="str">
        <f>""</f>
        <v/>
      </c>
      <c r="F1031" t="str">
        <f>""</f>
        <v/>
      </c>
      <c r="H1031" t="str">
        <f>"fuel mitigation"</f>
        <v>fuel mitigation</v>
      </c>
    </row>
    <row r="1032" spans="1:8" x14ac:dyDescent="0.25">
      <c r="E1032" t="str">
        <f>""</f>
        <v/>
      </c>
      <c r="F1032" t="str">
        <f>""</f>
        <v/>
      </c>
      <c r="H1032" t="str">
        <f>"tax"</f>
        <v>tax</v>
      </c>
    </row>
    <row r="1033" spans="1:8" x14ac:dyDescent="0.25">
      <c r="E1033" t="str">
        <f>""</f>
        <v/>
      </c>
      <c r="F1033" t="str">
        <f>""</f>
        <v/>
      </c>
      <c r="H1033" t="str">
        <f>"maintenance"</f>
        <v>maintenance</v>
      </c>
    </row>
    <row r="1034" spans="1:8" x14ac:dyDescent="0.25">
      <c r="E1034" t="str">
        <f>""</f>
        <v/>
      </c>
      <c r="F1034" t="str">
        <f>""</f>
        <v/>
      </c>
      <c r="H1034" t="str">
        <f>"habitat"</f>
        <v>habitat</v>
      </c>
    </row>
    <row r="1035" spans="1:8" x14ac:dyDescent="0.25">
      <c r="E1035" t="str">
        <f>""</f>
        <v/>
      </c>
      <c r="F1035" t="str">
        <f>""</f>
        <v/>
      </c>
      <c r="H1035" t="str">
        <f>"ag extension"</f>
        <v>ag extension</v>
      </c>
    </row>
    <row r="1036" spans="1:8" x14ac:dyDescent="0.25">
      <c r="E1036" t="str">
        <f>""</f>
        <v/>
      </c>
      <c r="F1036" t="str">
        <f>""</f>
        <v/>
      </c>
      <c r="H1036" t="str">
        <f>"tax"</f>
        <v>tax</v>
      </c>
    </row>
    <row r="1037" spans="1:8" x14ac:dyDescent="0.25">
      <c r="E1037" t="str">
        <f>""</f>
        <v/>
      </c>
      <c r="F1037" t="str">
        <f>""</f>
        <v/>
      </c>
      <c r="H1037" t="str">
        <f>"pct. 1"</f>
        <v>pct. 1</v>
      </c>
    </row>
    <row r="1038" spans="1:8" x14ac:dyDescent="0.25">
      <c r="E1038" t="str">
        <f>""</f>
        <v/>
      </c>
      <c r="F1038" t="str">
        <f>""</f>
        <v/>
      </c>
      <c r="H1038" t="str">
        <f>"tax"</f>
        <v>tax</v>
      </c>
    </row>
    <row r="1039" spans="1:8" x14ac:dyDescent="0.25">
      <c r="E1039" t="str">
        <f>""</f>
        <v/>
      </c>
      <c r="F1039" t="str">
        <f>""</f>
        <v/>
      </c>
      <c r="H1039" t="str">
        <f>"maintenance"</f>
        <v>maintenance</v>
      </c>
    </row>
    <row r="1040" spans="1:8" x14ac:dyDescent="0.25">
      <c r="A1040" t="s">
        <v>365</v>
      </c>
      <c r="B1040">
        <v>133675</v>
      </c>
      <c r="C1040" s="1">
        <v>90</v>
      </c>
      <c r="D1040" s="5">
        <v>44144</v>
      </c>
      <c r="E1040" t="str">
        <f>"10361514"</f>
        <v>10361514</v>
      </c>
      <c r="F1040" t="str">
        <f>"ACCT#00010699-4/PCT#3"</f>
        <v>ACCT#00010699-4/PCT#3</v>
      </c>
      <c r="G1040" s="1">
        <v>90</v>
      </c>
      <c r="H1040" t="str">
        <f>"ACCT#00010699-4/PCT#3"</f>
        <v>ACCT#00010699-4/PCT#3</v>
      </c>
    </row>
    <row r="1041" spans="1:8" x14ac:dyDescent="0.25">
      <c r="A1041" t="s">
        <v>366</v>
      </c>
      <c r="B1041">
        <v>133676</v>
      </c>
      <c r="C1041" s="1">
        <v>49.85</v>
      </c>
      <c r="D1041" s="5">
        <v>44144</v>
      </c>
      <c r="E1041" t="str">
        <f>"0920-DR14926"</f>
        <v>0920-DR14926</v>
      </c>
      <c r="F1041" t="str">
        <f>"CLIENT ID:CXD 14926"</f>
        <v>CLIENT ID:CXD 14926</v>
      </c>
      <c r="G1041" s="1">
        <v>49.85</v>
      </c>
      <c r="H1041" t="str">
        <f>"CLIENT ID:CXD 14926"</f>
        <v>CLIENT ID:CXD 14926</v>
      </c>
    </row>
    <row r="1042" spans="1:8" x14ac:dyDescent="0.25">
      <c r="A1042" t="s">
        <v>367</v>
      </c>
      <c r="B1042">
        <v>133677</v>
      </c>
      <c r="C1042" s="1">
        <v>100</v>
      </c>
      <c r="D1042" s="5">
        <v>44144</v>
      </c>
      <c r="E1042" t="str">
        <f>"13500"</f>
        <v>13500</v>
      </c>
      <c r="F1042" t="str">
        <f>"SERVICE"</f>
        <v>SERVICE</v>
      </c>
      <c r="G1042" s="1">
        <v>100</v>
      </c>
      <c r="H1042" t="str">
        <f>"SERVICE"</f>
        <v>SERVICE</v>
      </c>
    </row>
    <row r="1043" spans="1:8" x14ac:dyDescent="0.25">
      <c r="A1043" t="s">
        <v>368</v>
      </c>
      <c r="B1043">
        <v>3541</v>
      </c>
      <c r="C1043" s="1">
        <v>2368.17</v>
      </c>
      <c r="D1043" s="5">
        <v>44159</v>
      </c>
      <c r="E1043" t="str">
        <f>"19786"</f>
        <v>19786</v>
      </c>
      <c r="F1043" t="str">
        <f>"COLD MIX/FREIGHT/PCT#4"</f>
        <v>COLD MIX/FREIGHT/PCT#4</v>
      </c>
      <c r="G1043" s="1">
        <v>2368.17</v>
      </c>
      <c r="H1043" t="str">
        <f>"COLD MIX/FREIGHT/PCT#4"</f>
        <v>COLD MIX/FREIGHT/PCT#4</v>
      </c>
    </row>
    <row r="1044" spans="1:8" x14ac:dyDescent="0.25">
      <c r="A1044" t="s">
        <v>369</v>
      </c>
      <c r="B1044">
        <v>3589</v>
      </c>
      <c r="C1044" s="1">
        <v>8330</v>
      </c>
      <c r="D1044" s="5">
        <v>44159</v>
      </c>
      <c r="E1044" t="str">
        <f>"202011180099"</f>
        <v>202011180099</v>
      </c>
      <c r="F1044" t="str">
        <f>"WASHING EQUIPMENT OF TEXAS"</f>
        <v>WASHING EQUIPMENT OF TEXAS</v>
      </c>
      <c r="G1044" s="1">
        <v>8210</v>
      </c>
      <c r="H1044" t="str">
        <f>"Pressure Washer"</f>
        <v>Pressure Washer</v>
      </c>
    </row>
    <row r="1045" spans="1:8" x14ac:dyDescent="0.25">
      <c r="E1045" t="str">
        <f>"SCAUS0065583"</f>
        <v>SCAUS0065583</v>
      </c>
      <c r="F1045" t="str">
        <f>"CUST ID:BASPR4/BATTERY/PCT#1"</f>
        <v>CUST ID:BASPR4/BATTERY/PCT#1</v>
      </c>
      <c r="G1045" s="1">
        <v>120</v>
      </c>
      <c r="H1045" t="str">
        <f>"CUST ID:BASPR4/BATTERY/PCT#1"</f>
        <v>CUST ID:BASPR4/BATTERY/PCT#1</v>
      </c>
    </row>
    <row r="1046" spans="1:8" x14ac:dyDescent="0.25">
      <c r="A1046" t="s">
        <v>370</v>
      </c>
      <c r="B1046">
        <v>133566</v>
      </c>
      <c r="C1046" s="1">
        <v>2390.0500000000002</v>
      </c>
      <c r="D1046" s="5">
        <v>44139</v>
      </c>
      <c r="E1046" t="str">
        <f>"10817954"</f>
        <v>10817954</v>
      </c>
      <c r="F1046" t="str">
        <f>"ACCT#5150-005117630/11012020"</f>
        <v>ACCT#5150-005117630/11012020</v>
      </c>
      <c r="G1046" s="1">
        <v>262.81</v>
      </c>
      <c r="H1046" t="str">
        <f>"ACCT#5150-005117630/11012020"</f>
        <v>ACCT#5150-005117630/11012020</v>
      </c>
    </row>
    <row r="1047" spans="1:8" x14ac:dyDescent="0.25">
      <c r="E1047" t="str">
        <f>"10817961"</f>
        <v>10817961</v>
      </c>
      <c r="F1047" t="str">
        <f>"ACCT#5150-005117766/11012020"</f>
        <v>ACCT#5150-005117766/11012020</v>
      </c>
      <c r="G1047" s="1">
        <v>115.36</v>
      </c>
      <c r="H1047" t="str">
        <f>"ACCT#5150-005117766/11012020"</f>
        <v>ACCT#5150-005117766/11012020</v>
      </c>
    </row>
    <row r="1048" spans="1:8" x14ac:dyDescent="0.25">
      <c r="E1048" t="str">
        <f>"10817965"</f>
        <v>10817965</v>
      </c>
      <c r="F1048" t="str">
        <f>"ACCT#5150-005117838/11012020"</f>
        <v>ACCT#5150-005117838/11012020</v>
      </c>
      <c r="G1048" s="1">
        <v>106.76</v>
      </c>
      <c r="H1048" t="str">
        <f>"ACCT#5150-005117838/11012020"</f>
        <v>ACCT#5150-005117838/11012020</v>
      </c>
    </row>
    <row r="1049" spans="1:8" x14ac:dyDescent="0.25">
      <c r="E1049" t="str">
        <f>"10817967"</f>
        <v>10817967</v>
      </c>
      <c r="F1049" t="str">
        <f>"ACCT#5150-005117882/11012020"</f>
        <v>ACCT#5150-005117882/11012020</v>
      </c>
      <c r="G1049" s="1">
        <v>144.19</v>
      </c>
      <c r="H1049" t="str">
        <f>"ACCT#5150-005117882/11012020"</f>
        <v>ACCT#5150-005117882/11012020</v>
      </c>
    </row>
    <row r="1050" spans="1:8" x14ac:dyDescent="0.25">
      <c r="E1050" t="str">
        <f>"10817975"</f>
        <v>10817975</v>
      </c>
      <c r="F1050" t="str">
        <f>"ACCT#5150-005118183/11012020"</f>
        <v>ACCT#5150-005118183/11012020</v>
      </c>
      <c r="G1050" s="1">
        <v>618.96</v>
      </c>
      <c r="H1050" t="str">
        <f>"ACCT#5150-005118183/11012020"</f>
        <v>ACCT#5150-005118183/11012020</v>
      </c>
    </row>
    <row r="1051" spans="1:8" x14ac:dyDescent="0.25">
      <c r="E1051" t="str">
        <f>"10818010"</f>
        <v>10818010</v>
      </c>
      <c r="F1051" t="str">
        <f>"ACCT#5150-005129483/11012020"</f>
        <v>ACCT#5150-005129483/11012020</v>
      </c>
      <c r="G1051" s="1">
        <v>1029.5999999999999</v>
      </c>
      <c r="H1051" t="str">
        <f>"ACCT#5150-005129483/11012020"</f>
        <v>ACCT#5150-005129483/11012020</v>
      </c>
    </row>
    <row r="1052" spans="1:8" x14ac:dyDescent="0.25">
      <c r="E1052" t="str">
        <f>"10822178"</f>
        <v>10822178</v>
      </c>
      <c r="F1052" t="str">
        <f>"ACCT#5150-16203415/11012020"</f>
        <v>ACCT#5150-16203415/11012020</v>
      </c>
      <c r="G1052" s="1">
        <v>83.48</v>
      </c>
      <c r="H1052" t="str">
        <f>"ACCT#5150-16203415/11012020"</f>
        <v>ACCT#5150-16203415/11012020</v>
      </c>
    </row>
    <row r="1053" spans="1:8" x14ac:dyDescent="0.25">
      <c r="E1053" t="str">
        <f>"10822179"</f>
        <v>10822179</v>
      </c>
      <c r="F1053" t="str">
        <f>"ACCT#5150-16203417/11012020"</f>
        <v>ACCT#5150-16203417/11012020</v>
      </c>
      <c r="G1053" s="1">
        <v>28.89</v>
      </c>
      <c r="H1053" t="str">
        <f>"ACCT#5150-16203417/11012020"</f>
        <v>ACCT#5150-16203417/11012020</v>
      </c>
    </row>
    <row r="1054" spans="1:8" x14ac:dyDescent="0.25">
      <c r="A1054" t="s">
        <v>371</v>
      </c>
      <c r="B1054">
        <v>133678</v>
      </c>
      <c r="C1054" s="1">
        <v>601.41999999999996</v>
      </c>
      <c r="D1054" s="5">
        <v>44144</v>
      </c>
      <c r="E1054" t="str">
        <f>"0099069-2161-5"</f>
        <v>0099069-2161-5</v>
      </c>
      <c r="F1054" t="str">
        <f>"CUST ID:2-56581-95066/ANIMAL C"</f>
        <v>CUST ID:2-56581-95066/ANIMAL C</v>
      </c>
      <c r="G1054" s="1">
        <v>601.41999999999996</v>
      </c>
      <c r="H1054" t="str">
        <f>"CUST ID:2-56581-95066/ANIMAL C"</f>
        <v>CUST ID:2-56581-95066/ANIMAL C</v>
      </c>
    </row>
    <row r="1055" spans="1:8" x14ac:dyDescent="0.25">
      <c r="A1055" t="s">
        <v>371</v>
      </c>
      <c r="B1055">
        <v>133871</v>
      </c>
      <c r="C1055" s="1">
        <v>6241.05</v>
      </c>
      <c r="D1055" s="5">
        <v>44158</v>
      </c>
      <c r="E1055" t="str">
        <f>"0029454-2161-4"</f>
        <v>0029454-2161-4</v>
      </c>
      <c r="F1055" t="str">
        <f>"CUST ID:2-57060-55062/PCT#4"</f>
        <v>CUST ID:2-57060-55062/PCT#4</v>
      </c>
      <c r="G1055" s="1">
        <v>5389.15</v>
      </c>
      <c r="H1055" t="str">
        <f>"CUST ID:2-57060-55062/PCT#4"</f>
        <v>CUST ID:2-57060-55062/PCT#4</v>
      </c>
    </row>
    <row r="1056" spans="1:8" x14ac:dyDescent="0.25">
      <c r="E1056" t="str">
        <f>"6706196-2161-8"</f>
        <v>6706196-2161-8</v>
      </c>
      <c r="F1056" t="str">
        <f>"CUST ID:23-90244-23005/PCT#4"</f>
        <v>CUST ID:23-90244-23005/PCT#4</v>
      </c>
      <c r="G1056" s="1">
        <v>851.9</v>
      </c>
      <c r="H1056" t="str">
        <f>"CUST ID:23-90244-23005/PCT#4"</f>
        <v>CUST ID:23-90244-23005/PCT#4</v>
      </c>
    </row>
    <row r="1057" spans="1:8" x14ac:dyDescent="0.25">
      <c r="A1057" t="s">
        <v>372</v>
      </c>
      <c r="B1057">
        <v>133679</v>
      </c>
      <c r="C1057" s="1">
        <v>617</v>
      </c>
      <c r="D1057" s="5">
        <v>44144</v>
      </c>
      <c r="E1057" t="str">
        <f>"ACCINV0027493"</f>
        <v>ACCINV0027493</v>
      </c>
      <c r="F1057" t="str">
        <f>"INV ACCINV0027493"</f>
        <v>INV ACCINV0027493</v>
      </c>
      <c r="G1057" s="1">
        <v>188</v>
      </c>
      <c r="H1057" t="str">
        <f>"INV ACCINV0027493"</f>
        <v>INV ACCINV0027493</v>
      </c>
    </row>
    <row r="1058" spans="1:8" x14ac:dyDescent="0.25">
      <c r="E1058" t="str">
        <f>"ACCINV0027615"</f>
        <v>ACCINV0027615</v>
      </c>
      <c r="F1058" t="str">
        <f>"INV ACCINV0027615"</f>
        <v>INV ACCINV0027615</v>
      </c>
      <c r="G1058" s="1">
        <v>429</v>
      </c>
      <c r="H1058" t="str">
        <f>"INV ACCINV0027615"</f>
        <v>INV ACCINV0027615</v>
      </c>
    </row>
    <row r="1059" spans="1:8" x14ac:dyDescent="0.25">
      <c r="A1059" t="s">
        <v>373</v>
      </c>
      <c r="B1059">
        <v>3557</v>
      </c>
      <c r="C1059" s="1">
        <v>344</v>
      </c>
      <c r="D1059" s="5">
        <v>44159</v>
      </c>
      <c r="E1059" t="str">
        <f>"5798"</f>
        <v>5798</v>
      </c>
      <c r="F1059" t="str">
        <f>"EMBROIDERY/PCT#3"</f>
        <v>EMBROIDERY/PCT#3</v>
      </c>
      <c r="G1059" s="1">
        <v>194</v>
      </c>
      <c r="H1059" t="str">
        <f>"EMBROIDERY/PCT#3"</f>
        <v>EMBROIDERY/PCT#3</v>
      </c>
    </row>
    <row r="1060" spans="1:8" x14ac:dyDescent="0.25">
      <c r="E1060" t="str">
        <f>"5805"</f>
        <v>5805</v>
      </c>
      <c r="F1060" t="str">
        <f>"EMBROIDERY/PCT#4"</f>
        <v>EMBROIDERY/PCT#4</v>
      </c>
      <c r="G1060" s="1">
        <v>33</v>
      </c>
      <c r="H1060" t="str">
        <f>"EMBROIDERY/PCT#4"</f>
        <v>EMBROIDERY/PCT#4</v>
      </c>
    </row>
    <row r="1061" spans="1:8" x14ac:dyDescent="0.25">
      <c r="E1061" t="str">
        <f>"5824"</f>
        <v>5824</v>
      </c>
      <c r="F1061" t="str">
        <f>"EMBROIDERY/PCT#1"</f>
        <v>EMBROIDERY/PCT#1</v>
      </c>
      <c r="G1061" s="1">
        <v>117</v>
      </c>
      <c r="H1061" t="str">
        <f>"EMBROIDERY/PCT#1"</f>
        <v>EMBROIDERY/PCT#1</v>
      </c>
    </row>
    <row r="1062" spans="1:8" x14ac:dyDescent="0.25">
      <c r="A1062" t="s">
        <v>374</v>
      </c>
      <c r="B1062">
        <v>133680</v>
      </c>
      <c r="C1062" s="1">
        <v>11</v>
      </c>
      <c r="D1062" s="5">
        <v>44144</v>
      </c>
      <c r="E1062" t="str">
        <f>"202010289795"</f>
        <v>202010289795</v>
      </c>
      <c r="F1062" t="str">
        <f>"REFUND OF OVERPAYMENT"</f>
        <v>REFUND OF OVERPAYMENT</v>
      </c>
      <c r="G1062" s="1">
        <v>11</v>
      </c>
      <c r="H1062" t="str">
        <f>"REFUND OF OVERPAYMENT"</f>
        <v>REFUND OF OVERPAYMENT</v>
      </c>
    </row>
    <row r="1063" spans="1:8" x14ac:dyDescent="0.25">
      <c r="A1063" t="s">
        <v>375</v>
      </c>
      <c r="B1063">
        <v>133681</v>
      </c>
      <c r="C1063" s="1">
        <v>239.44</v>
      </c>
      <c r="D1063" s="5">
        <v>44144</v>
      </c>
      <c r="E1063" t="str">
        <f>"20084"</f>
        <v>20084</v>
      </c>
      <c r="F1063" t="str">
        <f>"1145-335 / 15866"</f>
        <v>1145-335 / 15866</v>
      </c>
      <c r="G1063" s="1">
        <v>239.44</v>
      </c>
      <c r="H1063" t="str">
        <f>"1145-335 / 15866"</f>
        <v>1145-335 / 15866</v>
      </c>
    </row>
    <row r="1064" spans="1:8" x14ac:dyDescent="0.25">
      <c r="A1064" t="s">
        <v>376</v>
      </c>
      <c r="B1064">
        <v>3547</v>
      </c>
      <c r="C1064" s="1">
        <v>13353.81</v>
      </c>
      <c r="D1064" s="5">
        <v>44159</v>
      </c>
      <c r="E1064" t="str">
        <f>"26147"</f>
        <v>26147</v>
      </c>
      <c r="F1064" t="str">
        <f>"INV 26147"</f>
        <v>INV 26147</v>
      </c>
      <c r="G1064" s="1">
        <v>13353.81</v>
      </c>
      <c r="H1064" t="str">
        <f>"INV 26147"</f>
        <v>INV 26147</v>
      </c>
    </row>
    <row r="1065" spans="1:8" x14ac:dyDescent="0.25">
      <c r="A1065" t="s">
        <v>377</v>
      </c>
      <c r="B1065">
        <v>133872</v>
      </c>
      <c r="C1065" s="1">
        <v>65</v>
      </c>
      <c r="D1065" s="5">
        <v>44158</v>
      </c>
      <c r="E1065" t="str">
        <f>"202011180265"</f>
        <v>202011180265</v>
      </c>
      <c r="F1065" t="str">
        <f>"FERAL HOGS"</f>
        <v>FERAL HOGS</v>
      </c>
      <c r="G1065" s="1">
        <v>65</v>
      </c>
      <c r="H1065" t="str">
        <f>"FERAL HOGS"</f>
        <v>FERAL HOGS</v>
      </c>
    </row>
    <row r="1066" spans="1:8" x14ac:dyDescent="0.25">
      <c r="A1066" t="s">
        <v>378</v>
      </c>
      <c r="B1066">
        <v>133682</v>
      </c>
      <c r="C1066" s="1">
        <v>140</v>
      </c>
      <c r="D1066" s="5">
        <v>44144</v>
      </c>
      <c r="E1066" t="str">
        <f>"11328"</f>
        <v>11328</v>
      </c>
      <c r="F1066" t="str">
        <f>"SERVICE"</f>
        <v>SERVICE</v>
      </c>
      <c r="G1066" s="1">
        <v>70</v>
      </c>
      <c r="H1066" t="str">
        <f>"SERVICE"</f>
        <v>SERVICE</v>
      </c>
    </row>
    <row r="1067" spans="1:8" x14ac:dyDescent="0.25">
      <c r="E1067" t="s">
        <v>231</v>
      </c>
      <c r="F1067" s="1" t="str">
        <f>"SERVICE"</f>
        <v>SERVICE</v>
      </c>
      <c r="G1067" s="1">
        <v>70</v>
      </c>
      <c r="H1067" s="1" t="str">
        <f>"SERVICE"</f>
        <v>SERVICE</v>
      </c>
    </row>
    <row r="1068" spans="1:8" x14ac:dyDescent="0.25">
      <c r="A1068" t="s">
        <v>378</v>
      </c>
      <c r="B1068">
        <v>133873</v>
      </c>
      <c r="C1068" s="1">
        <v>70</v>
      </c>
      <c r="D1068" s="5">
        <v>44158</v>
      </c>
      <c r="E1068" t="str">
        <f>"13231"</f>
        <v>13231</v>
      </c>
      <c r="F1068" t="str">
        <f>"SERVICE"</f>
        <v>SERVICE</v>
      </c>
      <c r="G1068" s="1">
        <v>70</v>
      </c>
      <c r="H1068" t="str">
        <f>"SERVICE"</f>
        <v>SERVICE</v>
      </c>
    </row>
    <row r="1069" spans="1:8" x14ac:dyDescent="0.25">
      <c r="A1069" t="s">
        <v>379</v>
      </c>
      <c r="B1069">
        <v>133874</v>
      </c>
      <c r="C1069" s="1">
        <v>255</v>
      </c>
      <c r="D1069" s="5">
        <v>44158</v>
      </c>
      <c r="E1069" t="str">
        <f>"202011180266"</f>
        <v>202011180266</v>
      </c>
      <c r="F1069" t="str">
        <f>"FERAL HOGS"</f>
        <v>FERAL HOGS</v>
      </c>
      <c r="G1069" s="1">
        <v>255</v>
      </c>
      <c r="H1069" t="str">
        <f>"FERAL HOGS"</f>
        <v>FERAL HOGS</v>
      </c>
    </row>
    <row r="1070" spans="1:8" x14ac:dyDescent="0.25">
      <c r="A1070" t="s">
        <v>380</v>
      </c>
      <c r="B1070">
        <v>133683</v>
      </c>
      <c r="C1070" s="1">
        <v>5269.32</v>
      </c>
      <c r="D1070" s="5">
        <v>44144</v>
      </c>
      <c r="E1070" t="str">
        <f>"1000113183"</f>
        <v>1000113183</v>
      </c>
      <c r="F1070" t="str">
        <f>"CUST#1000113183/ANIMAL SVCS"</f>
        <v>CUST#1000113183/ANIMAL SVCS</v>
      </c>
      <c r="G1070" s="1">
        <v>946.35</v>
      </c>
      <c r="H1070" t="str">
        <f t="shared" ref="H1070:H1077" si="14">"CUST#1000113183/ANIMAL SVCS"</f>
        <v>CUST#1000113183/ANIMAL SVCS</v>
      </c>
    </row>
    <row r="1071" spans="1:8" x14ac:dyDescent="0.25">
      <c r="E1071" t="str">
        <f>"9011747907"</f>
        <v>9011747907</v>
      </c>
      <c r="F1071" t="str">
        <f>"CUST#1000113183/ANIMAL SVCS"</f>
        <v>CUST#1000113183/ANIMAL SVCS</v>
      </c>
      <c r="G1071" s="1">
        <v>2817.27</v>
      </c>
      <c r="H1071" t="str">
        <f t="shared" si="14"/>
        <v>CUST#1000113183/ANIMAL SVCS</v>
      </c>
    </row>
    <row r="1072" spans="1:8" x14ac:dyDescent="0.25">
      <c r="E1072" t="str">
        <f>""</f>
        <v/>
      </c>
      <c r="F1072" t="str">
        <f>""</f>
        <v/>
      </c>
      <c r="H1072" t="str">
        <f t="shared" si="14"/>
        <v>CUST#1000113183/ANIMAL SVCS</v>
      </c>
    </row>
    <row r="1073" spans="1:8" x14ac:dyDescent="0.25">
      <c r="E1073" t="str">
        <f>"9011771326"</f>
        <v>9011771326</v>
      </c>
      <c r="F1073" t="str">
        <f>"CUST#1000113183/ANIMAL SVCS"</f>
        <v>CUST#1000113183/ANIMAL SVCS</v>
      </c>
      <c r="G1073" s="1">
        <v>277.5</v>
      </c>
      <c r="H1073" t="str">
        <f t="shared" si="14"/>
        <v>CUST#1000113183/ANIMAL SVCS</v>
      </c>
    </row>
    <row r="1074" spans="1:8" x14ac:dyDescent="0.25">
      <c r="E1074" t="str">
        <f>"9011782308"</f>
        <v>9011782308</v>
      </c>
      <c r="F1074" t="str">
        <f>"CUST#1000113183/ANIMAL SVCS"</f>
        <v>CUST#1000113183/ANIMAL SVCS</v>
      </c>
      <c r="G1074" s="1">
        <v>773.2</v>
      </c>
      <c r="H1074" t="str">
        <f t="shared" si="14"/>
        <v>CUST#1000113183/ANIMAL SVCS</v>
      </c>
    </row>
    <row r="1075" spans="1:8" x14ac:dyDescent="0.25">
      <c r="E1075" t="str">
        <f>"9011782332"</f>
        <v>9011782332</v>
      </c>
      <c r="F1075" t="str">
        <f>"CUST#1000113183/ANIMAL SVCS"</f>
        <v>CUST#1000113183/ANIMAL SVCS</v>
      </c>
      <c r="G1075" s="1">
        <v>455</v>
      </c>
      <c r="H1075" t="str">
        <f t="shared" si="14"/>
        <v>CUST#1000113183/ANIMAL SVCS</v>
      </c>
    </row>
    <row r="1076" spans="1:8" x14ac:dyDescent="0.25">
      <c r="A1076" t="s">
        <v>380</v>
      </c>
      <c r="B1076">
        <v>133875</v>
      </c>
      <c r="C1076" s="1">
        <v>802.9</v>
      </c>
      <c r="D1076" s="5">
        <v>44158</v>
      </c>
      <c r="E1076" t="str">
        <f>"9011789248"</f>
        <v>9011789248</v>
      </c>
      <c r="F1076" t="str">
        <f>"CUST#1000113183/ANIMAL SVCS"</f>
        <v>CUST#1000113183/ANIMAL SVCS</v>
      </c>
      <c r="G1076" s="1">
        <v>295.7</v>
      </c>
      <c r="H1076" t="str">
        <f t="shared" si="14"/>
        <v>CUST#1000113183/ANIMAL SVCS</v>
      </c>
    </row>
    <row r="1077" spans="1:8" x14ac:dyDescent="0.25">
      <c r="E1077" t="str">
        <f>"9011811967"</f>
        <v>9011811967</v>
      </c>
      <c r="F1077" t="str">
        <f>"CUST#1000113183/ANIMAL SVCS"</f>
        <v>CUST#1000113183/ANIMAL SVCS</v>
      </c>
      <c r="G1077" s="1">
        <v>507.2</v>
      </c>
      <c r="H1077" t="str">
        <f t="shared" si="14"/>
        <v>CUST#1000113183/ANIMAL SVCS</v>
      </c>
    </row>
    <row r="1078" spans="1:8" x14ac:dyDescent="0.25">
      <c r="A1078" t="s">
        <v>23</v>
      </c>
      <c r="B1078">
        <v>3597</v>
      </c>
      <c r="C1078" s="1">
        <v>518.19000000000005</v>
      </c>
      <c r="D1078" s="5">
        <v>44159</v>
      </c>
      <c r="E1078" t="str">
        <f>"1LRQ-XRKF-613W"</f>
        <v>1LRQ-XRKF-613W</v>
      </c>
      <c r="F1078" t="str">
        <f>"Amazon"</f>
        <v>Amazon</v>
      </c>
      <c r="G1078" s="1">
        <v>50.44</v>
      </c>
      <c r="H1078" t="str">
        <f>"1LRQ-XRKF-613W"</f>
        <v>1LRQ-XRKF-613W</v>
      </c>
    </row>
    <row r="1079" spans="1:8" x14ac:dyDescent="0.25">
      <c r="E1079" t="str">
        <f>"1Y7V-13PD-GXDX"</f>
        <v>1Y7V-13PD-GXDX</v>
      </c>
      <c r="F1079" t="str">
        <f>"Scanner"</f>
        <v>Scanner</v>
      </c>
      <c r="G1079" s="1">
        <v>399.99</v>
      </c>
      <c r="H1079" t="str">
        <f>"Scanner"</f>
        <v>Scanner</v>
      </c>
    </row>
    <row r="1080" spans="1:8" x14ac:dyDescent="0.25">
      <c r="E1080" t="str">
        <f>"202011180098"</f>
        <v>202011180098</v>
      </c>
      <c r="F1080" t="str">
        <f>"Order"</f>
        <v>Order</v>
      </c>
      <c r="G1080" s="1">
        <v>67.760000000000005</v>
      </c>
      <c r="H1080" t="str">
        <f>"Cases"</f>
        <v>Cases</v>
      </c>
    </row>
    <row r="1081" spans="1:8" x14ac:dyDescent="0.25">
      <c r="A1081" t="s">
        <v>30</v>
      </c>
      <c r="B1081">
        <v>133684</v>
      </c>
      <c r="C1081" s="1">
        <v>8.49</v>
      </c>
      <c r="D1081" s="5">
        <v>44144</v>
      </c>
      <c r="E1081" t="str">
        <f>"202011049977"</f>
        <v>202011049977</v>
      </c>
      <c r="F1081" t="str">
        <f>"ACCT#015397/JUVENILE BOOT CAMP"</f>
        <v>ACCT#015397/JUVENILE BOOT CAMP</v>
      </c>
      <c r="G1081" s="1">
        <v>8.49</v>
      </c>
      <c r="H1081" t="str">
        <f>"ACCT#015397/JUVENILE BOOT CAMP"</f>
        <v>ACCT#015397/JUVENILE BOOT CAMP</v>
      </c>
    </row>
    <row r="1082" spans="1:8" x14ac:dyDescent="0.25">
      <c r="A1082" t="s">
        <v>38</v>
      </c>
      <c r="B1082">
        <v>133876</v>
      </c>
      <c r="C1082" s="1">
        <v>766.52</v>
      </c>
      <c r="D1082" s="5">
        <v>44158</v>
      </c>
      <c r="E1082" t="str">
        <f>"287290524359X102"</f>
        <v>287290524359X102</v>
      </c>
      <c r="F1082" t="str">
        <f>"ACCT#287290524359/FAN#58143538"</f>
        <v>ACCT#287290524359/FAN#58143538</v>
      </c>
      <c r="G1082" s="1">
        <v>766.52</v>
      </c>
      <c r="H1082" t="str">
        <f>"ACCT#287290524359/FAN#58143538"</f>
        <v>ACCT#287290524359/FAN#58143538</v>
      </c>
    </row>
    <row r="1083" spans="1:8" x14ac:dyDescent="0.25">
      <c r="A1083" t="s">
        <v>50</v>
      </c>
      <c r="B1083">
        <v>3598</v>
      </c>
      <c r="C1083" s="1">
        <v>89.59</v>
      </c>
      <c r="D1083" s="5">
        <v>44159</v>
      </c>
      <c r="E1083" t="str">
        <f>"16081"</f>
        <v>16081</v>
      </c>
      <c r="F1083" t="str">
        <f>"ACCT#BC01"</f>
        <v>ACCT#BC01</v>
      </c>
      <c r="G1083" s="1">
        <v>89.59</v>
      </c>
      <c r="H1083" t="str">
        <f>"ACCT#BC01"</f>
        <v>ACCT#BC01</v>
      </c>
    </row>
    <row r="1084" spans="1:8" x14ac:dyDescent="0.25">
      <c r="A1084" t="s">
        <v>65</v>
      </c>
      <c r="B1084">
        <v>133690</v>
      </c>
      <c r="C1084" s="1">
        <v>229.43</v>
      </c>
      <c r="D1084" s="5">
        <v>44153</v>
      </c>
      <c r="E1084" t="str">
        <f>"202011180194"</f>
        <v>202011180194</v>
      </c>
      <c r="F1084" t="str">
        <f>"ACCT#5000057374 / 11022020"</f>
        <v>ACCT#5000057374 / 11022020</v>
      </c>
      <c r="G1084" s="1">
        <v>229.43</v>
      </c>
      <c r="H1084" t="str">
        <f>"ACCT#5000057374 / 11022020"</f>
        <v>ACCT#5000057374 / 11022020</v>
      </c>
    </row>
    <row r="1085" spans="1:8" x14ac:dyDescent="0.25">
      <c r="A1085" t="s">
        <v>381</v>
      </c>
      <c r="B1085">
        <v>3601</v>
      </c>
      <c r="C1085" s="1">
        <v>1418.25</v>
      </c>
      <c r="D1085" s="5">
        <v>44159</v>
      </c>
      <c r="E1085" t="str">
        <f>"CZ992A#B1H"</f>
        <v>CZ992A#B1H</v>
      </c>
      <c r="F1085" t="str">
        <f>"Scanner"</f>
        <v>Scanner</v>
      </c>
      <c r="G1085" s="1">
        <v>1418.25</v>
      </c>
      <c r="H1085" t="str">
        <f>"CZ992A#B1H"</f>
        <v>CZ992A#B1H</v>
      </c>
    </row>
    <row r="1086" spans="1:8" x14ac:dyDescent="0.25">
      <c r="A1086" t="s">
        <v>81</v>
      </c>
      <c r="B1086">
        <v>802</v>
      </c>
      <c r="C1086" s="1">
        <v>17377.169999999998</v>
      </c>
      <c r="D1086" s="5">
        <v>44159</v>
      </c>
      <c r="E1086" t="str">
        <f>"202011240294"</f>
        <v>202011240294</v>
      </c>
      <c r="F1086" t="str">
        <f>"ACCT#72-5613 / 11032020"</f>
        <v>ACCT#72-5613 / 11032020</v>
      </c>
      <c r="G1086" s="1">
        <v>-43.07</v>
      </c>
      <c r="H1086" t="str">
        <f>"ACCT#72-5613 / 11032020"</f>
        <v>ACCT#72-5613 / 11032020</v>
      </c>
    </row>
    <row r="1087" spans="1:8" x14ac:dyDescent="0.25">
      <c r="E1087" t="str">
        <f>"202011240293"</f>
        <v>202011240293</v>
      </c>
      <c r="F1087" t="str">
        <f>"ACCT#72-5613 / 11032020"</f>
        <v>ACCT#72-5613 / 11032020</v>
      </c>
      <c r="G1087" s="1">
        <v>17420.240000000002</v>
      </c>
      <c r="H1087" t="str">
        <f>"ACCT#72-5613 / 11032020"</f>
        <v>ACCT#72-5613 / 11032020</v>
      </c>
    </row>
    <row r="1088" spans="1:8" x14ac:dyDescent="0.25">
      <c r="A1088" t="s">
        <v>382</v>
      </c>
      <c r="B1088">
        <v>133877</v>
      </c>
      <c r="C1088" s="1">
        <v>16683.169999999998</v>
      </c>
      <c r="D1088" s="5">
        <v>44158</v>
      </c>
      <c r="E1088" t="str">
        <f>"06062020"</f>
        <v>06062020</v>
      </c>
      <c r="F1088" t="str">
        <f>"ONLINE PORTAL OPS/STATIC TEST"</f>
        <v>ONLINE PORTAL OPS/STATIC TEST</v>
      </c>
      <c r="G1088" s="1">
        <v>16683.169999999998</v>
      </c>
      <c r="H1088" t="str">
        <f>"ONLINE PORTAL OPS/STATIC TEST"</f>
        <v>ONLINE PORTAL OPS/STATIC TEST</v>
      </c>
    </row>
    <row r="1089" spans="1:8" x14ac:dyDescent="0.25">
      <c r="A1089" t="s">
        <v>383</v>
      </c>
      <c r="B1089">
        <v>774</v>
      </c>
      <c r="C1089" s="1">
        <v>95712.5</v>
      </c>
      <c r="D1089" s="5">
        <v>44158</v>
      </c>
      <c r="E1089" t="str">
        <f>"BASTROP12"</f>
        <v>BASTROP12</v>
      </c>
      <c r="F1089" t="str">
        <f>"DEBT SERVICE PMT - SERIES 2012"</f>
        <v>DEBT SERVICE PMT - SERIES 2012</v>
      </c>
      <c r="G1089" s="1">
        <v>29700</v>
      </c>
      <c r="H1089" t="str">
        <f>"DEBT SERVICE PMT - SERIES 2012"</f>
        <v>DEBT SERVICE PMT - SERIES 2012</v>
      </c>
    </row>
    <row r="1090" spans="1:8" x14ac:dyDescent="0.25">
      <c r="E1090" t="str">
        <f>"BASTROP13"</f>
        <v>BASTROP13</v>
      </c>
      <c r="F1090" t="str">
        <f>"DEBT SERIES PMT - SERIES 2013"</f>
        <v>DEBT SERIES PMT - SERIES 2013</v>
      </c>
      <c r="G1090" s="1">
        <v>66012.5</v>
      </c>
      <c r="H1090" t="str">
        <f>"DEBT SERIES PMT - SERIES 2013"</f>
        <v>DEBT SERIES PMT - SERIES 2013</v>
      </c>
    </row>
    <row r="1091" spans="1:8" x14ac:dyDescent="0.25">
      <c r="A1091" t="s">
        <v>151</v>
      </c>
      <c r="B1091">
        <v>3600</v>
      </c>
      <c r="C1091" s="1">
        <v>2872.22</v>
      </c>
      <c r="D1091" s="5">
        <v>44159</v>
      </c>
      <c r="E1091" t="str">
        <f>"20BCP08E"</f>
        <v>20BCP08E</v>
      </c>
      <c r="F1091" t="str">
        <f>"PROF ENGINEERING SVCS"</f>
        <v>PROF ENGINEERING SVCS</v>
      </c>
      <c r="G1091" s="1">
        <v>2872.22</v>
      </c>
      <c r="H1091" t="str">
        <f>"PROF ENGINEERING SVCS"</f>
        <v>PROF ENGINEERING SVCS</v>
      </c>
    </row>
    <row r="1092" spans="1:8" x14ac:dyDescent="0.25">
      <c r="A1092" t="s">
        <v>208</v>
      </c>
      <c r="B1092">
        <v>3599</v>
      </c>
      <c r="C1092" s="1">
        <v>130669.91</v>
      </c>
      <c r="D1092" s="5">
        <v>44159</v>
      </c>
      <c r="E1092" t="str">
        <f>"3861"</f>
        <v>3861</v>
      </c>
      <c r="F1092" t="str">
        <f>"MEETING/STARTUPS/ENV NOTICE"</f>
        <v>MEETING/STARTUPS/ENV NOTICE</v>
      </c>
      <c r="G1092" s="1">
        <v>7800</v>
      </c>
      <c r="H1092" t="str">
        <f>"MEETING/STARTUPS/ENV NOTICE"</f>
        <v>MEETING/STARTUPS/ENV NOTICE</v>
      </c>
    </row>
    <row r="1093" spans="1:8" x14ac:dyDescent="0.25">
      <c r="E1093" t="str">
        <f>"4115"</f>
        <v>4115</v>
      </c>
      <c r="F1093" t="str">
        <f>"GEN ADMIN WILDFIRE/4/3/19-9/30"</f>
        <v>GEN ADMIN WILDFIRE/4/3/19-9/30</v>
      </c>
      <c r="G1093" s="1">
        <v>91089.08</v>
      </c>
      <c r="H1093" t="str">
        <f>"GEN ADMIN WILDFIRE/4/3/19-9/30"</f>
        <v>GEN ADMIN WILDFIRE/4/3/19-9/30</v>
      </c>
    </row>
    <row r="1094" spans="1:8" x14ac:dyDescent="0.25">
      <c r="E1094" t="str">
        <f>"4116"</f>
        <v>4116</v>
      </c>
      <c r="F1094" t="str">
        <f>"TECH SUPPORT/RESEARCH"</f>
        <v>TECH SUPPORT/RESEARCH</v>
      </c>
      <c r="G1094" s="1">
        <v>2358.75</v>
      </c>
      <c r="H1094" t="str">
        <f>"TECH SUPPORT/RESEARCH"</f>
        <v>TECH SUPPORT/RESEARCH</v>
      </c>
    </row>
    <row r="1095" spans="1:8" x14ac:dyDescent="0.25">
      <c r="E1095" t="str">
        <f>"4119"</f>
        <v>4119</v>
      </c>
      <c r="F1095" t="str">
        <f>"GLO ADMINISTRATION"</f>
        <v>GLO ADMINISTRATION</v>
      </c>
      <c r="G1095" s="1">
        <v>29422.080000000002</v>
      </c>
      <c r="H1095" t="str">
        <f>"GLO ADMINISTRATION"</f>
        <v>GLO ADMINISTRATION</v>
      </c>
    </row>
    <row r="1096" spans="1:8" x14ac:dyDescent="0.25">
      <c r="A1096" t="s">
        <v>232</v>
      </c>
      <c r="B1096">
        <v>133878</v>
      </c>
      <c r="C1096" s="1">
        <v>8249.99</v>
      </c>
      <c r="D1096" s="5">
        <v>44158</v>
      </c>
      <c r="E1096" t="str">
        <f>"202011170055"</f>
        <v>202011170055</v>
      </c>
      <c r="F1096" t="str">
        <f>"BD Veritor Test Kits"</f>
        <v>BD Veritor Test Kits</v>
      </c>
      <c r="G1096" s="1">
        <v>8249.99</v>
      </c>
      <c r="H1096" t="str">
        <f>"Test Kits - BCSO"</f>
        <v>Test Kits - BCSO</v>
      </c>
    </row>
    <row r="1097" spans="1:8" x14ac:dyDescent="0.25">
      <c r="E1097" t="str">
        <f>""</f>
        <v/>
      </c>
      <c r="F1097" t="str">
        <f>""</f>
        <v/>
      </c>
      <c r="H1097" t="str">
        <f>"Test Kits -Dr Walkes"</f>
        <v>Test Kits -Dr Walkes</v>
      </c>
    </row>
    <row r="1098" spans="1:8" x14ac:dyDescent="0.25">
      <c r="A1098" t="s">
        <v>384</v>
      </c>
      <c r="B1098">
        <v>133879</v>
      </c>
      <c r="C1098" s="1">
        <v>3965</v>
      </c>
      <c r="D1098" s="5">
        <v>44158</v>
      </c>
      <c r="E1098" t="str">
        <f>"6010"</f>
        <v>6010</v>
      </c>
      <c r="F1098" t="str">
        <f>"REAX ENGINEERING - FIRE SUIT"</f>
        <v>REAX ENGINEERING - FIRE SUIT</v>
      </c>
      <c r="G1098" s="1">
        <v>3965</v>
      </c>
      <c r="H1098" t="str">
        <f>"REAX ENGINEERING - FIRE SUIT"</f>
        <v>REAX ENGINEERING - FIRE SUIT</v>
      </c>
    </row>
    <row r="1099" spans="1:8" x14ac:dyDescent="0.25">
      <c r="A1099" t="s">
        <v>385</v>
      </c>
      <c r="B1099">
        <v>133685</v>
      </c>
      <c r="C1099" s="1">
        <v>10.25</v>
      </c>
      <c r="D1099" s="5">
        <v>44144</v>
      </c>
      <c r="E1099" t="str">
        <f>"202011049978"</f>
        <v>202011049978</v>
      </c>
      <c r="F1099" t="str">
        <f>"REIMBURSE PAD LOCK FOR GATE"</f>
        <v>REIMBURSE PAD LOCK FOR GATE</v>
      </c>
      <c r="G1099" s="1">
        <v>10.25</v>
      </c>
      <c r="H1099" t="str">
        <f>"REIMBURSE PAD LOCK FOR GATE"</f>
        <v>REIMBURSE PAD LOCK FOR GATE</v>
      </c>
    </row>
    <row r="1100" spans="1:8" x14ac:dyDescent="0.25">
      <c r="A1100" t="s">
        <v>35</v>
      </c>
      <c r="B1100">
        <v>133880</v>
      </c>
      <c r="C1100" s="1">
        <v>19800</v>
      </c>
      <c r="D1100" s="5">
        <v>44158</v>
      </c>
      <c r="E1100" t="str">
        <f>"INV0003"</f>
        <v>INV0003</v>
      </c>
      <c r="F1100" t="str">
        <f>"ELGIN COVID TESTING SITE"</f>
        <v>ELGIN COVID TESTING SITE</v>
      </c>
      <c r="G1100" s="1">
        <v>19800</v>
      </c>
      <c r="H1100" t="str">
        <f>"ELGIN COVID TESTING SITE"</f>
        <v>ELGIN COVID TESTING SITE</v>
      </c>
    </row>
    <row r="1101" spans="1:8" x14ac:dyDescent="0.25">
      <c r="A1101" t="s">
        <v>296</v>
      </c>
      <c r="B1101">
        <v>133881</v>
      </c>
      <c r="C1101" s="1">
        <v>29597.25</v>
      </c>
      <c r="D1101" s="5">
        <v>44158</v>
      </c>
      <c r="E1101" t="str">
        <f>"GB00382300 / 0798"</f>
        <v>GB00382300 / 0798</v>
      </c>
      <c r="F1101" t="str">
        <f>"TxDot Camera Project"</f>
        <v>TxDot Camera Project</v>
      </c>
      <c r="G1101" s="1">
        <v>29597.25</v>
      </c>
      <c r="H1101" t="str">
        <f>"Inv.GB00382300"</f>
        <v>Inv.GB00382300</v>
      </c>
    </row>
    <row r="1102" spans="1:8" x14ac:dyDescent="0.25">
      <c r="E1102" t="str">
        <f>""</f>
        <v/>
      </c>
      <c r="F1102" t="str">
        <f>""</f>
        <v/>
      </c>
      <c r="H1102" t="str">
        <f>"Inv.GB00380798"</f>
        <v>Inv.GB00380798</v>
      </c>
    </row>
    <row r="1103" spans="1:8" x14ac:dyDescent="0.25">
      <c r="A1103" t="s">
        <v>386</v>
      </c>
      <c r="B1103">
        <v>133882</v>
      </c>
      <c r="C1103" s="1">
        <v>22000</v>
      </c>
      <c r="D1103" s="5">
        <v>44158</v>
      </c>
      <c r="E1103" t="str">
        <f>"BFSERCTS-01"</f>
        <v>BFSERCTS-01</v>
      </c>
      <c r="F1103" t="str">
        <f>"COVID TESTING-SEPTEMBER"</f>
        <v>COVID TESTING-SEPTEMBER</v>
      </c>
      <c r="G1103" s="1">
        <v>22000</v>
      </c>
      <c r="H1103" t="str">
        <f>"COVID TESTING-SEPTEMBER"</f>
        <v>COVID TESTING-SEPTEMBER</v>
      </c>
    </row>
    <row r="1104" spans="1:8" x14ac:dyDescent="0.25">
      <c r="A1104" t="s">
        <v>309</v>
      </c>
      <c r="B1104">
        <v>133883</v>
      </c>
      <c r="C1104" s="1">
        <v>319.99</v>
      </c>
      <c r="D1104" s="5">
        <v>44158</v>
      </c>
      <c r="E1104" t="str">
        <f>"3459215990"</f>
        <v>3459215990</v>
      </c>
      <c r="F1104" t="str">
        <f>"Statement"</f>
        <v>Statement</v>
      </c>
      <c r="G1104" s="1">
        <v>319.99</v>
      </c>
      <c r="H1104" t="str">
        <f>"3459215990"</f>
        <v>3459215990</v>
      </c>
    </row>
    <row r="1105" spans="1:8" x14ac:dyDescent="0.25">
      <c r="A1105" t="s">
        <v>387</v>
      </c>
      <c r="B1105">
        <v>133884</v>
      </c>
      <c r="C1105" s="1">
        <v>32550</v>
      </c>
      <c r="D1105" s="5">
        <v>44158</v>
      </c>
      <c r="E1105" t="str">
        <f>"202011170090"</f>
        <v>202011170090</v>
      </c>
      <c r="F1105" t="str">
        <f>"PROJECT#'S 199-012 &amp; 1999-031"</f>
        <v>PROJECT#'S 199-012 &amp; 1999-031</v>
      </c>
      <c r="G1105" s="1">
        <v>32550</v>
      </c>
      <c r="H1105" t="str">
        <f>"PROJECT#'S 199-012 &amp; 1999-031"</f>
        <v>PROJECT#'S 199-012 &amp; 1999-031</v>
      </c>
    </row>
    <row r="1106" spans="1:8" x14ac:dyDescent="0.25">
      <c r="E1106" t="str">
        <f>""</f>
        <v/>
      </c>
      <c r="F1106" t="str">
        <f>""</f>
        <v/>
      </c>
      <c r="H1106" t="str">
        <f>"PROJECT#'S 199-012 &amp; 1999-031"</f>
        <v>PROJECT#'S 199-012 &amp; 1999-031</v>
      </c>
    </row>
    <row r="1107" spans="1:8" x14ac:dyDescent="0.25">
      <c r="A1107" t="s">
        <v>388</v>
      </c>
      <c r="B1107">
        <v>133686</v>
      </c>
      <c r="C1107" s="1">
        <v>130201.24</v>
      </c>
      <c r="D1107" s="5">
        <v>44144</v>
      </c>
      <c r="E1107" t="str">
        <f>"9-4189"</f>
        <v>9-4189</v>
      </c>
      <c r="F1107" t="str">
        <f>"TASK ORDER #6 / INGRESS-EGRESS"</f>
        <v>TASK ORDER #6 / INGRESS-EGRESS</v>
      </c>
      <c r="G1107" s="1">
        <v>29053.39</v>
      </c>
      <c r="H1107" t="str">
        <f>"TASK ORDER #6 / INGRESS-EGRESS"</f>
        <v>TASK ORDER #6 / INGRESS-EGRESS</v>
      </c>
    </row>
    <row r="1108" spans="1:8" x14ac:dyDescent="0.25">
      <c r="E1108" t="str">
        <f>"9-4372"</f>
        <v>9-4372</v>
      </c>
      <c r="F1108" t="str">
        <f>"TASK ORDER #6 / INGRESS-EGRESS"</f>
        <v>TASK ORDER #6 / INGRESS-EGRESS</v>
      </c>
      <c r="G1108" s="1">
        <v>52468.88</v>
      </c>
      <c r="H1108" t="str">
        <f>"TASK ORDER #6 / INGRESS-EGRESS"</f>
        <v>TASK ORDER #6 / INGRESS-EGRESS</v>
      </c>
    </row>
    <row r="1109" spans="1:8" x14ac:dyDescent="0.25">
      <c r="E1109" t="str">
        <f>"9-4509"</f>
        <v>9-4509</v>
      </c>
      <c r="F1109" t="str">
        <f>"TASK ORDER #6 / INGRESS-EGRESS"</f>
        <v>TASK ORDER #6 / INGRESS-EGRESS</v>
      </c>
      <c r="G1109" s="1">
        <v>48678.97</v>
      </c>
      <c r="H1109" t="str">
        <f>"TASK ORDER #6 / INGRESS-EGRESS"</f>
        <v>TASK ORDER #6 / INGRESS-EGRESS</v>
      </c>
    </row>
    <row r="1110" spans="1:8" x14ac:dyDescent="0.25">
      <c r="A1110" t="s">
        <v>389</v>
      </c>
      <c r="B1110">
        <v>133885</v>
      </c>
      <c r="C1110" s="1">
        <v>6750</v>
      </c>
      <c r="D1110" s="5">
        <v>44158</v>
      </c>
      <c r="E1110" t="str">
        <f>"202011160053"</f>
        <v>202011160053</v>
      </c>
      <c r="F1110" t="str">
        <f>"REIMBURSEMENT"</f>
        <v>REIMBURSEMENT</v>
      </c>
      <c r="G1110" s="1">
        <v>6750</v>
      </c>
      <c r="H1110" t="str">
        <f>"REIMBURSEMENT"</f>
        <v>REIMBURSEMENT</v>
      </c>
    </row>
    <row r="1111" spans="1:8" x14ac:dyDescent="0.25">
      <c r="A1111" t="s">
        <v>390</v>
      </c>
      <c r="B1111">
        <v>807</v>
      </c>
      <c r="C1111" s="1">
        <v>4678.33</v>
      </c>
      <c r="D1111" s="5">
        <v>44160</v>
      </c>
      <c r="E1111" t="str">
        <f>"202011250295"</f>
        <v>202011250295</v>
      </c>
      <c r="F1111" t="str">
        <f>"ROUNDING - NOVEMBER 2020"</f>
        <v>ROUNDING - NOVEMBER 2020</v>
      </c>
      <c r="G1111" s="1">
        <v>0.03</v>
      </c>
      <c r="H1111" t="str">
        <f>"ROUNDING - NOVEMBER 2020"</f>
        <v>ROUNDING - NOVEMBER 2020</v>
      </c>
    </row>
    <row r="1112" spans="1:8" x14ac:dyDescent="0.25">
      <c r="E1112" t="str">
        <f>"AS 202011100003"</f>
        <v>AS 202011100003</v>
      </c>
      <c r="F1112" t="str">
        <f t="shared" ref="F1112:F1125" si="15">"ALLSTATE"</f>
        <v>ALLSTATE</v>
      </c>
      <c r="G1112" s="1">
        <v>433.66</v>
      </c>
      <c r="H1112" t="str">
        <f t="shared" ref="H1112:H1125" si="16">"ALLSTATE"</f>
        <v>ALLSTATE</v>
      </c>
    </row>
    <row r="1113" spans="1:8" x14ac:dyDescent="0.25">
      <c r="E1113" t="str">
        <f>"AS 202011100004"</f>
        <v>AS 202011100004</v>
      </c>
      <c r="F1113" t="str">
        <f t="shared" si="15"/>
        <v>ALLSTATE</v>
      </c>
      <c r="G1113" s="1">
        <v>27.14</v>
      </c>
      <c r="H1113" t="str">
        <f t="shared" si="16"/>
        <v>ALLSTATE</v>
      </c>
    </row>
    <row r="1114" spans="1:8" x14ac:dyDescent="0.25">
      <c r="E1114" t="str">
        <f>"AS 202011240269"</f>
        <v>AS 202011240269</v>
      </c>
      <c r="F1114" t="str">
        <f t="shared" si="15"/>
        <v>ALLSTATE</v>
      </c>
      <c r="G1114" s="1">
        <v>433.66</v>
      </c>
      <c r="H1114" t="str">
        <f t="shared" si="16"/>
        <v>ALLSTATE</v>
      </c>
    </row>
    <row r="1115" spans="1:8" x14ac:dyDescent="0.25">
      <c r="E1115" t="str">
        <f>"AS 202011240270"</f>
        <v>AS 202011240270</v>
      </c>
      <c r="F1115" t="str">
        <f t="shared" si="15"/>
        <v>ALLSTATE</v>
      </c>
      <c r="G1115" s="1">
        <v>27.14</v>
      </c>
      <c r="H1115" t="str">
        <f t="shared" si="16"/>
        <v>ALLSTATE</v>
      </c>
    </row>
    <row r="1116" spans="1:8" x14ac:dyDescent="0.25">
      <c r="E1116" t="str">
        <f>"ASD202011100003"</f>
        <v>ASD202011100003</v>
      </c>
      <c r="F1116" t="str">
        <f t="shared" si="15"/>
        <v>ALLSTATE</v>
      </c>
      <c r="G1116" s="1">
        <v>170.21</v>
      </c>
      <c r="H1116" t="str">
        <f t="shared" si="16"/>
        <v>ALLSTATE</v>
      </c>
    </row>
    <row r="1117" spans="1:8" x14ac:dyDescent="0.25">
      <c r="E1117" t="str">
        <f>"ASD202011240269"</f>
        <v>ASD202011240269</v>
      </c>
      <c r="F1117" t="str">
        <f t="shared" si="15"/>
        <v>ALLSTATE</v>
      </c>
      <c r="G1117" s="1">
        <v>170.21</v>
      </c>
      <c r="H1117" t="str">
        <f t="shared" si="16"/>
        <v>ALLSTATE</v>
      </c>
    </row>
    <row r="1118" spans="1:8" x14ac:dyDescent="0.25">
      <c r="E1118" t="str">
        <f>"ASI202011100003"</f>
        <v>ASI202011100003</v>
      </c>
      <c r="F1118" t="str">
        <f t="shared" si="15"/>
        <v>ALLSTATE</v>
      </c>
      <c r="G1118" s="1">
        <v>566.87</v>
      </c>
      <c r="H1118" t="str">
        <f t="shared" si="16"/>
        <v>ALLSTATE</v>
      </c>
    </row>
    <row r="1119" spans="1:8" x14ac:dyDescent="0.25">
      <c r="E1119" t="str">
        <f>"ASI202011100004"</f>
        <v>ASI202011100004</v>
      </c>
      <c r="F1119" t="str">
        <f t="shared" si="15"/>
        <v>ALLSTATE</v>
      </c>
      <c r="G1119" s="1">
        <v>67.150000000000006</v>
      </c>
      <c r="H1119" t="str">
        <f t="shared" si="16"/>
        <v>ALLSTATE</v>
      </c>
    </row>
    <row r="1120" spans="1:8" x14ac:dyDescent="0.25">
      <c r="E1120" t="str">
        <f>"ASI202011240269"</f>
        <v>ASI202011240269</v>
      </c>
      <c r="F1120" t="str">
        <f t="shared" si="15"/>
        <v>ALLSTATE</v>
      </c>
      <c r="G1120" s="1">
        <v>566.87</v>
      </c>
      <c r="H1120" t="str">
        <f t="shared" si="16"/>
        <v>ALLSTATE</v>
      </c>
    </row>
    <row r="1121" spans="1:8" x14ac:dyDescent="0.25">
      <c r="E1121" t="str">
        <f>"ASI202011240270"</f>
        <v>ASI202011240270</v>
      </c>
      <c r="F1121" t="str">
        <f t="shared" si="15"/>
        <v>ALLSTATE</v>
      </c>
      <c r="G1121" s="1">
        <v>67.150000000000006</v>
      </c>
      <c r="H1121" t="str">
        <f t="shared" si="16"/>
        <v>ALLSTATE</v>
      </c>
    </row>
    <row r="1122" spans="1:8" x14ac:dyDescent="0.25">
      <c r="E1122" t="str">
        <f>"AST202011100003"</f>
        <v>AST202011100003</v>
      </c>
      <c r="F1122" t="str">
        <f t="shared" si="15"/>
        <v>ALLSTATE</v>
      </c>
      <c r="G1122" s="1">
        <v>1042.71</v>
      </c>
      <c r="H1122" t="str">
        <f t="shared" si="16"/>
        <v>ALLSTATE</v>
      </c>
    </row>
    <row r="1123" spans="1:8" x14ac:dyDescent="0.25">
      <c r="E1123" t="str">
        <f>"AST202011100004"</f>
        <v>AST202011100004</v>
      </c>
      <c r="F1123" t="str">
        <f t="shared" si="15"/>
        <v>ALLSTATE</v>
      </c>
      <c r="G1123" s="1">
        <v>31.41</v>
      </c>
      <c r="H1123" t="str">
        <f t="shared" si="16"/>
        <v>ALLSTATE</v>
      </c>
    </row>
    <row r="1124" spans="1:8" x14ac:dyDescent="0.25">
      <c r="E1124" t="str">
        <f>"AST202011240269"</f>
        <v>AST202011240269</v>
      </c>
      <c r="F1124" t="str">
        <f t="shared" si="15"/>
        <v>ALLSTATE</v>
      </c>
      <c r="G1124" s="1">
        <v>1042.71</v>
      </c>
      <c r="H1124" t="str">
        <f t="shared" si="16"/>
        <v>ALLSTATE</v>
      </c>
    </row>
    <row r="1125" spans="1:8" x14ac:dyDescent="0.25">
      <c r="E1125" t="str">
        <f>"AST202011240270"</f>
        <v>AST202011240270</v>
      </c>
      <c r="F1125" t="str">
        <f t="shared" si="15"/>
        <v>ALLSTATE</v>
      </c>
      <c r="G1125" s="1">
        <v>31.41</v>
      </c>
      <c r="H1125" t="str">
        <f t="shared" si="16"/>
        <v>ALLSTATE</v>
      </c>
    </row>
    <row r="1126" spans="1:8" x14ac:dyDescent="0.25">
      <c r="A1126" t="s">
        <v>391</v>
      </c>
      <c r="B1126">
        <v>803</v>
      </c>
      <c r="C1126" s="1">
        <v>26747.65</v>
      </c>
      <c r="D1126" s="5">
        <v>44160</v>
      </c>
      <c r="E1126" t="str">
        <f>"202011250310"</f>
        <v>202011250310</v>
      </c>
      <c r="F1126" t="str">
        <f>"RETIREE INS - NOVEMBER 2020"</f>
        <v>RETIREE INS - NOVEMBER 2020</v>
      </c>
      <c r="G1126" s="1">
        <v>26747.65</v>
      </c>
      <c r="H1126" t="str">
        <f>"RETIREE INS - NOVEMBER 2020"</f>
        <v>RETIREE INS - NOVEMBER 2020</v>
      </c>
    </row>
    <row r="1127" spans="1:8" x14ac:dyDescent="0.25">
      <c r="A1127" t="s">
        <v>392</v>
      </c>
      <c r="B1127">
        <v>763</v>
      </c>
      <c r="C1127" s="1">
        <v>2202.6799999999998</v>
      </c>
      <c r="D1127" s="5">
        <v>44148</v>
      </c>
      <c r="E1127" t="str">
        <f>"DHM202011100005"</f>
        <v>DHM202011100005</v>
      </c>
      <c r="F1127" t="str">
        <f>"AP - DENTAL HMO"</f>
        <v>AP - DENTAL HMO</v>
      </c>
      <c r="G1127" s="1">
        <v>56.61</v>
      </c>
      <c r="H1127" t="str">
        <f>"AP - DENTAL HMO"</f>
        <v>AP - DENTAL HMO</v>
      </c>
    </row>
    <row r="1128" spans="1:8" x14ac:dyDescent="0.25">
      <c r="E1128" t="str">
        <f>"DTX202011100005"</f>
        <v>DTX202011100005</v>
      </c>
      <c r="F1128" t="str">
        <f>"AP - TEXAS DENTAL"</f>
        <v>AP - TEXAS DENTAL</v>
      </c>
      <c r="G1128" s="1">
        <v>359.12</v>
      </c>
      <c r="H1128" t="str">
        <f>"AP - TEXAS DENTAL"</f>
        <v>AP - TEXAS DENTAL</v>
      </c>
    </row>
    <row r="1129" spans="1:8" x14ac:dyDescent="0.25">
      <c r="E1129" t="str">
        <f>"FD 202011100005"</f>
        <v>FD 202011100005</v>
      </c>
      <c r="F1129" t="str">
        <f>"AP - FT DEARBORN PRE-TAX"</f>
        <v>AP - FT DEARBORN PRE-TAX</v>
      </c>
      <c r="G1129" s="1">
        <v>95.01</v>
      </c>
      <c r="H1129" t="str">
        <f>"AP - FT DEARBORN PRE-TAX"</f>
        <v>AP - FT DEARBORN PRE-TAX</v>
      </c>
    </row>
    <row r="1130" spans="1:8" x14ac:dyDescent="0.25">
      <c r="E1130" t="str">
        <f>"FDT202011100005"</f>
        <v>FDT202011100005</v>
      </c>
      <c r="F1130" t="str">
        <f>"AP - FT DEARBORN AFTER TAX"</f>
        <v>AP - FT DEARBORN AFTER TAX</v>
      </c>
      <c r="G1130" s="1">
        <v>66.59</v>
      </c>
      <c r="H1130" t="str">
        <f>"AP - FT DEARBORN AFTER TAX"</f>
        <v>AP - FT DEARBORN AFTER TAX</v>
      </c>
    </row>
    <row r="1131" spans="1:8" x14ac:dyDescent="0.25">
      <c r="E1131" t="str">
        <f>"FLX202011100005"</f>
        <v>FLX202011100005</v>
      </c>
      <c r="F1131" t="str">
        <f>"AP - TEX FLEX"</f>
        <v>AP - TEX FLEX</v>
      </c>
      <c r="G1131" s="1">
        <v>94.5</v>
      </c>
      <c r="H1131" t="str">
        <f>"AP - TEX FLEX"</f>
        <v>AP - TEX FLEX</v>
      </c>
    </row>
    <row r="1132" spans="1:8" x14ac:dyDescent="0.25">
      <c r="E1132" t="str">
        <f>"HSA202011100005"</f>
        <v>HSA202011100005</v>
      </c>
      <c r="F1132" t="str">
        <f>"AP- HSA"</f>
        <v>AP- HSA</v>
      </c>
      <c r="G1132" s="1">
        <v>20</v>
      </c>
      <c r="H1132" t="str">
        <f>"AP- HSA"</f>
        <v>AP- HSA</v>
      </c>
    </row>
    <row r="1133" spans="1:8" x14ac:dyDescent="0.25">
      <c r="E1133" t="str">
        <f>"MHS202011100005"</f>
        <v>MHS202011100005</v>
      </c>
      <c r="F1133" t="str">
        <f>"AP - HEALTH SELECT MEDICAL"</f>
        <v>AP - HEALTH SELECT MEDICAL</v>
      </c>
      <c r="G1133" s="1">
        <v>1077.21</v>
      </c>
      <c r="H1133" t="str">
        <f>"AP - HEALTH SELECT MEDICAL"</f>
        <v>AP - HEALTH SELECT MEDICAL</v>
      </c>
    </row>
    <row r="1134" spans="1:8" x14ac:dyDescent="0.25">
      <c r="E1134" t="str">
        <f>"MSW202011100005"</f>
        <v>MSW202011100005</v>
      </c>
      <c r="F1134" t="str">
        <f>"AP - SCOTT &amp; WHITE MEDICAL"</f>
        <v>AP - SCOTT &amp; WHITE MEDICAL</v>
      </c>
      <c r="G1134" s="1">
        <v>372.42</v>
      </c>
      <c r="H1134" t="str">
        <f>"AP - SCOTT &amp; WHITE MEDICAL"</f>
        <v>AP - SCOTT &amp; WHITE MEDICAL</v>
      </c>
    </row>
    <row r="1135" spans="1:8" x14ac:dyDescent="0.25">
      <c r="E1135" t="str">
        <f>"SPE202011100005"</f>
        <v>SPE202011100005</v>
      </c>
      <c r="F1135" t="str">
        <f>"AP - STATE VISION"</f>
        <v>AP - STATE VISION</v>
      </c>
      <c r="G1135" s="1">
        <v>61.22</v>
      </c>
      <c r="H1135" t="str">
        <f>"AP - STATE VISION"</f>
        <v>AP - STATE VISION</v>
      </c>
    </row>
    <row r="1136" spans="1:8" x14ac:dyDescent="0.25">
      <c r="A1136" t="s">
        <v>392</v>
      </c>
      <c r="B1136">
        <v>778</v>
      </c>
      <c r="C1136" s="1">
        <v>1935.1</v>
      </c>
      <c r="D1136" s="5">
        <v>44160</v>
      </c>
      <c r="E1136" t="str">
        <f>"DHM202011240271"</f>
        <v>DHM202011240271</v>
      </c>
      <c r="F1136" t="str">
        <f>"AP - DENTAL HMO"</f>
        <v>AP - DENTAL HMO</v>
      </c>
      <c r="G1136" s="1">
        <v>33.590000000000003</v>
      </c>
      <c r="H1136" t="str">
        <f>"AP - DENTAL HMO"</f>
        <v>AP - DENTAL HMO</v>
      </c>
    </row>
    <row r="1137" spans="1:8" x14ac:dyDescent="0.25">
      <c r="E1137" t="str">
        <f>"DTX202011240271"</f>
        <v>DTX202011240271</v>
      </c>
      <c r="F1137" t="str">
        <f>"AP - TEXAS DENTAL"</f>
        <v>AP - TEXAS DENTAL</v>
      </c>
      <c r="G1137" s="1">
        <v>359.12</v>
      </c>
      <c r="H1137" t="str">
        <f>"AP - TEXAS DENTAL"</f>
        <v>AP - TEXAS DENTAL</v>
      </c>
    </row>
    <row r="1138" spans="1:8" x14ac:dyDescent="0.25">
      <c r="E1138" t="str">
        <f>"FD 202011240271"</f>
        <v>FD 202011240271</v>
      </c>
      <c r="F1138" t="str">
        <f>"AP - FT DEARBORN PRE-TAX"</f>
        <v>AP - FT DEARBORN PRE-TAX</v>
      </c>
      <c r="G1138" s="1">
        <v>91.21</v>
      </c>
      <c r="H1138" t="str">
        <f>"AP - FT DEARBORN PRE-TAX"</f>
        <v>AP - FT DEARBORN PRE-TAX</v>
      </c>
    </row>
    <row r="1139" spans="1:8" x14ac:dyDescent="0.25">
      <c r="E1139" t="str">
        <f>"FDT202011240271"</f>
        <v>FDT202011240271</v>
      </c>
      <c r="F1139" t="str">
        <f>"AP - FT DEARBORN AFTER TAX"</f>
        <v>AP - FT DEARBORN AFTER TAX</v>
      </c>
      <c r="G1139" s="1">
        <v>65.209999999999994</v>
      </c>
      <c r="H1139" t="str">
        <f>"AP - FT DEARBORN AFTER TAX"</f>
        <v>AP - FT DEARBORN AFTER TAX</v>
      </c>
    </row>
    <row r="1140" spans="1:8" x14ac:dyDescent="0.25">
      <c r="E1140" t="str">
        <f>"FLX202011240271"</f>
        <v>FLX202011240271</v>
      </c>
      <c r="F1140" t="str">
        <f>"AP - TEX FLEX"</f>
        <v>AP - TEX FLEX</v>
      </c>
      <c r="G1140" s="1">
        <v>94.5</v>
      </c>
      <c r="H1140" t="str">
        <f>"AP - TEX FLEX"</f>
        <v>AP - TEX FLEX</v>
      </c>
    </row>
    <row r="1141" spans="1:8" x14ac:dyDescent="0.25">
      <c r="E1141" t="str">
        <f>"HSA202011240271"</f>
        <v>HSA202011240271</v>
      </c>
      <c r="F1141" t="str">
        <f>"AP- HSA"</f>
        <v>AP- HSA</v>
      </c>
      <c r="G1141" s="1">
        <v>20</v>
      </c>
      <c r="H1141" t="str">
        <f>"AP- HSA"</f>
        <v>AP- HSA</v>
      </c>
    </row>
    <row r="1142" spans="1:8" x14ac:dyDescent="0.25">
      <c r="E1142" t="str">
        <f>"MHS202011240271"</f>
        <v>MHS202011240271</v>
      </c>
      <c r="F1142" t="str">
        <f>"AP - HEALTH SELECT MEDICAL"</f>
        <v>AP - HEALTH SELECT MEDICAL</v>
      </c>
      <c r="G1142" s="1">
        <v>837.83</v>
      </c>
      <c r="H1142" t="str">
        <f>"AP - HEALTH SELECT MEDICAL"</f>
        <v>AP - HEALTH SELECT MEDICAL</v>
      </c>
    </row>
    <row r="1143" spans="1:8" x14ac:dyDescent="0.25">
      <c r="E1143" t="str">
        <f>"MSW202011240271"</f>
        <v>MSW202011240271</v>
      </c>
      <c r="F1143" t="str">
        <f>"AP - SCOTT &amp; WHITE MEDICAL"</f>
        <v>AP - SCOTT &amp; WHITE MEDICAL</v>
      </c>
      <c r="G1143" s="1">
        <v>372.42</v>
      </c>
      <c r="H1143" t="str">
        <f>"AP - SCOTT &amp; WHITE MEDICAL"</f>
        <v>AP - SCOTT &amp; WHITE MEDICAL</v>
      </c>
    </row>
    <row r="1144" spans="1:8" x14ac:dyDescent="0.25">
      <c r="E1144" t="str">
        <f>"SPE202011240271"</f>
        <v>SPE202011240271</v>
      </c>
      <c r="F1144" t="str">
        <f>"AP - STATE VISION"</f>
        <v>AP - STATE VISION</v>
      </c>
      <c r="G1144" s="1">
        <v>61.22</v>
      </c>
      <c r="H1144" t="str">
        <f>"AP - STATE VISION"</f>
        <v>AP - STATE VISION</v>
      </c>
    </row>
    <row r="1145" spans="1:8" x14ac:dyDescent="0.25">
      <c r="A1145" t="s">
        <v>393</v>
      </c>
      <c r="B1145">
        <v>808</v>
      </c>
      <c r="C1145" s="1">
        <v>4697.08</v>
      </c>
      <c r="D1145" s="5">
        <v>44160</v>
      </c>
      <c r="E1145" t="str">
        <f>"202011250302"</f>
        <v>202011250302</v>
      </c>
      <c r="F1145" t="str">
        <f>"NOV 2020 - ADJ - D ADAMS"</f>
        <v>NOV 2020 - ADJ - D ADAMS</v>
      </c>
      <c r="G1145" s="1">
        <v>-36.9</v>
      </c>
      <c r="H1145" t="str">
        <f>"NOV 2020 - ADJ - D ADAMS"</f>
        <v>NOV 2020 - ADJ - D ADAMS</v>
      </c>
    </row>
    <row r="1146" spans="1:8" x14ac:dyDescent="0.25">
      <c r="E1146" t="str">
        <f>"202011250303"</f>
        <v>202011250303</v>
      </c>
      <c r="F1146" t="str">
        <f>"NOV 2020 - ADJ - E INGRAM"</f>
        <v>NOV 2020 - ADJ - E INGRAM</v>
      </c>
      <c r="G1146" s="1">
        <v>-27.29</v>
      </c>
      <c r="H1146" t="str">
        <f>"NOV 2020 - ADJ - E INGRAM"</f>
        <v>NOV 2020 - ADJ - E INGRAM</v>
      </c>
    </row>
    <row r="1147" spans="1:8" x14ac:dyDescent="0.25">
      <c r="E1147" t="str">
        <f>"202011250301"</f>
        <v>202011250301</v>
      </c>
      <c r="F1147" t="str">
        <f>"NOV 2020 - ADJ - J BATES"</f>
        <v>NOV 2020 - ADJ - J BATES</v>
      </c>
      <c r="G1147" s="1">
        <v>40.479999999999997</v>
      </c>
      <c r="H1147" t="str">
        <f>"NOV 2020 - ADJ - J BATES"</f>
        <v>NOV 2020 - ADJ - J BATES</v>
      </c>
    </row>
    <row r="1148" spans="1:8" x14ac:dyDescent="0.25">
      <c r="E1148" t="str">
        <f>"202011250304"</f>
        <v>202011250304</v>
      </c>
      <c r="F1148" t="str">
        <f>"NOV 2020 - ADJ - L SMITH"</f>
        <v>NOV 2020 - ADJ - L SMITH</v>
      </c>
      <c r="G1148" s="1">
        <v>2</v>
      </c>
      <c r="H1148" t="str">
        <f>"NOV 2020 - ADJ - L SMITH"</f>
        <v>NOV 2020 - ADJ - L SMITH</v>
      </c>
    </row>
    <row r="1149" spans="1:8" x14ac:dyDescent="0.25">
      <c r="E1149" t="str">
        <f>"202011250305"</f>
        <v>202011250305</v>
      </c>
      <c r="F1149" t="str">
        <f>"ROUNDING - NOVEMBER 2020"</f>
        <v>ROUNDING - NOVEMBER 2020</v>
      </c>
      <c r="G1149" s="1">
        <v>0.44</v>
      </c>
      <c r="H1149" t="str">
        <f>"ROUNDING - NOVEMBER 2020"</f>
        <v>ROUNDING - NOVEMBER 2020</v>
      </c>
    </row>
    <row r="1150" spans="1:8" x14ac:dyDescent="0.25">
      <c r="E1150" t="str">
        <f>"CL 202011100003"</f>
        <v>CL 202011100003</v>
      </c>
      <c r="F1150" t="str">
        <f t="shared" ref="F1150:F1169" si="17">"COLONIAL"</f>
        <v>COLONIAL</v>
      </c>
      <c r="G1150" s="1">
        <v>519.09</v>
      </c>
      <c r="H1150" t="str">
        <f t="shared" ref="H1150:H1169" si="18">"COLONIAL"</f>
        <v>COLONIAL</v>
      </c>
    </row>
    <row r="1151" spans="1:8" x14ac:dyDescent="0.25">
      <c r="E1151" t="str">
        <f>"CL 202011100004"</f>
        <v>CL 202011100004</v>
      </c>
      <c r="F1151" t="str">
        <f t="shared" si="17"/>
        <v>COLONIAL</v>
      </c>
      <c r="G1151" s="1">
        <v>14.49</v>
      </c>
      <c r="H1151" t="str">
        <f t="shared" si="18"/>
        <v>COLONIAL</v>
      </c>
    </row>
    <row r="1152" spans="1:8" x14ac:dyDescent="0.25">
      <c r="E1152" t="str">
        <f>"CL 202011240269"</f>
        <v>CL 202011240269</v>
      </c>
      <c r="F1152" t="str">
        <f t="shared" si="17"/>
        <v>COLONIAL</v>
      </c>
      <c r="G1152" s="1">
        <v>559.57000000000005</v>
      </c>
      <c r="H1152" t="str">
        <f t="shared" si="18"/>
        <v>COLONIAL</v>
      </c>
    </row>
    <row r="1153" spans="5:8" x14ac:dyDescent="0.25">
      <c r="E1153" t="str">
        <f>"CL 202011240270"</f>
        <v>CL 202011240270</v>
      </c>
      <c r="F1153" t="str">
        <f t="shared" si="17"/>
        <v>COLONIAL</v>
      </c>
      <c r="G1153" s="1">
        <v>14.49</v>
      </c>
      <c r="H1153" t="str">
        <f t="shared" si="18"/>
        <v>COLONIAL</v>
      </c>
    </row>
    <row r="1154" spans="5:8" x14ac:dyDescent="0.25">
      <c r="E1154" t="str">
        <f>"CLC202011100003"</f>
        <v>CLC202011100003</v>
      </c>
      <c r="F1154" t="str">
        <f t="shared" si="17"/>
        <v>COLONIAL</v>
      </c>
      <c r="G1154" s="1">
        <v>33.99</v>
      </c>
      <c r="H1154" t="str">
        <f t="shared" si="18"/>
        <v>COLONIAL</v>
      </c>
    </row>
    <row r="1155" spans="5:8" x14ac:dyDescent="0.25">
      <c r="E1155" t="str">
        <f>"CLC202011240269"</f>
        <v>CLC202011240269</v>
      </c>
      <c r="F1155" t="str">
        <f t="shared" si="17"/>
        <v>COLONIAL</v>
      </c>
      <c r="G1155" s="1">
        <v>33.99</v>
      </c>
      <c r="H1155" t="str">
        <f t="shared" si="18"/>
        <v>COLONIAL</v>
      </c>
    </row>
    <row r="1156" spans="5:8" x14ac:dyDescent="0.25">
      <c r="E1156" t="str">
        <f>"CLI202011100003"</f>
        <v>CLI202011100003</v>
      </c>
      <c r="F1156" t="str">
        <f t="shared" si="17"/>
        <v>COLONIAL</v>
      </c>
      <c r="G1156" s="1">
        <v>534.04</v>
      </c>
      <c r="H1156" t="str">
        <f t="shared" si="18"/>
        <v>COLONIAL</v>
      </c>
    </row>
    <row r="1157" spans="5:8" x14ac:dyDescent="0.25">
      <c r="E1157" t="str">
        <f>"CLI202011240269"</f>
        <v>CLI202011240269</v>
      </c>
      <c r="F1157" t="str">
        <f t="shared" si="17"/>
        <v>COLONIAL</v>
      </c>
      <c r="G1157" s="1">
        <v>534.04</v>
      </c>
      <c r="H1157" t="str">
        <f t="shared" si="18"/>
        <v>COLONIAL</v>
      </c>
    </row>
    <row r="1158" spans="5:8" x14ac:dyDescent="0.25">
      <c r="E1158" t="str">
        <f>"CLK202011100003"</f>
        <v>CLK202011100003</v>
      </c>
      <c r="F1158" t="str">
        <f t="shared" si="17"/>
        <v>COLONIAL</v>
      </c>
      <c r="G1158" s="1">
        <v>27.09</v>
      </c>
      <c r="H1158" t="str">
        <f t="shared" si="18"/>
        <v>COLONIAL</v>
      </c>
    </row>
    <row r="1159" spans="5:8" x14ac:dyDescent="0.25">
      <c r="E1159" t="str">
        <f>"CLK202011240269"</f>
        <v>CLK202011240269</v>
      </c>
      <c r="F1159" t="str">
        <f t="shared" si="17"/>
        <v>COLONIAL</v>
      </c>
      <c r="G1159" s="1">
        <v>27.09</v>
      </c>
      <c r="H1159" t="str">
        <f t="shared" si="18"/>
        <v>COLONIAL</v>
      </c>
    </row>
    <row r="1160" spans="5:8" x14ac:dyDescent="0.25">
      <c r="E1160" t="str">
        <f>"CLS202011100003"</f>
        <v>CLS202011100003</v>
      </c>
      <c r="F1160" t="str">
        <f t="shared" si="17"/>
        <v>COLONIAL</v>
      </c>
      <c r="G1160" s="1">
        <v>387.68</v>
      </c>
      <c r="H1160" t="str">
        <f t="shared" si="18"/>
        <v>COLONIAL</v>
      </c>
    </row>
    <row r="1161" spans="5:8" x14ac:dyDescent="0.25">
      <c r="E1161" t="str">
        <f>"CLS202011100004"</f>
        <v>CLS202011100004</v>
      </c>
      <c r="F1161" t="str">
        <f t="shared" si="17"/>
        <v>COLONIAL</v>
      </c>
      <c r="G1161" s="1">
        <v>15.73</v>
      </c>
      <c r="H1161" t="str">
        <f t="shared" si="18"/>
        <v>COLONIAL</v>
      </c>
    </row>
    <row r="1162" spans="5:8" x14ac:dyDescent="0.25">
      <c r="E1162" t="str">
        <f>"CLS202011240269"</f>
        <v>CLS202011240269</v>
      </c>
      <c r="F1162" t="str">
        <f t="shared" si="17"/>
        <v>COLONIAL</v>
      </c>
      <c r="G1162" s="1">
        <v>350.78</v>
      </c>
      <c r="H1162" t="str">
        <f t="shared" si="18"/>
        <v>COLONIAL</v>
      </c>
    </row>
    <row r="1163" spans="5:8" x14ac:dyDescent="0.25">
      <c r="E1163" t="str">
        <f>"CLS202011240270"</f>
        <v>CLS202011240270</v>
      </c>
      <c r="F1163" t="str">
        <f t="shared" si="17"/>
        <v>COLONIAL</v>
      </c>
      <c r="G1163" s="1">
        <v>15.73</v>
      </c>
      <c r="H1163" t="str">
        <f t="shared" si="18"/>
        <v>COLONIAL</v>
      </c>
    </row>
    <row r="1164" spans="5:8" x14ac:dyDescent="0.25">
      <c r="E1164" t="str">
        <f>"CLT202011100003"</f>
        <v>CLT202011100003</v>
      </c>
      <c r="F1164" t="str">
        <f t="shared" si="17"/>
        <v>COLONIAL</v>
      </c>
      <c r="G1164" s="1">
        <v>421.57</v>
      </c>
      <c r="H1164" t="str">
        <f t="shared" si="18"/>
        <v>COLONIAL</v>
      </c>
    </row>
    <row r="1165" spans="5:8" x14ac:dyDescent="0.25">
      <c r="E1165" t="str">
        <f>"CLT202011240269"</f>
        <v>CLT202011240269</v>
      </c>
      <c r="F1165" t="str">
        <f t="shared" si="17"/>
        <v>COLONIAL</v>
      </c>
      <c r="G1165" s="1">
        <v>388.28</v>
      </c>
      <c r="H1165" t="str">
        <f t="shared" si="18"/>
        <v>COLONIAL</v>
      </c>
    </row>
    <row r="1166" spans="5:8" x14ac:dyDescent="0.25">
      <c r="E1166" t="str">
        <f>"CLU202011100003"</f>
        <v>CLU202011100003</v>
      </c>
      <c r="F1166" t="str">
        <f t="shared" si="17"/>
        <v>COLONIAL</v>
      </c>
      <c r="G1166" s="1">
        <v>111.55</v>
      </c>
      <c r="H1166" t="str">
        <f t="shared" si="18"/>
        <v>COLONIAL</v>
      </c>
    </row>
    <row r="1167" spans="5:8" x14ac:dyDescent="0.25">
      <c r="E1167" t="str">
        <f>"CLU202011240269"</f>
        <v>CLU202011240269</v>
      </c>
      <c r="F1167" t="str">
        <f t="shared" si="17"/>
        <v>COLONIAL</v>
      </c>
      <c r="G1167" s="1">
        <v>111.55</v>
      </c>
      <c r="H1167" t="str">
        <f t="shared" si="18"/>
        <v>COLONIAL</v>
      </c>
    </row>
    <row r="1168" spans="5:8" x14ac:dyDescent="0.25">
      <c r="E1168" t="str">
        <f>"CLW202011100003"</f>
        <v>CLW202011100003</v>
      </c>
      <c r="F1168" t="str">
        <f t="shared" si="17"/>
        <v>COLONIAL</v>
      </c>
      <c r="G1168" s="1">
        <v>308.8</v>
      </c>
      <c r="H1168" t="str">
        <f t="shared" si="18"/>
        <v>COLONIAL</v>
      </c>
    </row>
    <row r="1169" spans="1:8" x14ac:dyDescent="0.25">
      <c r="E1169" t="str">
        <f>"CLW202011240269"</f>
        <v>CLW202011240269</v>
      </c>
      <c r="F1169" t="str">
        <f t="shared" si="17"/>
        <v>COLONIAL</v>
      </c>
      <c r="G1169" s="1">
        <v>308.8</v>
      </c>
      <c r="H1169" t="str">
        <f t="shared" si="18"/>
        <v>COLONIAL</v>
      </c>
    </row>
    <row r="1170" spans="1:8" x14ac:dyDescent="0.25">
      <c r="A1170" t="s">
        <v>394</v>
      </c>
      <c r="B1170">
        <v>764</v>
      </c>
      <c r="C1170" s="1">
        <v>7755.59</v>
      </c>
      <c r="D1170" s="5">
        <v>44148</v>
      </c>
      <c r="E1170" t="str">
        <f>"CPI202011100003"</f>
        <v>CPI202011100003</v>
      </c>
      <c r="F1170" t="str">
        <f>"DEFERRED COMP 457B PAYABLE"</f>
        <v>DEFERRED COMP 457B PAYABLE</v>
      </c>
      <c r="G1170" s="1">
        <v>7660.59</v>
      </c>
      <c r="H1170" t="str">
        <f>"DEFERRED COMP 457B PAYABLE"</f>
        <v>DEFERRED COMP 457B PAYABLE</v>
      </c>
    </row>
    <row r="1171" spans="1:8" x14ac:dyDescent="0.25">
      <c r="E1171" t="str">
        <f>"CPI202011100004"</f>
        <v>CPI202011100004</v>
      </c>
      <c r="F1171" t="str">
        <f>"DEFERRED COMP 457B PAYABLE"</f>
        <v>DEFERRED COMP 457B PAYABLE</v>
      </c>
      <c r="G1171" s="1">
        <v>95</v>
      </c>
      <c r="H1171" t="str">
        <f>"DEFERRED COMP 457B PAYABLE"</f>
        <v>DEFERRED COMP 457B PAYABLE</v>
      </c>
    </row>
    <row r="1172" spans="1:8" x14ac:dyDescent="0.25">
      <c r="A1172" t="s">
        <v>394</v>
      </c>
      <c r="B1172">
        <v>779</v>
      </c>
      <c r="C1172" s="1">
        <v>7870.39</v>
      </c>
      <c r="D1172" s="5">
        <v>44160</v>
      </c>
      <c r="E1172" t="str">
        <f>"CPI202011240269"</f>
        <v>CPI202011240269</v>
      </c>
      <c r="F1172" t="str">
        <f>"DEFERRED COMP 457B PAYABLE"</f>
        <v>DEFERRED COMP 457B PAYABLE</v>
      </c>
      <c r="G1172" s="1">
        <v>7775.39</v>
      </c>
      <c r="H1172" t="str">
        <f>"DEFERRED COMP 457B PAYABLE"</f>
        <v>DEFERRED COMP 457B PAYABLE</v>
      </c>
    </row>
    <row r="1173" spans="1:8" x14ac:dyDescent="0.25">
      <c r="E1173" t="str">
        <f>"CPI202011240270"</f>
        <v>CPI202011240270</v>
      </c>
      <c r="F1173" t="str">
        <f>"DEFERRED COMP 457B PAYABLE"</f>
        <v>DEFERRED COMP 457B PAYABLE</v>
      </c>
      <c r="G1173" s="1">
        <v>95</v>
      </c>
      <c r="H1173" t="str">
        <f>"DEFERRED COMP 457B PAYABLE"</f>
        <v>DEFERRED COMP 457B PAYABLE</v>
      </c>
    </row>
    <row r="1174" spans="1:8" x14ac:dyDescent="0.25">
      <c r="A1174" t="s">
        <v>395</v>
      </c>
      <c r="B1174">
        <v>804</v>
      </c>
      <c r="C1174" s="1">
        <v>41806.68</v>
      </c>
      <c r="D1174" s="5">
        <v>44160</v>
      </c>
      <c r="E1174" t="str">
        <f>"202011250308"</f>
        <v>202011250308</v>
      </c>
      <c r="F1174" t="str">
        <f>"NOV 2020 - ADJ - B BORSKI"</f>
        <v>NOV 2020 - ADJ - B BORSKI</v>
      </c>
      <c r="G1174" s="1">
        <v>-50.21</v>
      </c>
      <c r="H1174" t="str">
        <f>"NOV 2020 - ADJ - B BORSKI"</f>
        <v>NOV 2020 - ADJ - B BORSKI</v>
      </c>
    </row>
    <row r="1175" spans="1:8" x14ac:dyDescent="0.25">
      <c r="E1175" t="str">
        <f>"202011250306"</f>
        <v>202011250306</v>
      </c>
      <c r="F1175" t="str">
        <f>"RETIREE INS - NOVEMBER 2020"</f>
        <v>RETIREE INS - NOVEMBER 2020</v>
      </c>
      <c r="G1175" s="1">
        <v>3347.67</v>
      </c>
      <c r="H1175" t="str">
        <f>"RETIREE INS - NOVEMBER 2020"</f>
        <v>RETIREE INS - NOVEMBER 2020</v>
      </c>
    </row>
    <row r="1176" spans="1:8" x14ac:dyDescent="0.25">
      <c r="E1176" t="str">
        <f>"202011250307"</f>
        <v>202011250307</v>
      </c>
      <c r="F1176" t="str">
        <f>"COBRA INS - ZURITA - NOV 2020"</f>
        <v>COBRA INS - ZURITA - NOV 2020</v>
      </c>
      <c r="G1176" s="1">
        <v>120.1</v>
      </c>
      <c r="H1176" t="str">
        <f>"COBRA INS - ZURITA - NOV 2020"</f>
        <v>COBRA INS - ZURITA - NOV 2020</v>
      </c>
    </row>
    <row r="1177" spans="1:8" x14ac:dyDescent="0.25">
      <c r="E1177" t="str">
        <f>"ADC202011100003"</f>
        <v>ADC202011100003</v>
      </c>
      <c r="F1177" t="str">
        <f t="shared" ref="F1177:F1189" si="19">"GUARDIAN"</f>
        <v>GUARDIAN</v>
      </c>
      <c r="G1177" s="1">
        <v>4.3499999999999996</v>
      </c>
      <c r="H1177" t="str">
        <f t="shared" ref="H1177:H1240" si="20">"GUARDIAN"</f>
        <v>GUARDIAN</v>
      </c>
    </row>
    <row r="1178" spans="1:8" x14ac:dyDescent="0.25">
      <c r="E1178" t="str">
        <f>"ADC202011100004"</f>
        <v>ADC202011100004</v>
      </c>
      <c r="F1178" t="str">
        <f t="shared" si="19"/>
        <v>GUARDIAN</v>
      </c>
      <c r="G1178" s="1">
        <v>0.16</v>
      </c>
      <c r="H1178" t="str">
        <f t="shared" si="20"/>
        <v>GUARDIAN</v>
      </c>
    </row>
    <row r="1179" spans="1:8" x14ac:dyDescent="0.25">
      <c r="E1179" t="str">
        <f>"ADC202011240269"</f>
        <v>ADC202011240269</v>
      </c>
      <c r="F1179" t="str">
        <f t="shared" si="19"/>
        <v>GUARDIAN</v>
      </c>
      <c r="G1179" s="1">
        <v>4.53</v>
      </c>
      <c r="H1179" t="str">
        <f t="shared" si="20"/>
        <v>GUARDIAN</v>
      </c>
    </row>
    <row r="1180" spans="1:8" x14ac:dyDescent="0.25">
      <c r="E1180" t="str">
        <f>"ADC202011240270"</f>
        <v>ADC202011240270</v>
      </c>
      <c r="F1180" t="str">
        <f t="shared" si="19"/>
        <v>GUARDIAN</v>
      </c>
      <c r="G1180" s="1">
        <v>0.16</v>
      </c>
      <c r="H1180" t="str">
        <f t="shared" si="20"/>
        <v>GUARDIAN</v>
      </c>
    </row>
    <row r="1181" spans="1:8" x14ac:dyDescent="0.25">
      <c r="E1181" t="str">
        <f>"ADE202011100003"</f>
        <v>ADE202011100003</v>
      </c>
      <c r="F1181" t="str">
        <f t="shared" si="19"/>
        <v>GUARDIAN</v>
      </c>
      <c r="G1181" s="1">
        <v>228.03</v>
      </c>
      <c r="H1181" t="str">
        <f t="shared" si="20"/>
        <v>GUARDIAN</v>
      </c>
    </row>
    <row r="1182" spans="1:8" x14ac:dyDescent="0.25">
      <c r="E1182" t="str">
        <f>"ADE202011100004"</f>
        <v>ADE202011100004</v>
      </c>
      <c r="F1182" t="str">
        <f t="shared" si="19"/>
        <v>GUARDIAN</v>
      </c>
      <c r="G1182" s="1">
        <v>6.3</v>
      </c>
      <c r="H1182" t="str">
        <f t="shared" si="20"/>
        <v>GUARDIAN</v>
      </c>
    </row>
    <row r="1183" spans="1:8" x14ac:dyDescent="0.25">
      <c r="E1183" t="str">
        <f>"ADE202011240269"</f>
        <v>ADE202011240269</v>
      </c>
      <c r="F1183" t="str">
        <f t="shared" si="19"/>
        <v>GUARDIAN</v>
      </c>
      <c r="G1183" s="1">
        <v>230.18</v>
      </c>
      <c r="H1183" t="str">
        <f t="shared" si="20"/>
        <v>GUARDIAN</v>
      </c>
    </row>
    <row r="1184" spans="1:8" x14ac:dyDescent="0.25">
      <c r="E1184" t="str">
        <f>"ADE202011240270"</f>
        <v>ADE202011240270</v>
      </c>
      <c r="F1184" t="str">
        <f t="shared" si="19"/>
        <v>GUARDIAN</v>
      </c>
      <c r="G1184" s="1">
        <v>6.3</v>
      </c>
      <c r="H1184" t="str">
        <f t="shared" si="20"/>
        <v>GUARDIAN</v>
      </c>
    </row>
    <row r="1185" spans="5:8" x14ac:dyDescent="0.25">
      <c r="E1185" t="str">
        <f>"ADS202011100003"</f>
        <v>ADS202011100003</v>
      </c>
      <c r="F1185" t="str">
        <f t="shared" si="19"/>
        <v>GUARDIAN</v>
      </c>
      <c r="G1185" s="1">
        <v>38.880000000000003</v>
      </c>
      <c r="H1185" t="str">
        <f t="shared" si="20"/>
        <v>GUARDIAN</v>
      </c>
    </row>
    <row r="1186" spans="5:8" x14ac:dyDescent="0.25">
      <c r="E1186" t="str">
        <f>"ADS202011100004"</f>
        <v>ADS202011100004</v>
      </c>
      <c r="F1186" t="str">
        <f t="shared" si="19"/>
        <v>GUARDIAN</v>
      </c>
      <c r="G1186" s="1">
        <v>0.53</v>
      </c>
      <c r="H1186" t="str">
        <f t="shared" si="20"/>
        <v>GUARDIAN</v>
      </c>
    </row>
    <row r="1187" spans="5:8" x14ac:dyDescent="0.25">
      <c r="E1187" t="str">
        <f>"ADS202011240269"</f>
        <v>ADS202011240269</v>
      </c>
      <c r="F1187" t="str">
        <f t="shared" si="19"/>
        <v>GUARDIAN</v>
      </c>
      <c r="G1187" s="1">
        <v>40.54</v>
      </c>
      <c r="H1187" t="str">
        <f t="shared" si="20"/>
        <v>GUARDIAN</v>
      </c>
    </row>
    <row r="1188" spans="5:8" x14ac:dyDescent="0.25">
      <c r="E1188" t="str">
        <f>"ADS202011240270"</f>
        <v>ADS202011240270</v>
      </c>
      <c r="F1188" t="str">
        <f t="shared" si="19"/>
        <v>GUARDIAN</v>
      </c>
      <c r="G1188" s="1">
        <v>0.53</v>
      </c>
      <c r="H1188" t="str">
        <f t="shared" si="20"/>
        <v>GUARDIAN</v>
      </c>
    </row>
    <row r="1189" spans="5:8" x14ac:dyDescent="0.25">
      <c r="E1189" t="str">
        <f>"GDC202011100003"</f>
        <v>GDC202011100003</v>
      </c>
      <c r="F1189" t="str">
        <f t="shared" si="19"/>
        <v>GUARDIAN</v>
      </c>
      <c r="G1189" s="1">
        <v>2616.38</v>
      </c>
      <c r="H1189" t="str">
        <f t="shared" si="20"/>
        <v>GUARDIAN</v>
      </c>
    </row>
    <row r="1190" spans="5:8" x14ac:dyDescent="0.25">
      <c r="E1190" t="str">
        <f>""</f>
        <v/>
      </c>
      <c r="F1190" t="str">
        <f>""</f>
        <v/>
      </c>
      <c r="H1190" t="str">
        <f t="shared" si="20"/>
        <v>GUARDIAN</v>
      </c>
    </row>
    <row r="1191" spans="5:8" x14ac:dyDescent="0.25">
      <c r="E1191" t="str">
        <f>""</f>
        <v/>
      </c>
      <c r="F1191" t="str">
        <f>""</f>
        <v/>
      </c>
      <c r="H1191" t="str">
        <f t="shared" si="20"/>
        <v>GUARDIAN</v>
      </c>
    </row>
    <row r="1192" spans="5:8" x14ac:dyDescent="0.25">
      <c r="E1192" t="str">
        <f>""</f>
        <v/>
      </c>
      <c r="F1192" t="str">
        <f>""</f>
        <v/>
      </c>
      <c r="H1192" t="str">
        <f t="shared" si="20"/>
        <v>GUARDIAN</v>
      </c>
    </row>
    <row r="1193" spans="5:8" x14ac:dyDescent="0.25">
      <c r="E1193" t="str">
        <f>""</f>
        <v/>
      </c>
      <c r="F1193" t="str">
        <f>""</f>
        <v/>
      </c>
      <c r="H1193" t="str">
        <f t="shared" si="20"/>
        <v>GUARDIAN</v>
      </c>
    </row>
    <row r="1194" spans="5:8" x14ac:dyDescent="0.25">
      <c r="E1194" t="str">
        <f>""</f>
        <v/>
      </c>
      <c r="F1194" t="str">
        <f>""</f>
        <v/>
      </c>
      <c r="H1194" t="str">
        <f t="shared" si="20"/>
        <v>GUARDIAN</v>
      </c>
    </row>
    <row r="1195" spans="5:8" x14ac:dyDescent="0.25">
      <c r="E1195" t="str">
        <f>""</f>
        <v/>
      </c>
      <c r="F1195" t="str">
        <f>""</f>
        <v/>
      </c>
      <c r="H1195" t="str">
        <f t="shared" si="20"/>
        <v>GUARDIAN</v>
      </c>
    </row>
    <row r="1196" spans="5:8" x14ac:dyDescent="0.25">
      <c r="E1196" t="str">
        <f>""</f>
        <v/>
      </c>
      <c r="F1196" t="str">
        <f>""</f>
        <v/>
      </c>
      <c r="H1196" t="str">
        <f t="shared" si="20"/>
        <v>GUARDIAN</v>
      </c>
    </row>
    <row r="1197" spans="5:8" x14ac:dyDescent="0.25">
      <c r="E1197" t="str">
        <f>""</f>
        <v/>
      </c>
      <c r="F1197" t="str">
        <f>""</f>
        <v/>
      </c>
      <c r="H1197" t="str">
        <f t="shared" si="20"/>
        <v>GUARDIAN</v>
      </c>
    </row>
    <row r="1198" spans="5:8" x14ac:dyDescent="0.25">
      <c r="E1198" t="str">
        <f>""</f>
        <v/>
      </c>
      <c r="F1198" t="str">
        <f>""</f>
        <v/>
      </c>
      <c r="H1198" t="str">
        <f t="shared" si="20"/>
        <v>GUARDIAN</v>
      </c>
    </row>
    <row r="1199" spans="5:8" x14ac:dyDescent="0.25">
      <c r="E1199" t="str">
        <f>""</f>
        <v/>
      </c>
      <c r="F1199" t="str">
        <f>""</f>
        <v/>
      </c>
      <c r="H1199" t="str">
        <f t="shared" si="20"/>
        <v>GUARDIAN</v>
      </c>
    </row>
    <row r="1200" spans="5:8" x14ac:dyDescent="0.25">
      <c r="E1200" t="str">
        <f>""</f>
        <v/>
      </c>
      <c r="F1200" t="str">
        <f>""</f>
        <v/>
      </c>
      <c r="H1200" t="str">
        <f t="shared" si="20"/>
        <v>GUARDIAN</v>
      </c>
    </row>
    <row r="1201" spans="5:8" x14ac:dyDescent="0.25">
      <c r="E1201" t="str">
        <f>""</f>
        <v/>
      </c>
      <c r="F1201" t="str">
        <f>""</f>
        <v/>
      </c>
      <c r="H1201" t="str">
        <f t="shared" si="20"/>
        <v>GUARDIAN</v>
      </c>
    </row>
    <row r="1202" spans="5:8" x14ac:dyDescent="0.25">
      <c r="E1202" t="str">
        <f>""</f>
        <v/>
      </c>
      <c r="F1202" t="str">
        <f>""</f>
        <v/>
      </c>
      <c r="H1202" t="str">
        <f t="shared" si="20"/>
        <v>GUARDIAN</v>
      </c>
    </row>
    <row r="1203" spans="5:8" x14ac:dyDescent="0.25">
      <c r="E1203" t="str">
        <f>""</f>
        <v/>
      </c>
      <c r="F1203" t="str">
        <f>""</f>
        <v/>
      </c>
      <c r="H1203" t="str">
        <f t="shared" si="20"/>
        <v>GUARDIAN</v>
      </c>
    </row>
    <row r="1204" spans="5:8" x14ac:dyDescent="0.25">
      <c r="E1204" t="str">
        <f>""</f>
        <v/>
      </c>
      <c r="F1204" t="str">
        <f>""</f>
        <v/>
      </c>
      <c r="H1204" t="str">
        <f t="shared" si="20"/>
        <v>GUARDIAN</v>
      </c>
    </row>
    <row r="1205" spans="5:8" x14ac:dyDescent="0.25">
      <c r="E1205" t="str">
        <f>""</f>
        <v/>
      </c>
      <c r="F1205" t="str">
        <f>""</f>
        <v/>
      </c>
      <c r="H1205" t="str">
        <f t="shared" si="20"/>
        <v>GUARDIAN</v>
      </c>
    </row>
    <row r="1206" spans="5:8" x14ac:dyDescent="0.25">
      <c r="E1206" t="str">
        <f>""</f>
        <v/>
      </c>
      <c r="F1206" t="str">
        <f>""</f>
        <v/>
      </c>
      <c r="H1206" t="str">
        <f t="shared" si="20"/>
        <v>GUARDIAN</v>
      </c>
    </row>
    <row r="1207" spans="5:8" x14ac:dyDescent="0.25">
      <c r="E1207" t="str">
        <f>""</f>
        <v/>
      </c>
      <c r="F1207" t="str">
        <f>""</f>
        <v/>
      </c>
      <c r="H1207" t="str">
        <f t="shared" si="20"/>
        <v>GUARDIAN</v>
      </c>
    </row>
    <row r="1208" spans="5:8" x14ac:dyDescent="0.25">
      <c r="E1208" t="str">
        <f>""</f>
        <v/>
      </c>
      <c r="F1208" t="str">
        <f>""</f>
        <v/>
      </c>
      <c r="H1208" t="str">
        <f t="shared" si="20"/>
        <v>GUARDIAN</v>
      </c>
    </row>
    <row r="1209" spans="5:8" x14ac:dyDescent="0.25">
      <c r="E1209" t="str">
        <f>""</f>
        <v/>
      </c>
      <c r="F1209" t="str">
        <f>""</f>
        <v/>
      </c>
      <c r="H1209" t="str">
        <f t="shared" si="20"/>
        <v>GUARDIAN</v>
      </c>
    </row>
    <row r="1210" spans="5:8" x14ac:dyDescent="0.25">
      <c r="E1210" t="str">
        <f>""</f>
        <v/>
      </c>
      <c r="F1210" t="str">
        <f>""</f>
        <v/>
      </c>
      <c r="H1210" t="str">
        <f t="shared" si="20"/>
        <v>GUARDIAN</v>
      </c>
    </row>
    <row r="1211" spans="5:8" x14ac:dyDescent="0.25">
      <c r="E1211" t="str">
        <f>""</f>
        <v/>
      </c>
      <c r="F1211" t="str">
        <f>""</f>
        <v/>
      </c>
      <c r="H1211" t="str">
        <f t="shared" si="20"/>
        <v>GUARDIAN</v>
      </c>
    </row>
    <row r="1212" spans="5:8" x14ac:dyDescent="0.25">
      <c r="E1212" t="str">
        <f>""</f>
        <v/>
      </c>
      <c r="F1212" t="str">
        <f>""</f>
        <v/>
      </c>
      <c r="H1212" t="str">
        <f t="shared" si="20"/>
        <v>GUARDIAN</v>
      </c>
    </row>
    <row r="1213" spans="5:8" x14ac:dyDescent="0.25">
      <c r="E1213" t="str">
        <f>""</f>
        <v/>
      </c>
      <c r="F1213" t="str">
        <f>""</f>
        <v/>
      </c>
      <c r="H1213" t="str">
        <f t="shared" si="20"/>
        <v>GUARDIAN</v>
      </c>
    </row>
    <row r="1214" spans="5:8" x14ac:dyDescent="0.25">
      <c r="E1214" t="str">
        <f>""</f>
        <v/>
      </c>
      <c r="F1214" t="str">
        <f>""</f>
        <v/>
      </c>
      <c r="H1214" t="str">
        <f t="shared" si="20"/>
        <v>GUARDIAN</v>
      </c>
    </row>
    <row r="1215" spans="5:8" x14ac:dyDescent="0.25">
      <c r="E1215" t="str">
        <f>""</f>
        <v/>
      </c>
      <c r="F1215" t="str">
        <f>""</f>
        <v/>
      </c>
      <c r="H1215" t="str">
        <f t="shared" si="20"/>
        <v>GUARDIAN</v>
      </c>
    </row>
    <row r="1216" spans="5:8" x14ac:dyDescent="0.25">
      <c r="E1216" t="str">
        <f>""</f>
        <v/>
      </c>
      <c r="F1216" t="str">
        <f>""</f>
        <v/>
      </c>
      <c r="H1216" t="str">
        <f t="shared" si="20"/>
        <v>GUARDIAN</v>
      </c>
    </row>
    <row r="1217" spans="5:8" x14ac:dyDescent="0.25">
      <c r="E1217" t="str">
        <f>""</f>
        <v/>
      </c>
      <c r="F1217" t="str">
        <f>""</f>
        <v/>
      </c>
      <c r="H1217" t="str">
        <f t="shared" si="20"/>
        <v>GUARDIAN</v>
      </c>
    </row>
    <row r="1218" spans="5:8" x14ac:dyDescent="0.25">
      <c r="E1218" t="str">
        <f>""</f>
        <v/>
      </c>
      <c r="F1218" t="str">
        <f>""</f>
        <v/>
      </c>
      <c r="H1218" t="str">
        <f t="shared" si="20"/>
        <v>GUARDIAN</v>
      </c>
    </row>
    <row r="1219" spans="5:8" x14ac:dyDescent="0.25">
      <c r="E1219" t="str">
        <f>""</f>
        <v/>
      </c>
      <c r="F1219" t="str">
        <f>""</f>
        <v/>
      </c>
      <c r="H1219" t="str">
        <f t="shared" si="20"/>
        <v>GUARDIAN</v>
      </c>
    </row>
    <row r="1220" spans="5:8" x14ac:dyDescent="0.25">
      <c r="E1220" t="str">
        <f>"GDC202011100004"</f>
        <v>GDC202011100004</v>
      </c>
      <c r="F1220" t="str">
        <f>"GUARDIAN"</f>
        <v>GUARDIAN</v>
      </c>
      <c r="G1220" s="1">
        <v>135.84</v>
      </c>
      <c r="H1220" t="str">
        <f t="shared" si="20"/>
        <v>GUARDIAN</v>
      </c>
    </row>
    <row r="1221" spans="5:8" x14ac:dyDescent="0.25">
      <c r="E1221" t="str">
        <f>""</f>
        <v/>
      </c>
      <c r="F1221" t="str">
        <f>""</f>
        <v/>
      </c>
      <c r="H1221" t="str">
        <f t="shared" si="20"/>
        <v>GUARDIAN</v>
      </c>
    </row>
    <row r="1222" spans="5:8" x14ac:dyDescent="0.25">
      <c r="E1222" t="str">
        <f>"GDC202011240269"</f>
        <v>GDC202011240269</v>
      </c>
      <c r="F1222" t="str">
        <f>"GUARDIAN"</f>
        <v>GUARDIAN</v>
      </c>
      <c r="G1222" s="1">
        <v>2648.88</v>
      </c>
      <c r="H1222" t="str">
        <f t="shared" si="20"/>
        <v>GUARDIAN</v>
      </c>
    </row>
    <row r="1223" spans="5:8" x14ac:dyDescent="0.25">
      <c r="E1223" t="str">
        <f>""</f>
        <v/>
      </c>
      <c r="F1223" t="str">
        <f>""</f>
        <v/>
      </c>
      <c r="H1223" t="str">
        <f t="shared" si="20"/>
        <v>GUARDIAN</v>
      </c>
    </row>
    <row r="1224" spans="5:8" x14ac:dyDescent="0.25">
      <c r="E1224" t="str">
        <f>""</f>
        <v/>
      </c>
      <c r="F1224" t="str">
        <f>""</f>
        <v/>
      </c>
      <c r="H1224" t="str">
        <f t="shared" si="20"/>
        <v>GUARDIAN</v>
      </c>
    </row>
    <row r="1225" spans="5:8" x14ac:dyDescent="0.25">
      <c r="E1225" t="str">
        <f>""</f>
        <v/>
      </c>
      <c r="F1225" t="str">
        <f>""</f>
        <v/>
      </c>
      <c r="H1225" t="str">
        <f t="shared" si="20"/>
        <v>GUARDIAN</v>
      </c>
    </row>
    <row r="1226" spans="5:8" x14ac:dyDescent="0.25">
      <c r="E1226" t="str">
        <f>""</f>
        <v/>
      </c>
      <c r="F1226" t="str">
        <f>""</f>
        <v/>
      </c>
      <c r="H1226" t="str">
        <f t="shared" si="20"/>
        <v>GUARDIAN</v>
      </c>
    </row>
    <row r="1227" spans="5:8" x14ac:dyDescent="0.25">
      <c r="E1227" t="str">
        <f>""</f>
        <v/>
      </c>
      <c r="F1227" t="str">
        <f>""</f>
        <v/>
      </c>
      <c r="H1227" t="str">
        <f t="shared" si="20"/>
        <v>GUARDIAN</v>
      </c>
    </row>
    <row r="1228" spans="5:8" x14ac:dyDescent="0.25">
      <c r="E1228" t="str">
        <f>""</f>
        <v/>
      </c>
      <c r="F1228" t="str">
        <f>""</f>
        <v/>
      </c>
      <c r="H1228" t="str">
        <f t="shared" si="20"/>
        <v>GUARDIAN</v>
      </c>
    </row>
    <row r="1229" spans="5:8" x14ac:dyDescent="0.25">
      <c r="E1229" t="str">
        <f>""</f>
        <v/>
      </c>
      <c r="F1229" t="str">
        <f>""</f>
        <v/>
      </c>
      <c r="H1229" t="str">
        <f t="shared" si="20"/>
        <v>GUARDIAN</v>
      </c>
    </row>
    <row r="1230" spans="5:8" x14ac:dyDescent="0.25">
      <c r="E1230" t="str">
        <f>""</f>
        <v/>
      </c>
      <c r="F1230" t="str">
        <f>""</f>
        <v/>
      </c>
      <c r="H1230" t="str">
        <f t="shared" si="20"/>
        <v>GUARDIAN</v>
      </c>
    </row>
    <row r="1231" spans="5:8" x14ac:dyDescent="0.25">
      <c r="E1231" t="str">
        <f>""</f>
        <v/>
      </c>
      <c r="F1231" t="str">
        <f>""</f>
        <v/>
      </c>
      <c r="H1231" t="str">
        <f t="shared" si="20"/>
        <v>GUARDIAN</v>
      </c>
    </row>
    <row r="1232" spans="5:8" x14ac:dyDescent="0.25">
      <c r="E1232" t="str">
        <f>""</f>
        <v/>
      </c>
      <c r="F1232" t="str">
        <f>""</f>
        <v/>
      </c>
      <c r="H1232" t="str">
        <f t="shared" si="20"/>
        <v>GUARDIAN</v>
      </c>
    </row>
    <row r="1233" spans="5:8" x14ac:dyDescent="0.25">
      <c r="E1233" t="str">
        <f>""</f>
        <v/>
      </c>
      <c r="F1233" t="str">
        <f>""</f>
        <v/>
      </c>
      <c r="H1233" t="str">
        <f t="shared" si="20"/>
        <v>GUARDIAN</v>
      </c>
    </row>
    <row r="1234" spans="5:8" x14ac:dyDescent="0.25">
      <c r="E1234" t="str">
        <f>""</f>
        <v/>
      </c>
      <c r="F1234" t="str">
        <f>""</f>
        <v/>
      </c>
      <c r="H1234" t="str">
        <f t="shared" si="20"/>
        <v>GUARDIAN</v>
      </c>
    </row>
    <row r="1235" spans="5:8" x14ac:dyDescent="0.25">
      <c r="E1235" t="str">
        <f>""</f>
        <v/>
      </c>
      <c r="F1235" t="str">
        <f>""</f>
        <v/>
      </c>
      <c r="H1235" t="str">
        <f t="shared" si="20"/>
        <v>GUARDIAN</v>
      </c>
    </row>
    <row r="1236" spans="5:8" x14ac:dyDescent="0.25">
      <c r="E1236" t="str">
        <f>""</f>
        <v/>
      </c>
      <c r="F1236" t="str">
        <f>""</f>
        <v/>
      </c>
      <c r="H1236" t="str">
        <f t="shared" si="20"/>
        <v>GUARDIAN</v>
      </c>
    </row>
    <row r="1237" spans="5:8" x14ac:dyDescent="0.25">
      <c r="E1237" t="str">
        <f>""</f>
        <v/>
      </c>
      <c r="F1237" t="str">
        <f>""</f>
        <v/>
      </c>
      <c r="H1237" t="str">
        <f t="shared" si="20"/>
        <v>GUARDIAN</v>
      </c>
    </row>
    <row r="1238" spans="5:8" x14ac:dyDescent="0.25">
      <c r="E1238" t="str">
        <f>""</f>
        <v/>
      </c>
      <c r="F1238" t="str">
        <f>""</f>
        <v/>
      </c>
      <c r="H1238" t="str">
        <f t="shared" si="20"/>
        <v>GUARDIAN</v>
      </c>
    </row>
    <row r="1239" spans="5:8" x14ac:dyDescent="0.25">
      <c r="E1239" t="str">
        <f>""</f>
        <v/>
      </c>
      <c r="F1239" t="str">
        <f>""</f>
        <v/>
      </c>
      <c r="H1239" t="str">
        <f t="shared" si="20"/>
        <v>GUARDIAN</v>
      </c>
    </row>
    <row r="1240" spans="5:8" x14ac:dyDescent="0.25">
      <c r="E1240" t="str">
        <f>""</f>
        <v/>
      </c>
      <c r="F1240" t="str">
        <f>""</f>
        <v/>
      </c>
      <c r="H1240" t="str">
        <f t="shared" si="20"/>
        <v>GUARDIAN</v>
      </c>
    </row>
    <row r="1241" spans="5:8" x14ac:dyDescent="0.25">
      <c r="E1241" t="str">
        <f>""</f>
        <v/>
      </c>
      <c r="F1241" t="str">
        <f>""</f>
        <v/>
      </c>
      <c r="H1241" t="str">
        <f t="shared" ref="H1241:H1304" si="21">"GUARDIAN"</f>
        <v>GUARDIAN</v>
      </c>
    </row>
    <row r="1242" spans="5:8" x14ac:dyDescent="0.25">
      <c r="E1242" t="str">
        <f>""</f>
        <v/>
      </c>
      <c r="F1242" t="str">
        <f>""</f>
        <v/>
      </c>
      <c r="H1242" t="str">
        <f t="shared" si="21"/>
        <v>GUARDIAN</v>
      </c>
    </row>
    <row r="1243" spans="5:8" x14ac:dyDescent="0.25">
      <c r="E1243" t="str">
        <f>""</f>
        <v/>
      </c>
      <c r="F1243" t="str">
        <f>""</f>
        <v/>
      </c>
      <c r="H1243" t="str">
        <f t="shared" si="21"/>
        <v>GUARDIAN</v>
      </c>
    </row>
    <row r="1244" spans="5:8" x14ac:dyDescent="0.25">
      <c r="E1244" t="str">
        <f>""</f>
        <v/>
      </c>
      <c r="F1244" t="str">
        <f>""</f>
        <v/>
      </c>
      <c r="H1244" t="str">
        <f t="shared" si="21"/>
        <v>GUARDIAN</v>
      </c>
    </row>
    <row r="1245" spans="5:8" x14ac:dyDescent="0.25">
      <c r="E1245" t="str">
        <f>""</f>
        <v/>
      </c>
      <c r="F1245" t="str">
        <f>""</f>
        <v/>
      </c>
      <c r="H1245" t="str">
        <f t="shared" si="21"/>
        <v>GUARDIAN</v>
      </c>
    </row>
    <row r="1246" spans="5:8" x14ac:dyDescent="0.25">
      <c r="E1246" t="str">
        <f>""</f>
        <v/>
      </c>
      <c r="F1246" t="str">
        <f>""</f>
        <v/>
      </c>
      <c r="H1246" t="str">
        <f t="shared" si="21"/>
        <v>GUARDIAN</v>
      </c>
    </row>
    <row r="1247" spans="5:8" x14ac:dyDescent="0.25">
      <c r="E1247" t="str">
        <f>""</f>
        <v/>
      </c>
      <c r="F1247" t="str">
        <f>""</f>
        <v/>
      </c>
      <c r="H1247" t="str">
        <f t="shared" si="21"/>
        <v>GUARDIAN</v>
      </c>
    </row>
    <row r="1248" spans="5:8" x14ac:dyDescent="0.25">
      <c r="E1248" t="str">
        <f>""</f>
        <v/>
      </c>
      <c r="F1248" t="str">
        <f>""</f>
        <v/>
      </c>
      <c r="H1248" t="str">
        <f t="shared" si="21"/>
        <v>GUARDIAN</v>
      </c>
    </row>
    <row r="1249" spans="5:8" x14ac:dyDescent="0.25">
      <c r="E1249" t="str">
        <f>""</f>
        <v/>
      </c>
      <c r="F1249" t="str">
        <f>""</f>
        <v/>
      </c>
      <c r="H1249" t="str">
        <f t="shared" si="21"/>
        <v>GUARDIAN</v>
      </c>
    </row>
    <row r="1250" spans="5:8" x14ac:dyDescent="0.25">
      <c r="E1250" t="str">
        <f>""</f>
        <v/>
      </c>
      <c r="F1250" t="str">
        <f>""</f>
        <v/>
      </c>
      <c r="H1250" t="str">
        <f t="shared" si="21"/>
        <v>GUARDIAN</v>
      </c>
    </row>
    <row r="1251" spans="5:8" x14ac:dyDescent="0.25">
      <c r="E1251" t="str">
        <f>""</f>
        <v/>
      </c>
      <c r="F1251" t="str">
        <f>""</f>
        <v/>
      </c>
      <c r="H1251" t="str">
        <f t="shared" si="21"/>
        <v>GUARDIAN</v>
      </c>
    </row>
    <row r="1252" spans="5:8" x14ac:dyDescent="0.25">
      <c r="E1252" t="str">
        <f>""</f>
        <v/>
      </c>
      <c r="F1252" t="str">
        <f>""</f>
        <v/>
      </c>
      <c r="H1252" t="str">
        <f t="shared" si="21"/>
        <v>GUARDIAN</v>
      </c>
    </row>
    <row r="1253" spans="5:8" x14ac:dyDescent="0.25">
      <c r="E1253" t="str">
        <f>"GDC202011240270"</f>
        <v>GDC202011240270</v>
      </c>
      <c r="F1253" t="str">
        <f>"GUARDIAN"</f>
        <v>GUARDIAN</v>
      </c>
      <c r="G1253" s="1">
        <v>135.84</v>
      </c>
      <c r="H1253" t="str">
        <f t="shared" si="21"/>
        <v>GUARDIAN</v>
      </c>
    </row>
    <row r="1254" spans="5:8" x14ac:dyDescent="0.25">
      <c r="E1254" t="str">
        <f>""</f>
        <v/>
      </c>
      <c r="F1254" t="str">
        <f>""</f>
        <v/>
      </c>
      <c r="H1254" t="str">
        <f t="shared" si="21"/>
        <v>GUARDIAN</v>
      </c>
    </row>
    <row r="1255" spans="5:8" x14ac:dyDescent="0.25">
      <c r="E1255" t="str">
        <f>"GDE202011100003"</f>
        <v>GDE202011100003</v>
      </c>
      <c r="F1255" t="str">
        <f>"GUARDIAN"</f>
        <v>GUARDIAN</v>
      </c>
      <c r="G1255" s="1">
        <v>4386.1499999999996</v>
      </c>
      <c r="H1255" t="str">
        <f t="shared" si="21"/>
        <v>GUARDIAN</v>
      </c>
    </row>
    <row r="1256" spans="5:8" x14ac:dyDescent="0.25">
      <c r="E1256" t="str">
        <f>""</f>
        <v/>
      </c>
      <c r="F1256" t="str">
        <f>""</f>
        <v/>
      </c>
      <c r="H1256" t="str">
        <f t="shared" si="21"/>
        <v>GUARDIAN</v>
      </c>
    </row>
    <row r="1257" spans="5:8" x14ac:dyDescent="0.25">
      <c r="E1257" t="str">
        <f>""</f>
        <v/>
      </c>
      <c r="F1257" t="str">
        <f>""</f>
        <v/>
      </c>
      <c r="H1257" t="str">
        <f t="shared" si="21"/>
        <v>GUARDIAN</v>
      </c>
    </row>
    <row r="1258" spans="5:8" x14ac:dyDescent="0.25">
      <c r="E1258" t="str">
        <f>""</f>
        <v/>
      </c>
      <c r="F1258" t="str">
        <f>""</f>
        <v/>
      </c>
      <c r="H1258" t="str">
        <f t="shared" si="21"/>
        <v>GUARDIAN</v>
      </c>
    </row>
    <row r="1259" spans="5:8" x14ac:dyDescent="0.25">
      <c r="E1259" t="str">
        <f>""</f>
        <v/>
      </c>
      <c r="F1259" t="str">
        <f>""</f>
        <v/>
      </c>
      <c r="H1259" t="str">
        <f t="shared" si="21"/>
        <v>GUARDIAN</v>
      </c>
    </row>
    <row r="1260" spans="5:8" x14ac:dyDescent="0.25">
      <c r="E1260" t="str">
        <f>""</f>
        <v/>
      </c>
      <c r="F1260" t="str">
        <f>""</f>
        <v/>
      </c>
      <c r="H1260" t="str">
        <f t="shared" si="21"/>
        <v>GUARDIAN</v>
      </c>
    </row>
    <row r="1261" spans="5:8" x14ac:dyDescent="0.25">
      <c r="E1261" t="str">
        <f>""</f>
        <v/>
      </c>
      <c r="F1261" t="str">
        <f>""</f>
        <v/>
      </c>
      <c r="H1261" t="str">
        <f t="shared" si="21"/>
        <v>GUARDIAN</v>
      </c>
    </row>
    <row r="1262" spans="5:8" x14ac:dyDescent="0.25">
      <c r="E1262" t="str">
        <f>""</f>
        <v/>
      </c>
      <c r="F1262" t="str">
        <f>""</f>
        <v/>
      </c>
      <c r="H1262" t="str">
        <f t="shared" si="21"/>
        <v>GUARDIAN</v>
      </c>
    </row>
    <row r="1263" spans="5:8" x14ac:dyDescent="0.25">
      <c r="E1263" t="str">
        <f>""</f>
        <v/>
      </c>
      <c r="F1263" t="str">
        <f>""</f>
        <v/>
      </c>
      <c r="H1263" t="str">
        <f t="shared" si="21"/>
        <v>GUARDIAN</v>
      </c>
    </row>
    <row r="1264" spans="5:8" x14ac:dyDescent="0.25">
      <c r="E1264" t="str">
        <f>""</f>
        <v/>
      </c>
      <c r="F1264" t="str">
        <f>""</f>
        <v/>
      </c>
      <c r="H1264" t="str">
        <f t="shared" si="21"/>
        <v>GUARDIAN</v>
      </c>
    </row>
    <row r="1265" spans="5:8" x14ac:dyDescent="0.25">
      <c r="E1265" t="str">
        <f>""</f>
        <v/>
      </c>
      <c r="F1265" t="str">
        <f>""</f>
        <v/>
      </c>
      <c r="H1265" t="str">
        <f t="shared" si="21"/>
        <v>GUARDIAN</v>
      </c>
    </row>
    <row r="1266" spans="5:8" x14ac:dyDescent="0.25">
      <c r="E1266" t="str">
        <f>""</f>
        <v/>
      </c>
      <c r="F1266" t="str">
        <f>""</f>
        <v/>
      </c>
      <c r="H1266" t="str">
        <f t="shared" si="21"/>
        <v>GUARDIAN</v>
      </c>
    </row>
    <row r="1267" spans="5:8" x14ac:dyDescent="0.25">
      <c r="E1267" t="str">
        <f>""</f>
        <v/>
      </c>
      <c r="F1267" t="str">
        <f>""</f>
        <v/>
      </c>
      <c r="H1267" t="str">
        <f t="shared" si="21"/>
        <v>GUARDIAN</v>
      </c>
    </row>
    <row r="1268" spans="5:8" x14ac:dyDescent="0.25">
      <c r="E1268" t="str">
        <f>""</f>
        <v/>
      </c>
      <c r="F1268" t="str">
        <f>""</f>
        <v/>
      </c>
      <c r="H1268" t="str">
        <f t="shared" si="21"/>
        <v>GUARDIAN</v>
      </c>
    </row>
    <row r="1269" spans="5:8" x14ac:dyDescent="0.25">
      <c r="E1269" t="str">
        <f>""</f>
        <v/>
      </c>
      <c r="F1269" t="str">
        <f>""</f>
        <v/>
      </c>
      <c r="H1269" t="str">
        <f t="shared" si="21"/>
        <v>GUARDIAN</v>
      </c>
    </row>
    <row r="1270" spans="5:8" x14ac:dyDescent="0.25">
      <c r="E1270" t="str">
        <f>""</f>
        <v/>
      </c>
      <c r="F1270" t="str">
        <f>""</f>
        <v/>
      </c>
      <c r="H1270" t="str">
        <f t="shared" si="21"/>
        <v>GUARDIAN</v>
      </c>
    </row>
    <row r="1271" spans="5:8" x14ac:dyDescent="0.25">
      <c r="E1271" t="str">
        <f>""</f>
        <v/>
      </c>
      <c r="F1271" t="str">
        <f>""</f>
        <v/>
      </c>
      <c r="H1271" t="str">
        <f t="shared" si="21"/>
        <v>GUARDIAN</v>
      </c>
    </row>
    <row r="1272" spans="5:8" x14ac:dyDescent="0.25">
      <c r="E1272" t="str">
        <f>""</f>
        <v/>
      </c>
      <c r="F1272" t="str">
        <f>""</f>
        <v/>
      </c>
      <c r="H1272" t="str">
        <f t="shared" si="21"/>
        <v>GUARDIAN</v>
      </c>
    </row>
    <row r="1273" spans="5:8" x14ac:dyDescent="0.25">
      <c r="E1273" t="str">
        <f>""</f>
        <v/>
      </c>
      <c r="F1273" t="str">
        <f>""</f>
        <v/>
      </c>
      <c r="H1273" t="str">
        <f t="shared" si="21"/>
        <v>GUARDIAN</v>
      </c>
    </row>
    <row r="1274" spans="5:8" x14ac:dyDescent="0.25">
      <c r="E1274" t="str">
        <f>""</f>
        <v/>
      </c>
      <c r="F1274" t="str">
        <f>""</f>
        <v/>
      </c>
      <c r="H1274" t="str">
        <f t="shared" si="21"/>
        <v>GUARDIAN</v>
      </c>
    </row>
    <row r="1275" spans="5:8" x14ac:dyDescent="0.25">
      <c r="E1275" t="str">
        <f>""</f>
        <v/>
      </c>
      <c r="F1275" t="str">
        <f>""</f>
        <v/>
      </c>
      <c r="H1275" t="str">
        <f t="shared" si="21"/>
        <v>GUARDIAN</v>
      </c>
    </row>
    <row r="1276" spans="5:8" x14ac:dyDescent="0.25">
      <c r="E1276" t="str">
        <f>""</f>
        <v/>
      </c>
      <c r="F1276" t="str">
        <f>""</f>
        <v/>
      </c>
      <c r="H1276" t="str">
        <f t="shared" si="21"/>
        <v>GUARDIAN</v>
      </c>
    </row>
    <row r="1277" spans="5:8" x14ac:dyDescent="0.25">
      <c r="E1277" t="str">
        <f>""</f>
        <v/>
      </c>
      <c r="F1277" t="str">
        <f>""</f>
        <v/>
      </c>
      <c r="H1277" t="str">
        <f t="shared" si="21"/>
        <v>GUARDIAN</v>
      </c>
    </row>
    <row r="1278" spans="5:8" x14ac:dyDescent="0.25">
      <c r="E1278" t="str">
        <f>""</f>
        <v/>
      </c>
      <c r="F1278" t="str">
        <f>""</f>
        <v/>
      </c>
      <c r="H1278" t="str">
        <f t="shared" si="21"/>
        <v>GUARDIAN</v>
      </c>
    </row>
    <row r="1279" spans="5:8" x14ac:dyDescent="0.25">
      <c r="E1279" t="str">
        <f>""</f>
        <v/>
      </c>
      <c r="F1279" t="str">
        <f>""</f>
        <v/>
      </c>
      <c r="H1279" t="str">
        <f t="shared" si="21"/>
        <v>GUARDIAN</v>
      </c>
    </row>
    <row r="1280" spans="5:8" x14ac:dyDescent="0.25">
      <c r="E1280" t="str">
        <f>""</f>
        <v/>
      </c>
      <c r="F1280" t="str">
        <f>""</f>
        <v/>
      </c>
      <c r="H1280" t="str">
        <f t="shared" si="21"/>
        <v>GUARDIAN</v>
      </c>
    </row>
    <row r="1281" spans="5:8" x14ac:dyDescent="0.25">
      <c r="E1281" t="str">
        <f>""</f>
        <v/>
      </c>
      <c r="F1281" t="str">
        <f>""</f>
        <v/>
      </c>
      <c r="H1281" t="str">
        <f t="shared" si="21"/>
        <v>GUARDIAN</v>
      </c>
    </row>
    <row r="1282" spans="5:8" x14ac:dyDescent="0.25">
      <c r="E1282" t="str">
        <f>""</f>
        <v/>
      </c>
      <c r="F1282" t="str">
        <f>""</f>
        <v/>
      </c>
      <c r="H1282" t="str">
        <f t="shared" si="21"/>
        <v>GUARDIAN</v>
      </c>
    </row>
    <row r="1283" spans="5:8" x14ac:dyDescent="0.25">
      <c r="E1283" t="str">
        <f>""</f>
        <v/>
      </c>
      <c r="F1283" t="str">
        <f>""</f>
        <v/>
      </c>
      <c r="H1283" t="str">
        <f t="shared" si="21"/>
        <v>GUARDIAN</v>
      </c>
    </row>
    <row r="1284" spans="5:8" x14ac:dyDescent="0.25">
      <c r="E1284" t="str">
        <f>""</f>
        <v/>
      </c>
      <c r="F1284" t="str">
        <f>""</f>
        <v/>
      </c>
      <c r="H1284" t="str">
        <f t="shared" si="21"/>
        <v>GUARDIAN</v>
      </c>
    </row>
    <row r="1285" spans="5:8" x14ac:dyDescent="0.25">
      <c r="E1285" t="str">
        <f>""</f>
        <v/>
      </c>
      <c r="F1285" t="str">
        <f>""</f>
        <v/>
      </c>
      <c r="H1285" t="str">
        <f t="shared" si="21"/>
        <v>GUARDIAN</v>
      </c>
    </row>
    <row r="1286" spans="5:8" x14ac:dyDescent="0.25">
      <c r="E1286" t="str">
        <f>""</f>
        <v/>
      </c>
      <c r="F1286" t="str">
        <f>""</f>
        <v/>
      </c>
      <c r="H1286" t="str">
        <f t="shared" si="21"/>
        <v>GUARDIAN</v>
      </c>
    </row>
    <row r="1287" spans="5:8" x14ac:dyDescent="0.25">
      <c r="E1287" t="str">
        <f>""</f>
        <v/>
      </c>
      <c r="F1287" t="str">
        <f>""</f>
        <v/>
      </c>
      <c r="H1287" t="str">
        <f t="shared" si="21"/>
        <v>GUARDIAN</v>
      </c>
    </row>
    <row r="1288" spans="5:8" x14ac:dyDescent="0.25">
      <c r="E1288" t="str">
        <f>""</f>
        <v/>
      </c>
      <c r="F1288" t="str">
        <f>""</f>
        <v/>
      </c>
      <c r="H1288" t="str">
        <f t="shared" si="21"/>
        <v>GUARDIAN</v>
      </c>
    </row>
    <row r="1289" spans="5:8" x14ac:dyDescent="0.25">
      <c r="E1289" t="str">
        <f>""</f>
        <v/>
      </c>
      <c r="F1289" t="str">
        <f>""</f>
        <v/>
      </c>
      <c r="H1289" t="str">
        <f t="shared" si="21"/>
        <v>GUARDIAN</v>
      </c>
    </row>
    <row r="1290" spans="5:8" x14ac:dyDescent="0.25">
      <c r="E1290" t="str">
        <f>""</f>
        <v/>
      </c>
      <c r="F1290" t="str">
        <f>""</f>
        <v/>
      </c>
      <c r="H1290" t="str">
        <f t="shared" si="21"/>
        <v>GUARDIAN</v>
      </c>
    </row>
    <row r="1291" spans="5:8" x14ac:dyDescent="0.25">
      <c r="E1291" t="str">
        <f>""</f>
        <v/>
      </c>
      <c r="F1291" t="str">
        <f>""</f>
        <v/>
      </c>
      <c r="H1291" t="str">
        <f t="shared" si="21"/>
        <v>GUARDIAN</v>
      </c>
    </row>
    <row r="1292" spans="5:8" x14ac:dyDescent="0.25">
      <c r="E1292" t="str">
        <f>""</f>
        <v/>
      </c>
      <c r="F1292" t="str">
        <f>""</f>
        <v/>
      </c>
      <c r="H1292" t="str">
        <f t="shared" si="21"/>
        <v>GUARDIAN</v>
      </c>
    </row>
    <row r="1293" spans="5:8" x14ac:dyDescent="0.25">
      <c r="E1293" t="str">
        <f>""</f>
        <v/>
      </c>
      <c r="F1293" t="str">
        <f>""</f>
        <v/>
      </c>
      <c r="H1293" t="str">
        <f t="shared" si="21"/>
        <v>GUARDIAN</v>
      </c>
    </row>
    <row r="1294" spans="5:8" x14ac:dyDescent="0.25">
      <c r="E1294" t="str">
        <f>""</f>
        <v/>
      </c>
      <c r="F1294" t="str">
        <f>""</f>
        <v/>
      </c>
      <c r="H1294" t="str">
        <f t="shared" si="21"/>
        <v>GUARDIAN</v>
      </c>
    </row>
    <row r="1295" spans="5:8" x14ac:dyDescent="0.25">
      <c r="E1295" t="str">
        <f>""</f>
        <v/>
      </c>
      <c r="F1295" t="str">
        <f>""</f>
        <v/>
      </c>
      <c r="H1295" t="str">
        <f t="shared" si="21"/>
        <v>GUARDIAN</v>
      </c>
    </row>
    <row r="1296" spans="5:8" x14ac:dyDescent="0.25">
      <c r="E1296" t="str">
        <f>""</f>
        <v/>
      </c>
      <c r="F1296" t="str">
        <f>""</f>
        <v/>
      </c>
      <c r="H1296" t="str">
        <f t="shared" si="21"/>
        <v>GUARDIAN</v>
      </c>
    </row>
    <row r="1297" spans="5:8" x14ac:dyDescent="0.25">
      <c r="E1297" t="str">
        <f>""</f>
        <v/>
      </c>
      <c r="F1297" t="str">
        <f>""</f>
        <v/>
      </c>
      <c r="H1297" t="str">
        <f t="shared" si="21"/>
        <v>GUARDIAN</v>
      </c>
    </row>
    <row r="1298" spans="5:8" x14ac:dyDescent="0.25">
      <c r="E1298" t="str">
        <f>""</f>
        <v/>
      </c>
      <c r="F1298" t="str">
        <f>""</f>
        <v/>
      </c>
      <c r="H1298" t="str">
        <f t="shared" si="21"/>
        <v>GUARDIAN</v>
      </c>
    </row>
    <row r="1299" spans="5:8" x14ac:dyDescent="0.25">
      <c r="E1299" t="str">
        <f>""</f>
        <v/>
      </c>
      <c r="F1299" t="str">
        <f>""</f>
        <v/>
      </c>
      <c r="H1299" t="str">
        <f t="shared" si="21"/>
        <v>GUARDIAN</v>
      </c>
    </row>
    <row r="1300" spans="5:8" x14ac:dyDescent="0.25">
      <c r="E1300" t="str">
        <f>"GDE202011100004"</f>
        <v>GDE202011100004</v>
      </c>
      <c r="F1300" t="str">
        <f>"GUARDIAN"</f>
        <v>GUARDIAN</v>
      </c>
      <c r="G1300" s="1">
        <v>153.9</v>
      </c>
      <c r="H1300" t="str">
        <f t="shared" si="21"/>
        <v>GUARDIAN</v>
      </c>
    </row>
    <row r="1301" spans="5:8" x14ac:dyDescent="0.25">
      <c r="E1301" t="str">
        <f>"GDE202011240269"</f>
        <v>GDE202011240269</v>
      </c>
      <c r="F1301" t="str">
        <f>"GUARDIAN"</f>
        <v>GUARDIAN</v>
      </c>
      <c r="G1301" s="1">
        <v>4386.1499999999996</v>
      </c>
      <c r="H1301" t="str">
        <f t="shared" si="21"/>
        <v>GUARDIAN</v>
      </c>
    </row>
    <row r="1302" spans="5:8" x14ac:dyDescent="0.25">
      <c r="E1302" t="str">
        <f>""</f>
        <v/>
      </c>
      <c r="F1302" t="str">
        <f>""</f>
        <v/>
      </c>
      <c r="H1302" t="str">
        <f t="shared" si="21"/>
        <v>GUARDIAN</v>
      </c>
    </row>
    <row r="1303" spans="5:8" x14ac:dyDescent="0.25">
      <c r="E1303" t="str">
        <f>""</f>
        <v/>
      </c>
      <c r="F1303" t="str">
        <f>""</f>
        <v/>
      </c>
      <c r="H1303" t="str">
        <f t="shared" si="21"/>
        <v>GUARDIAN</v>
      </c>
    </row>
    <row r="1304" spans="5:8" x14ac:dyDescent="0.25">
      <c r="E1304" t="str">
        <f>""</f>
        <v/>
      </c>
      <c r="F1304" t="str">
        <f>""</f>
        <v/>
      </c>
      <c r="H1304" t="str">
        <f t="shared" si="21"/>
        <v>GUARDIAN</v>
      </c>
    </row>
    <row r="1305" spans="5:8" x14ac:dyDescent="0.25">
      <c r="E1305" t="str">
        <f>""</f>
        <v/>
      </c>
      <c r="F1305" t="str">
        <f>""</f>
        <v/>
      </c>
      <c r="H1305" t="str">
        <f t="shared" ref="H1305:H1368" si="22">"GUARDIAN"</f>
        <v>GUARDIAN</v>
      </c>
    </row>
    <row r="1306" spans="5:8" x14ac:dyDescent="0.25">
      <c r="E1306" t="str">
        <f>""</f>
        <v/>
      </c>
      <c r="F1306" t="str">
        <f>""</f>
        <v/>
      </c>
      <c r="H1306" t="str">
        <f t="shared" si="22"/>
        <v>GUARDIAN</v>
      </c>
    </row>
    <row r="1307" spans="5:8" x14ac:dyDescent="0.25">
      <c r="E1307" t="str">
        <f>""</f>
        <v/>
      </c>
      <c r="F1307" t="str">
        <f>""</f>
        <v/>
      </c>
      <c r="H1307" t="str">
        <f t="shared" si="22"/>
        <v>GUARDIAN</v>
      </c>
    </row>
    <row r="1308" spans="5:8" x14ac:dyDescent="0.25">
      <c r="E1308" t="str">
        <f>""</f>
        <v/>
      </c>
      <c r="F1308" t="str">
        <f>""</f>
        <v/>
      </c>
      <c r="H1308" t="str">
        <f t="shared" si="22"/>
        <v>GUARDIAN</v>
      </c>
    </row>
    <row r="1309" spans="5:8" x14ac:dyDescent="0.25">
      <c r="E1309" t="str">
        <f>""</f>
        <v/>
      </c>
      <c r="F1309" t="str">
        <f>""</f>
        <v/>
      </c>
      <c r="H1309" t="str">
        <f t="shared" si="22"/>
        <v>GUARDIAN</v>
      </c>
    </row>
    <row r="1310" spans="5:8" x14ac:dyDescent="0.25">
      <c r="E1310" t="str">
        <f>""</f>
        <v/>
      </c>
      <c r="F1310" t="str">
        <f>""</f>
        <v/>
      </c>
      <c r="H1310" t="str">
        <f t="shared" si="22"/>
        <v>GUARDIAN</v>
      </c>
    </row>
    <row r="1311" spans="5:8" x14ac:dyDescent="0.25">
      <c r="E1311" t="str">
        <f>""</f>
        <v/>
      </c>
      <c r="F1311" t="str">
        <f>""</f>
        <v/>
      </c>
      <c r="H1311" t="str">
        <f t="shared" si="22"/>
        <v>GUARDIAN</v>
      </c>
    </row>
    <row r="1312" spans="5:8" x14ac:dyDescent="0.25">
      <c r="E1312" t="str">
        <f>""</f>
        <v/>
      </c>
      <c r="F1312" t="str">
        <f>""</f>
        <v/>
      </c>
      <c r="H1312" t="str">
        <f t="shared" si="22"/>
        <v>GUARDIAN</v>
      </c>
    </row>
    <row r="1313" spans="5:8" x14ac:dyDescent="0.25">
      <c r="E1313" t="str">
        <f>""</f>
        <v/>
      </c>
      <c r="F1313" t="str">
        <f>""</f>
        <v/>
      </c>
      <c r="H1313" t="str">
        <f t="shared" si="22"/>
        <v>GUARDIAN</v>
      </c>
    </row>
    <row r="1314" spans="5:8" x14ac:dyDescent="0.25">
      <c r="E1314" t="str">
        <f>""</f>
        <v/>
      </c>
      <c r="F1314" t="str">
        <f>""</f>
        <v/>
      </c>
      <c r="H1314" t="str">
        <f t="shared" si="22"/>
        <v>GUARDIAN</v>
      </c>
    </row>
    <row r="1315" spans="5:8" x14ac:dyDescent="0.25">
      <c r="E1315" t="str">
        <f>""</f>
        <v/>
      </c>
      <c r="F1315" t="str">
        <f>""</f>
        <v/>
      </c>
      <c r="H1315" t="str">
        <f t="shared" si="22"/>
        <v>GUARDIAN</v>
      </c>
    </row>
    <row r="1316" spans="5:8" x14ac:dyDescent="0.25">
      <c r="E1316" t="str">
        <f>""</f>
        <v/>
      </c>
      <c r="F1316" t="str">
        <f>""</f>
        <v/>
      </c>
      <c r="H1316" t="str">
        <f t="shared" si="22"/>
        <v>GUARDIAN</v>
      </c>
    </row>
    <row r="1317" spans="5:8" x14ac:dyDescent="0.25">
      <c r="E1317" t="str">
        <f>""</f>
        <v/>
      </c>
      <c r="F1317" t="str">
        <f>""</f>
        <v/>
      </c>
      <c r="H1317" t="str">
        <f t="shared" si="22"/>
        <v>GUARDIAN</v>
      </c>
    </row>
    <row r="1318" spans="5:8" x14ac:dyDescent="0.25">
      <c r="E1318" t="str">
        <f>""</f>
        <v/>
      </c>
      <c r="F1318" t="str">
        <f>""</f>
        <v/>
      </c>
      <c r="H1318" t="str">
        <f t="shared" si="22"/>
        <v>GUARDIAN</v>
      </c>
    </row>
    <row r="1319" spans="5:8" x14ac:dyDescent="0.25">
      <c r="E1319" t="str">
        <f>""</f>
        <v/>
      </c>
      <c r="F1319" t="str">
        <f>""</f>
        <v/>
      </c>
      <c r="H1319" t="str">
        <f t="shared" si="22"/>
        <v>GUARDIAN</v>
      </c>
    </row>
    <row r="1320" spans="5:8" x14ac:dyDescent="0.25">
      <c r="E1320" t="str">
        <f>""</f>
        <v/>
      </c>
      <c r="F1320" t="str">
        <f>""</f>
        <v/>
      </c>
      <c r="H1320" t="str">
        <f t="shared" si="22"/>
        <v>GUARDIAN</v>
      </c>
    </row>
    <row r="1321" spans="5:8" x14ac:dyDescent="0.25">
      <c r="E1321" t="str">
        <f>""</f>
        <v/>
      </c>
      <c r="F1321" t="str">
        <f>""</f>
        <v/>
      </c>
      <c r="H1321" t="str">
        <f t="shared" si="22"/>
        <v>GUARDIAN</v>
      </c>
    </row>
    <row r="1322" spans="5:8" x14ac:dyDescent="0.25">
      <c r="E1322" t="str">
        <f>""</f>
        <v/>
      </c>
      <c r="F1322" t="str">
        <f>""</f>
        <v/>
      </c>
      <c r="H1322" t="str">
        <f t="shared" si="22"/>
        <v>GUARDIAN</v>
      </c>
    </row>
    <row r="1323" spans="5:8" x14ac:dyDescent="0.25">
      <c r="E1323" t="str">
        <f>""</f>
        <v/>
      </c>
      <c r="F1323" t="str">
        <f>""</f>
        <v/>
      </c>
      <c r="H1323" t="str">
        <f t="shared" si="22"/>
        <v>GUARDIAN</v>
      </c>
    </row>
    <row r="1324" spans="5:8" x14ac:dyDescent="0.25">
      <c r="E1324" t="str">
        <f>""</f>
        <v/>
      </c>
      <c r="F1324" t="str">
        <f>""</f>
        <v/>
      </c>
      <c r="H1324" t="str">
        <f t="shared" si="22"/>
        <v>GUARDIAN</v>
      </c>
    </row>
    <row r="1325" spans="5:8" x14ac:dyDescent="0.25">
      <c r="E1325" t="str">
        <f>""</f>
        <v/>
      </c>
      <c r="F1325" t="str">
        <f>""</f>
        <v/>
      </c>
      <c r="H1325" t="str">
        <f t="shared" si="22"/>
        <v>GUARDIAN</v>
      </c>
    </row>
    <row r="1326" spans="5:8" x14ac:dyDescent="0.25">
      <c r="E1326" t="str">
        <f>""</f>
        <v/>
      </c>
      <c r="F1326" t="str">
        <f>""</f>
        <v/>
      </c>
      <c r="H1326" t="str">
        <f t="shared" si="22"/>
        <v>GUARDIAN</v>
      </c>
    </row>
    <row r="1327" spans="5:8" x14ac:dyDescent="0.25">
      <c r="E1327" t="str">
        <f>""</f>
        <v/>
      </c>
      <c r="F1327" t="str">
        <f>""</f>
        <v/>
      </c>
      <c r="H1327" t="str">
        <f t="shared" si="22"/>
        <v>GUARDIAN</v>
      </c>
    </row>
    <row r="1328" spans="5:8" x14ac:dyDescent="0.25">
      <c r="E1328" t="str">
        <f>""</f>
        <v/>
      </c>
      <c r="F1328" t="str">
        <f>""</f>
        <v/>
      </c>
      <c r="H1328" t="str">
        <f t="shared" si="22"/>
        <v>GUARDIAN</v>
      </c>
    </row>
    <row r="1329" spans="5:8" x14ac:dyDescent="0.25">
      <c r="E1329" t="str">
        <f>""</f>
        <v/>
      </c>
      <c r="F1329" t="str">
        <f>""</f>
        <v/>
      </c>
      <c r="H1329" t="str">
        <f t="shared" si="22"/>
        <v>GUARDIAN</v>
      </c>
    </row>
    <row r="1330" spans="5:8" x14ac:dyDescent="0.25">
      <c r="E1330" t="str">
        <f>""</f>
        <v/>
      </c>
      <c r="F1330" t="str">
        <f>""</f>
        <v/>
      </c>
      <c r="H1330" t="str">
        <f t="shared" si="22"/>
        <v>GUARDIAN</v>
      </c>
    </row>
    <row r="1331" spans="5:8" x14ac:dyDescent="0.25">
      <c r="E1331" t="str">
        <f>""</f>
        <v/>
      </c>
      <c r="F1331" t="str">
        <f>""</f>
        <v/>
      </c>
      <c r="H1331" t="str">
        <f t="shared" si="22"/>
        <v>GUARDIAN</v>
      </c>
    </row>
    <row r="1332" spans="5:8" x14ac:dyDescent="0.25">
      <c r="E1332" t="str">
        <f>""</f>
        <v/>
      </c>
      <c r="F1332" t="str">
        <f>""</f>
        <v/>
      </c>
      <c r="H1332" t="str">
        <f t="shared" si="22"/>
        <v>GUARDIAN</v>
      </c>
    </row>
    <row r="1333" spans="5:8" x14ac:dyDescent="0.25">
      <c r="E1333" t="str">
        <f>""</f>
        <v/>
      </c>
      <c r="F1333" t="str">
        <f>""</f>
        <v/>
      </c>
      <c r="H1333" t="str">
        <f t="shared" si="22"/>
        <v>GUARDIAN</v>
      </c>
    </row>
    <row r="1334" spans="5:8" x14ac:dyDescent="0.25">
      <c r="E1334" t="str">
        <f>""</f>
        <v/>
      </c>
      <c r="F1334" t="str">
        <f>""</f>
        <v/>
      </c>
      <c r="H1334" t="str">
        <f t="shared" si="22"/>
        <v>GUARDIAN</v>
      </c>
    </row>
    <row r="1335" spans="5:8" x14ac:dyDescent="0.25">
      <c r="E1335" t="str">
        <f>""</f>
        <v/>
      </c>
      <c r="F1335" t="str">
        <f>""</f>
        <v/>
      </c>
      <c r="H1335" t="str">
        <f t="shared" si="22"/>
        <v>GUARDIAN</v>
      </c>
    </row>
    <row r="1336" spans="5:8" x14ac:dyDescent="0.25">
      <c r="E1336" t="str">
        <f>""</f>
        <v/>
      </c>
      <c r="F1336" t="str">
        <f>""</f>
        <v/>
      </c>
      <c r="H1336" t="str">
        <f t="shared" si="22"/>
        <v>GUARDIAN</v>
      </c>
    </row>
    <row r="1337" spans="5:8" x14ac:dyDescent="0.25">
      <c r="E1337" t="str">
        <f>""</f>
        <v/>
      </c>
      <c r="F1337" t="str">
        <f>""</f>
        <v/>
      </c>
      <c r="H1337" t="str">
        <f t="shared" si="22"/>
        <v>GUARDIAN</v>
      </c>
    </row>
    <row r="1338" spans="5:8" x14ac:dyDescent="0.25">
      <c r="E1338" t="str">
        <f>""</f>
        <v/>
      </c>
      <c r="F1338" t="str">
        <f>""</f>
        <v/>
      </c>
      <c r="H1338" t="str">
        <f t="shared" si="22"/>
        <v>GUARDIAN</v>
      </c>
    </row>
    <row r="1339" spans="5:8" x14ac:dyDescent="0.25">
      <c r="E1339" t="str">
        <f>""</f>
        <v/>
      </c>
      <c r="F1339" t="str">
        <f>""</f>
        <v/>
      </c>
      <c r="H1339" t="str">
        <f t="shared" si="22"/>
        <v>GUARDIAN</v>
      </c>
    </row>
    <row r="1340" spans="5:8" x14ac:dyDescent="0.25">
      <c r="E1340" t="str">
        <f>""</f>
        <v/>
      </c>
      <c r="F1340" t="str">
        <f>""</f>
        <v/>
      </c>
      <c r="H1340" t="str">
        <f t="shared" si="22"/>
        <v>GUARDIAN</v>
      </c>
    </row>
    <row r="1341" spans="5:8" x14ac:dyDescent="0.25">
      <c r="E1341" t="str">
        <f>""</f>
        <v/>
      </c>
      <c r="F1341" t="str">
        <f>""</f>
        <v/>
      </c>
      <c r="H1341" t="str">
        <f t="shared" si="22"/>
        <v>GUARDIAN</v>
      </c>
    </row>
    <row r="1342" spans="5:8" x14ac:dyDescent="0.25">
      <c r="E1342" t="str">
        <f>""</f>
        <v/>
      </c>
      <c r="F1342" t="str">
        <f>""</f>
        <v/>
      </c>
      <c r="H1342" t="str">
        <f t="shared" si="22"/>
        <v>GUARDIAN</v>
      </c>
    </row>
    <row r="1343" spans="5:8" x14ac:dyDescent="0.25">
      <c r="E1343" t="str">
        <f>""</f>
        <v/>
      </c>
      <c r="F1343" t="str">
        <f>""</f>
        <v/>
      </c>
      <c r="H1343" t="str">
        <f t="shared" si="22"/>
        <v>GUARDIAN</v>
      </c>
    </row>
    <row r="1344" spans="5:8" x14ac:dyDescent="0.25">
      <c r="E1344" t="str">
        <f>""</f>
        <v/>
      </c>
      <c r="F1344" t="str">
        <f>""</f>
        <v/>
      </c>
      <c r="H1344" t="str">
        <f t="shared" si="22"/>
        <v>GUARDIAN</v>
      </c>
    </row>
    <row r="1345" spans="5:8" x14ac:dyDescent="0.25">
      <c r="E1345" t="str">
        <f>""</f>
        <v/>
      </c>
      <c r="F1345" t="str">
        <f>""</f>
        <v/>
      </c>
      <c r="H1345" t="str">
        <f t="shared" si="22"/>
        <v>GUARDIAN</v>
      </c>
    </row>
    <row r="1346" spans="5:8" x14ac:dyDescent="0.25">
      <c r="E1346" t="str">
        <f>"GDE202011240270"</f>
        <v>GDE202011240270</v>
      </c>
      <c r="F1346" t="str">
        <f>"GUARDIAN"</f>
        <v>GUARDIAN</v>
      </c>
      <c r="G1346" s="1">
        <v>153.9</v>
      </c>
      <c r="H1346" t="str">
        <f t="shared" si="22"/>
        <v>GUARDIAN</v>
      </c>
    </row>
    <row r="1347" spans="5:8" x14ac:dyDescent="0.25">
      <c r="E1347" t="str">
        <f>"GDF202011100003"</f>
        <v>GDF202011100003</v>
      </c>
      <c r="F1347" t="str">
        <f>"GUARDIAN"</f>
        <v>GUARDIAN</v>
      </c>
      <c r="G1347" s="1">
        <v>2159.0300000000002</v>
      </c>
      <c r="H1347" t="str">
        <f t="shared" si="22"/>
        <v>GUARDIAN</v>
      </c>
    </row>
    <row r="1348" spans="5:8" x14ac:dyDescent="0.25">
      <c r="E1348" t="str">
        <f>""</f>
        <v/>
      </c>
      <c r="F1348" t="str">
        <f>""</f>
        <v/>
      </c>
      <c r="H1348" t="str">
        <f t="shared" si="22"/>
        <v>GUARDIAN</v>
      </c>
    </row>
    <row r="1349" spans="5:8" x14ac:dyDescent="0.25">
      <c r="E1349" t="str">
        <f>""</f>
        <v/>
      </c>
      <c r="F1349" t="str">
        <f>""</f>
        <v/>
      </c>
      <c r="H1349" t="str">
        <f t="shared" si="22"/>
        <v>GUARDIAN</v>
      </c>
    </row>
    <row r="1350" spans="5:8" x14ac:dyDescent="0.25">
      <c r="E1350" t="str">
        <f>""</f>
        <v/>
      </c>
      <c r="F1350" t="str">
        <f>""</f>
        <v/>
      </c>
      <c r="H1350" t="str">
        <f t="shared" si="22"/>
        <v>GUARDIAN</v>
      </c>
    </row>
    <row r="1351" spans="5:8" x14ac:dyDescent="0.25">
      <c r="E1351" t="str">
        <f>""</f>
        <v/>
      </c>
      <c r="F1351" t="str">
        <f>""</f>
        <v/>
      </c>
      <c r="H1351" t="str">
        <f t="shared" si="22"/>
        <v>GUARDIAN</v>
      </c>
    </row>
    <row r="1352" spans="5:8" x14ac:dyDescent="0.25">
      <c r="E1352" t="str">
        <f>""</f>
        <v/>
      </c>
      <c r="F1352" t="str">
        <f>""</f>
        <v/>
      </c>
      <c r="H1352" t="str">
        <f t="shared" si="22"/>
        <v>GUARDIAN</v>
      </c>
    </row>
    <row r="1353" spans="5:8" x14ac:dyDescent="0.25">
      <c r="E1353" t="str">
        <f>""</f>
        <v/>
      </c>
      <c r="F1353" t="str">
        <f>""</f>
        <v/>
      </c>
      <c r="H1353" t="str">
        <f t="shared" si="22"/>
        <v>GUARDIAN</v>
      </c>
    </row>
    <row r="1354" spans="5:8" x14ac:dyDescent="0.25">
      <c r="E1354" t="str">
        <f>""</f>
        <v/>
      </c>
      <c r="F1354" t="str">
        <f>""</f>
        <v/>
      </c>
      <c r="H1354" t="str">
        <f t="shared" si="22"/>
        <v>GUARDIAN</v>
      </c>
    </row>
    <row r="1355" spans="5:8" x14ac:dyDescent="0.25">
      <c r="E1355" t="str">
        <f>""</f>
        <v/>
      </c>
      <c r="F1355" t="str">
        <f>""</f>
        <v/>
      </c>
      <c r="H1355" t="str">
        <f t="shared" si="22"/>
        <v>GUARDIAN</v>
      </c>
    </row>
    <row r="1356" spans="5:8" x14ac:dyDescent="0.25">
      <c r="E1356" t="str">
        <f>""</f>
        <v/>
      </c>
      <c r="F1356" t="str">
        <f>""</f>
        <v/>
      </c>
      <c r="H1356" t="str">
        <f t="shared" si="22"/>
        <v>GUARDIAN</v>
      </c>
    </row>
    <row r="1357" spans="5:8" x14ac:dyDescent="0.25">
      <c r="E1357" t="str">
        <f>""</f>
        <v/>
      </c>
      <c r="F1357" t="str">
        <f>""</f>
        <v/>
      </c>
      <c r="H1357" t="str">
        <f t="shared" si="22"/>
        <v>GUARDIAN</v>
      </c>
    </row>
    <row r="1358" spans="5:8" x14ac:dyDescent="0.25">
      <c r="E1358" t="str">
        <f>""</f>
        <v/>
      </c>
      <c r="F1358" t="str">
        <f>""</f>
        <v/>
      </c>
      <c r="H1358" t="str">
        <f t="shared" si="22"/>
        <v>GUARDIAN</v>
      </c>
    </row>
    <row r="1359" spans="5:8" x14ac:dyDescent="0.25">
      <c r="E1359" t="str">
        <f>""</f>
        <v/>
      </c>
      <c r="F1359" t="str">
        <f>""</f>
        <v/>
      </c>
      <c r="H1359" t="str">
        <f t="shared" si="22"/>
        <v>GUARDIAN</v>
      </c>
    </row>
    <row r="1360" spans="5:8" x14ac:dyDescent="0.25">
      <c r="E1360" t="str">
        <f>""</f>
        <v/>
      </c>
      <c r="F1360" t="str">
        <f>""</f>
        <v/>
      </c>
      <c r="H1360" t="str">
        <f t="shared" si="22"/>
        <v>GUARDIAN</v>
      </c>
    </row>
    <row r="1361" spans="5:8" x14ac:dyDescent="0.25">
      <c r="E1361" t="str">
        <f>""</f>
        <v/>
      </c>
      <c r="F1361" t="str">
        <f>""</f>
        <v/>
      </c>
      <c r="H1361" t="str">
        <f t="shared" si="22"/>
        <v>GUARDIAN</v>
      </c>
    </row>
    <row r="1362" spans="5:8" x14ac:dyDescent="0.25">
      <c r="E1362" t="str">
        <f>""</f>
        <v/>
      </c>
      <c r="F1362" t="str">
        <f>""</f>
        <v/>
      </c>
      <c r="H1362" t="str">
        <f t="shared" si="22"/>
        <v>GUARDIAN</v>
      </c>
    </row>
    <row r="1363" spans="5:8" x14ac:dyDescent="0.25">
      <c r="E1363" t="str">
        <f>""</f>
        <v/>
      </c>
      <c r="F1363" t="str">
        <f>""</f>
        <v/>
      </c>
      <c r="H1363" t="str">
        <f t="shared" si="22"/>
        <v>GUARDIAN</v>
      </c>
    </row>
    <row r="1364" spans="5:8" x14ac:dyDescent="0.25">
      <c r="E1364" t="str">
        <f>""</f>
        <v/>
      </c>
      <c r="F1364" t="str">
        <f>""</f>
        <v/>
      </c>
      <c r="H1364" t="str">
        <f t="shared" si="22"/>
        <v>GUARDIAN</v>
      </c>
    </row>
    <row r="1365" spans="5:8" x14ac:dyDescent="0.25">
      <c r="E1365" t="str">
        <f>""</f>
        <v/>
      </c>
      <c r="F1365" t="str">
        <f>""</f>
        <v/>
      </c>
      <c r="H1365" t="str">
        <f t="shared" si="22"/>
        <v>GUARDIAN</v>
      </c>
    </row>
    <row r="1366" spans="5:8" x14ac:dyDescent="0.25">
      <c r="E1366" t="str">
        <f>""</f>
        <v/>
      </c>
      <c r="F1366" t="str">
        <f>""</f>
        <v/>
      </c>
      <c r="H1366" t="str">
        <f t="shared" si="22"/>
        <v>GUARDIAN</v>
      </c>
    </row>
    <row r="1367" spans="5:8" x14ac:dyDescent="0.25">
      <c r="E1367" t="str">
        <f>""</f>
        <v/>
      </c>
      <c r="F1367" t="str">
        <f>""</f>
        <v/>
      </c>
      <c r="H1367" t="str">
        <f t="shared" si="22"/>
        <v>GUARDIAN</v>
      </c>
    </row>
    <row r="1368" spans="5:8" x14ac:dyDescent="0.25">
      <c r="E1368" t="str">
        <f>""</f>
        <v/>
      </c>
      <c r="F1368" t="str">
        <f>""</f>
        <v/>
      </c>
      <c r="H1368" t="str">
        <f t="shared" si="22"/>
        <v>GUARDIAN</v>
      </c>
    </row>
    <row r="1369" spans="5:8" x14ac:dyDescent="0.25">
      <c r="E1369" t="str">
        <f>""</f>
        <v/>
      </c>
      <c r="F1369" t="str">
        <f>""</f>
        <v/>
      </c>
      <c r="H1369" t="str">
        <f t="shared" ref="H1369:H1432" si="23">"GUARDIAN"</f>
        <v>GUARDIAN</v>
      </c>
    </row>
    <row r="1370" spans="5:8" x14ac:dyDescent="0.25">
      <c r="E1370" t="str">
        <f>""</f>
        <v/>
      </c>
      <c r="F1370" t="str">
        <f>""</f>
        <v/>
      </c>
      <c r="H1370" t="str">
        <f t="shared" si="23"/>
        <v>GUARDIAN</v>
      </c>
    </row>
    <row r="1371" spans="5:8" x14ac:dyDescent="0.25">
      <c r="E1371" t="str">
        <f>"GDF202011100004"</f>
        <v>GDF202011100004</v>
      </c>
      <c r="F1371" t="str">
        <f>"GUARDIAN"</f>
        <v>GUARDIAN</v>
      </c>
      <c r="G1371" s="1">
        <v>135.24</v>
      </c>
      <c r="H1371" t="str">
        <f t="shared" si="23"/>
        <v>GUARDIAN</v>
      </c>
    </row>
    <row r="1372" spans="5:8" x14ac:dyDescent="0.25">
      <c r="E1372" t="str">
        <f>""</f>
        <v/>
      </c>
      <c r="F1372" t="str">
        <f>""</f>
        <v/>
      </c>
      <c r="H1372" t="str">
        <f t="shared" si="23"/>
        <v>GUARDIAN</v>
      </c>
    </row>
    <row r="1373" spans="5:8" x14ac:dyDescent="0.25">
      <c r="E1373" t="str">
        <f>"GDF202011240269"</f>
        <v>GDF202011240269</v>
      </c>
      <c r="F1373" t="str">
        <f>"GUARDIAN"</f>
        <v>GUARDIAN</v>
      </c>
      <c r="G1373" s="1">
        <v>2159.0300000000002</v>
      </c>
      <c r="H1373" t="str">
        <f t="shared" si="23"/>
        <v>GUARDIAN</v>
      </c>
    </row>
    <row r="1374" spans="5:8" x14ac:dyDescent="0.25">
      <c r="E1374" t="str">
        <f>""</f>
        <v/>
      </c>
      <c r="F1374" t="str">
        <f>""</f>
        <v/>
      </c>
      <c r="H1374" t="str">
        <f t="shared" si="23"/>
        <v>GUARDIAN</v>
      </c>
    </row>
    <row r="1375" spans="5:8" x14ac:dyDescent="0.25">
      <c r="E1375" t="str">
        <f>""</f>
        <v/>
      </c>
      <c r="F1375" t="str">
        <f>""</f>
        <v/>
      </c>
      <c r="H1375" t="str">
        <f t="shared" si="23"/>
        <v>GUARDIAN</v>
      </c>
    </row>
    <row r="1376" spans="5:8" x14ac:dyDescent="0.25">
      <c r="E1376" t="str">
        <f>""</f>
        <v/>
      </c>
      <c r="F1376" t="str">
        <f>""</f>
        <v/>
      </c>
      <c r="H1376" t="str">
        <f t="shared" si="23"/>
        <v>GUARDIAN</v>
      </c>
    </row>
    <row r="1377" spans="5:8" x14ac:dyDescent="0.25">
      <c r="E1377" t="str">
        <f>""</f>
        <v/>
      </c>
      <c r="F1377" t="str">
        <f>""</f>
        <v/>
      </c>
      <c r="H1377" t="str">
        <f t="shared" si="23"/>
        <v>GUARDIAN</v>
      </c>
    </row>
    <row r="1378" spans="5:8" x14ac:dyDescent="0.25">
      <c r="E1378" t="str">
        <f>""</f>
        <v/>
      </c>
      <c r="F1378" t="str">
        <f>""</f>
        <v/>
      </c>
      <c r="H1378" t="str">
        <f t="shared" si="23"/>
        <v>GUARDIAN</v>
      </c>
    </row>
    <row r="1379" spans="5:8" x14ac:dyDescent="0.25">
      <c r="E1379" t="str">
        <f>""</f>
        <v/>
      </c>
      <c r="F1379" t="str">
        <f>""</f>
        <v/>
      </c>
      <c r="H1379" t="str">
        <f t="shared" si="23"/>
        <v>GUARDIAN</v>
      </c>
    </row>
    <row r="1380" spans="5:8" x14ac:dyDescent="0.25">
      <c r="E1380" t="str">
        <f>""</f>
        <v/>
      </c>
      <c r="F1380" t="str">
        <f>""</f>
        <v/>
      </c>
      <c r="H1380" t="str">
        <f t="shared" si="23"/>
        <v>GUARDIAN</v>
      </c>
    </row>
    <row r="1381" spans="5:8" x14ac:dyDescent="0.25">
      <c r="E1381" t="str">
        <f>""</f>
        <v/>
      </c>
      <c r="F1381" t="str">
        <f>""</f>
        <v/>
      </c>
      <c r="H1381" t="str">
        <f t="shared" si="23"/>
        <v>GUARDIAN</v>
      </c>
    </row>
    <row r="1382" spans="5:8" x14ac:dyDescent="0.25">
      <c r="E1382" t="str">
        <f>""</f>
        <v/>
      </c>
      <c r="F1382" t="str">
        <f>""</f>
        <v/>
      </c>
      <c r="H1382" t="str">
        <f t="shared" si="23"/>
        <v>GUARDIAN</v>
      </c>
    </row>
    <row r="1383" spans="5:8" x14ac:dyDescent="0.25">
      <c r="E1383" t="str">
        <f>""</f>
        <v/>
      </c>
      <c r="F1383" t="str">
        <f>""</f>
        <v/>
      </c>
      <c r="H1383" t="str">
        <f t="shared" si="23"/>
        <v>GUARDIAN</v>
      </c>
    </row>
    <row r="1384" spans="5:8" x14ac:dyDescent="0.25">
      <c r="E1384" t="str">
        <f>""</f>
        <v/>
      </c>
      <c r="F1384" t="str">
        <f>""</f>
        <v/>
      </c>
      <c r="H1384" t="str">
        <f t="shared" si="23"/>
        <v>GUARDIAN</v>
      </c>
    </row>
    <row r="1385" spans="5:8" x14ac:dyDescent="0.25">
      <c r="E1385" t="str">
        <f>""</f>
        <v/>
      </c>
      <c r="F1385" t="str">
        <f>""</f>
        <v/>
      </c>
      <c r="H1385" t="str">
        <f t="shared" si="23"/>
        <v>GUARDIAN</v>
      </c>
    </row>
    <row r="1386" spans="5:8" x14ac:dyDescent="0.25">
      <c r="E1386" t="str">
        <f>""</f>
        <v/>
      </c>
      <c r="F1386" t="str">
        <f>""</f>
        <v/>
      </c>
      <c r="H1386" t="str">
        <f t="shared" si="23"/>
        <v>GUARDIAN</v>
      </c>
    </row>
    <row r="1387" spans="5:8" x14ac:dyDescent="0.25">
      <c r="E1387" t="str">
        <f>""</f>
        <v/>
      </c>
      <c r="F1387" t="str">
        <f>""</f>
        <v/>
      </c>
      <c r="H1387" t="str">
        <f t="shared" si="23"/>
        <v>GUARDIAN</v>
      </c>
    </row>
    <row r="1388" spans="5:8" x14ac:dyDescent="0.25">
      <c r="E1388" t="str">
        <f>""</f>
        <v/>
      </c>
      <c r="F1388" t="str">
        <f>""</f>
        <v/>
      </c>
      <c r="H1388" t="str">
        <f t="shared" si="23"/>
        <v>GUARDIAN</v>
      </c>
    </row>
    <row r="1389" spans="5:8" x14ac:dyDescent="0.25">
      <c r="E1389" t="str">
        <f>""</f>
        <v/>
      </c>
      <c r="F1389" t="str">
        <f>""</f>
        <v/>
      </c>
      <c r="H1389" t="str">
        <f t="shared" si="23"/>
        <v>GUARDIAN</v>
      </c>
    </row>
    <row r="1390" spans="5:8" x14ac:dyDescent="0.25">
      <c r="E1390" t="str">
        <f>""</f>
        <v/>
      </c>
      <c r="F1390" t="str">
        <f>""</f>
        <v/>
      </c>
      <c r="H1390" t="str">
        <f t="shared" si="23"/>
        <v>GUARDIAN</v>
      </c>
    </row>
    <row r="1391" spans="5:8" x14ac:dyDescent="0.25">
      <c r="E1391" t="str">
        <f>""</f>
        <v/>
      </c>
      <c r="F1391" t="str">
        <f>""</f>
        <v/>
      </c>
      <c r="H1391" t="str">
        <f t="shared" si="23"/>
        <v>GUARDIAN</v>
      </c>
    </row>
    <row r="1392" spans="5:8" x14ac:dyDescent="0.25">
      <c r="E1392" t="str">
        <f>""</f>
        <v/>
      </c>
      <c r="F1392" t="str">
        <f>""</f>
        <v/>
      </c>
      <c r="H1392" t="str">
        <f t="shared" si="23"/>
        <v>GUARDIAN</v>
      </c>
    </row>
    <row r="1393" spans="5:8" x14ac:dyDescent="0.25">
      <c r="E1393" t="str">
        <f>""</f>
        <v/>
      </c>
      <c r="F1393" t="str">
        <f>""</f>
        <v/>
      </c>
      <c r="H1393" t="str">
        <f t="shared" si="23"/>
        <v>GUARDIAN</v>
      </c>
    </row>
    <row r="1394" spans="5:8" x14ac:dyDescent="0.25">
      <c r="E1394" t="str">
        <f>""</f>
        <v/>
      </c>
      <c r="F1394" t="str">
        <f>""</f>
        <v/>
      </c>
      <c r="H1394" t="str">
        <f t="shared" si="23"/>
        <v>GUARDIAN</v>
      </c>
    </row>
    <row r="1395" spans="5:8" x14ac:dyDescent="0.25">
      <c r="E1395" t="str">
        <f>""</f>
        <v/>
      </c>
      <c r="F1395" t="str">
        <f>""</f>
        <v/>
      </c>
      <c r="H1395" t="str">
        <f t="shared" si="23"/>
        <v>GUARDIAN</v>
      </c>
    </row>
    <row r="1396" spans="5:8" x14ac:dyDescent="0.25">
      <c r="E1396" t="str">
        <f>""</f>
        <v/>
      </c>
      <c r="F1396" t="str">
        <f>""</f>
        <v/>
      </c>
      <c r="H1396" t="str">
        <f t="shared" si="23"/>
        <v>GUARDIAN</v>
      </c>
    </row>
    <row r="1397" spans="5:8" x14ac:dyDescent="0.25">
      <c r="E1397" t="str">
        <f>"GDF202011240270"</f>
        <v>GDF202011240270</v>
      </c>
      <c r="F1397" t="str">
        <f>"GUARDIAN"</f>
        <v>GUARDIAN</v>
      </c>
      <c r="G1397" s="1">
        <v>115.81</v>
      </c>
      <c r="H1397" t="str">
        <f t="shared" si="23"/>
        <v>GUARDIAN</v>
      </c>
    </row>
    <row r="1398" spans="5:8" x14ac:dyDescent="0.25">
      <c r="E1398" t="str">
        <f>""</f>
        <v/>
      </c>
      <c r="F1398" t="str">
        <f>""</f>
        <v/>
      </c>
      <c r="H1398" t="str">
        <f t="shared" si="23"/>
        <v>GUARDIAN</v>
      </c>
    </row>
    <row r="1399" spans="5:8" x14ac:dyDescent="0.25">
      <c r="E1399" t="str">
        <f>"GDS202011100003"</f>
        <v>GDS202011100003</v>
      </c>
      <c r="F1399" t="str">
        <f>"GUARDIAN"</f>
        <v>GUARDIAN</v>
      </c>
      <c r="G1399" s="1">
        <v>1861.2</v>
      </c>
      <c r="H1399" t="str">
        <f t="shared" si="23"/>
        <v>GUARDIAN</v>
      </c>
    </row>
    <row r="1400" spans="5:8" x14ac:dyDescent="0.25">
      <c r="E1400" t="str">
        <f>""</f>
        <v/>
      </c>
      <c r="F1400" t="str">
        <f>""</f>
        <v/>
      </c>
      <c r="H1400" t="str">
        <f t="shared" si="23"/>
        <v>GUARDIAN</v>
      </c>
    </row>
    <row r="1401" spans="5:8" x14ac:dyDescent="0.25">
      <c r="E1401" t="str">
        <f>""</f>
        <v/>
      </c>
      <c r="F1401" t="str">
        <f>""</f>
        <v/>
      </c>
      <c r="H1401" t="str">
        <f t="shared" si="23"/>
        <v>GUARDIAN</v>
      </c>
    </row>
    <row r="1402" spans="5:8" x14ac:dyDescent="0.25">
      <c r="E1402" t="str">
        <f>""</f>
        <v/>
      </c>
      <c r="F1402" t="str">
        <f>""</f>
        <v/>
      </c>
      <c r="H1402" t="str">
        <f t="shared" si="23"/>
        <v>GUARDIAN</v>
      </c>
    </row>
    <row r="1403" spans="5:8" x14ac:dyDescent="0.25">
      <c r="E1403" t="str">
        <f>""</f>
        <v/>
      </c>
      <c r="F1403" t="str">
        <f>""</f>
        <v/>
      </c>
      <c r="H1403" t="str">
        <f t="shared" si="23"/>
        <v>GUARDIAN</v>
      </c>
    </row>
    <row r="1404" spans="5:8" x14ac:dyDescent="0.25">
      <c r="E1404" t="str">
        <f>""</f>
        <v/>
      </c>
      <c r="F1404" t="str">
        <f>""</f>
        <v/>
      </c>
      <c r="H1404" t="str">
        <f t="shared" si="23"/>
        <v>GUARDIAN</v>
      </c>
    </row>
    <row r="1405" spans="5:8" x14ac:dyDescent="0.25">
      <c r="E1405" t="str">
        <f>""</f>
        <v/>
      </c>
      <c r="F1405" t="str">
        <f>""</f>
        <v/>
      </c>
      <c r="H1405" t="str">
        <f t="shared" si="23"/>
        <v>GUARDIAN</v>
      </c>
    </row>
    <row r="1406" spans="5:8" x14ac:dyDescent="0.25">
      <c r="E1406" t="str">
        <f>""</f>
        <v/>
      </c>
      <c r="F1406" t="str">
        <f>""</f>
        <v/>
      </c>
      <c r="H1406" t="str">
        <f t="shared" si="23"/>
        <v>GUARDIAN</v>
      </c>
    </row>
    <row r="1407" spans="5:8" x14ac:dyDescent="0.25">
      <c r="E1407" t="str">
        <f>""</f>
        <v/>
      </c>
      <c r="F1407" t="str">
        <f>""</f>
        <v/>
      </c>
      <c r="H1407" t="str">
        <f t="shared" si="23"/>
        <v>GUARDIAN</v>
      </c>
    </row>
    <row r="1408" spans="5:8" x14ac:dyDescent="0.25">
      <c r="E1408" t="str">
        <f>""</f>
        <v/>
      </c>
      <c r="F1408" t="str">
        <f>""</f>
        <v/>
      </c>
      <c r="H1408" t="str">
        <f t="shared" si="23"/>
        <v>GUARDIAN</v>
      </c>
    </row>
    <row r="1409" spans="5:8" x14ac:dyDescent="0.25">
      <c r="E1409" t="str">
        <f>""</f>
        <v/>
      </c>
      <c r="F1409" t="str">
        <f>""</f>
        <v/>
      </c>
      <c r="H1409" t="str">
        <f t="shared" si="23"/>
        <v>GUARDIAN</v>
      </c>
    </row>
    <row r="1410" spans="5:8" x14ac:dyDescent="0.25">
      <c r="E1410" t="str">
        <f>""</f>
        <v/>
      </c>
      <c r="F1410" t="str">
        <f>""</f>
        <v/>
      </c>
      <c r="H1410" t="str">
        <f t="shared" si="23"/>
        <v>GUARDIAN</v>
      </c>
    </row>
    <row r="1411" spans="5:8" x14ac:dyDescent="0.25">
      <c r="E1411" t="str">
        <f>""</f>
        <v/>
      </c>
      <c r="F1411" t="str">
        <f>""</f>
        <v/>
      </c>
      <c r="H1411" t="str">
        <f t="shared" si="23"/>
        <v>GUARDIAN</v>
      </c>
    </row>
    <row r="1412" spans="5:8" x14ac:dyDescent="0.25">
      <c r="E1412" t="str">
        <f>""</f>
        <v/>
      </c>
      <c r="F1412" t="str">
        <f>""</f>
        <v/>
      </c>
      <c r="H1412" t="str">
        <f t="shared" si="23"/>
        <v>GUARDIAN</v>
      </c>
    </row>
    <row r="1413" spans="5:8" x14ac:dyDescent="0.25">
      <c r="E1413" t="str">
        <f>""</f>
        <v/>
      </c>
      <c r="F1413" t="str">
        <f>""</f>
        <v/>
      </c>
      <c r="H1413" t="str">
        <f t="shared" si="23"/>
        <v>GUARDIAN</v>
      </c>
    </row>
    <row r="1414" spans="5:8" x14ac:dyDescent="0.25">
      <c r="E1414" t="str">
        <f>""</f>
        <v/>
      </c>
      <c r="F1414" t="str">
        <f>""</f>
        <v/>
      </c>
      <c r="H1414" t="str">
        <f t="shared" si="23"/>
        <v>GUARDIAN</v>
      </c>
    </row>
    <row r="1415" spans="5:8" x14ac:dyDescent="0.25">
      <c r="E1415" t="str">
        <f>""</f>
        <v/>
      </c>
      <c r="F1415" t="str">
        <f>""</f>
        <v/>
      </c>
      <c r="H1415" t="str">
        <f t="shared" si="23"/>
        <v>GUARDIAN</v>
      </c>
    </row>
    <row r="1416" spans="5:8" x14ac:dyDescent="0.25">
      <c r="E1416" t="str">
        <f>""</f>
        <v/>
      </c>
      <c r="F1416" t="str">
        <f>""</f>
        <v/>
      </c>
      <c r="H1416" t="str">
        <f t="shared" si="23"/>
        <v>GUARDIAN</v>
      </c>
    </row>
    <row r="1417" spans="5:8" x14ac:dyDescent="0.25">
      <c r="E1417" t="str">
        <f>""</f>
        <v/>
      </c>
      <c r="F1417" t="str">
        <f>""</f>
        <v/>
      </c>
      <c r="H1417" t="str">
        <f t="shared" si="23"/>
        <v>GUARDIAN</v>
      </c>
    </row>
    <row r="1418" spans="5:8" x14ac:dyDescent="0.25">
      <c r="E1418" t="str">
        <f>""</f>
        <v/>
      </c>
      <c r="F1418" t="str">
        <f>""</f>
        <v/>
      </c>
      <c r="H1418" t="str">
        <f t="shared" si="23"/>
        <v>GUARDIAN</v>
      </c>
    </row>
    <row r="1419" spans="5:8" x14ac:dyDescent="0.25">
      <c r="E1419" t="str">
        <f>""</f>
        <v/>
      </c>
      <c r="F1419" t="str">
        <f>""</f>
        <v/>
      </c>
      <c r="H1419" t="str">
        <f t="shared" si="23"/>
        <v>GUARDIAN</v>
      </c>
    </row>
    <row r="1420" spans="5:8" x14ac:dyDescent="0.25">
      <c r="E1420" t="str">
        <f>""</f>
        <v/>
      </c>
      <c r="F1420" t="str">
        <f>""</f>
        <v/>
      </c>
      <c r="H1420" t="str">
        <f t="shared" si="23"/>
        <v>GUARDIAN</v>
      </c>
    </row>
    <row r="1421" spans="5:8" x14ac:dyDescent="0.25">
      <c r="E1421" t="str">
        <f>""</f>
        <v/>
      </c>
      <c r="F1421" t="str">
        <f>""</f>
        <v/>
      </c>
      <c r="H1421" t="str">
        <f t="shared" si="23"/>
        <v>GUARDIAN</v>
      </c>
    </row>
    <row r="1422" spans="5:8" x14ac:dyDescent="0.25">
      <c r="E1422" t="str">
        <f>""</f>
        <v/>
      </c>
      <c r="F1422" t="str">
        <f>""</f>
        <v/>
      </c>
      <c r="H1422" t="str">
        <f t="shared" si="23"/>
        <v>GUARDIAN</v>
      </c>
    </row>
    <row r="1423" spans="5:8" x14ac:dyDescent="0.25">
      <c r="E1423" t="str">
        <f>""</f>
        <v/>
      </c>
      <c r="F1423" t="str">
        <f>""</f>
        <v/>
      </c>
      <c r="H1423" t="str">
        <f t="shared" si="23"/>
        <v>GUARDIAN</v>
      </c>
    </row>
    <row r="1424" spans="5:8" x14ac:dyDescent="0.25">
      <c r="E1424" t="str">
        <f>""</f>
        <v/>
      </c>
      <c r="F1424" t="str">
        <f>""</f>
        <v/>
      </c>
      <c r="H1424" t="str">
        <f t="shared" si="23"/>
        <v>GUARDIAN</v>
      </c>
    </row>
    <row r="1425" spans="5:8" x14ac:dyDescent="0.25">
      <c r="E1425" t="str">
        <f>"GDS202011240269"</f>
        <v>GDS202011240269</v>
      </c>
      <c r="F1425" t="str">
        <f>"GUARDIAN"</f>
        <v>GUARDIAN</v>
      </c>
      <c r="G1425" s="1">
        <v>1861.2</v>
      </c>
      <c r="H1425" t="str">
        <f t="shared" si="23"/>
        <v>GUARDIAN</v>
      </c>
    </row>
    <row r="1426" spans="5:8" x14ac:dyDescent="0.25">
      <c r="E1426" t="str">
        <f>""</f>
        <v/>
      </c>
      <c r="F1426" t="str">
        <f>""</f>
        <v/>
      </c>
      <c r="H1426" t="str">
        <f t="shared" si="23"/>
        <v>GUARDIAN</v>
      </c>
    </row>
    <row r="1427" spans="5:8" x14ac:dyDescent="0.25">
      <c r="E1427" t="str">
        <f>""</f>
        <v/>
      </c>
      <c r="F1427" t="str">
        <f>""</f>
        <v/>
      </c>
      <c r="H1427" t="str">
        <f t="shared" si="23"/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 t="shared" si="23"/>
        <v>GUARDIAN</v>
      </c>
    </row>
    <row r="1429" spans="5:8" x14ac:dyDescent="0.25">
      <c r="E1429" t="str">
        <f>""</f>
        <v/>
      </c>
      <c r="F1429" t="str">
        <f>""</f>
        <v/>
      </c>
      <c r="H1429" t="str">
        <f t="shared" si="23"/>
        <v>GUARDIAN</v>
      </c>
    </row>
    <row r="1430" spans="5:8" x14ac:dyDescent="0.25">
      <c r="E1430" t="str">
        <f>""</f>
        <v/>
      </c>
      <c r="F1430" t="str">
        <f>""</f>
        <v/>
      </c>
      <c r="H1430" t="str">
        <f t="shared" si="23"/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 t="shared" si="23"/>
        <v>GUARDIAN</v>
      </c>
    </row>
    <row r="1432" spans="5:8" x14ac:dyDescent="0.25">
      <c r="E1432" t="str">
        <f>""</f>
        <v/>
      </c>
      <c r="F1432" t="str">
        <f>""</f>
        <v/>
      </c>
      <c r="H1432" t="str">
        <f t="shared" si="23"/>
        <v>GUARDIAN</v>
      </c>
    </row>
    <row r="1433" spans="5:8" x14ac:dyDescent="0.25">
      <c r="E1433" t="str">
        <f>""</f>
        <v/>
      </c>
      <c r="F1433" t="str">
        <f>""</f>
        <v/>
      </c>
      <c r="H1433" t="str">
        <f t="shared" ref="H1433:H1450" si="24">"GUARDIAN"</f>
        <v>GUARDIAN</v>
      </c>
    </row>
    <row r="1434" spans="5:8" x14ac:dyDescent="0.25">
      <c r="E1434" t="str">
        <f>""</f>
        <v/>
      </c>
      <c r="F1434" t="str">
        <f>""</f>
        <v/>
      </c>
      <c r="H1434" t="str">
        <f t="shared" si="24"/>
        <v>GUARDIAN</v>
      </c>
    </row>
    <row r="1435" spans="5:8" x14ac:dyDescent="0.25">
      <c r="E1435" t="str">
        <f>""</f>
        <v/>
      </c>
      <c r="F1435" t="str">
        <f>""</f>
        <v/>
      </c>
      <c r="H1435" t="str">
        <f t="shared" si="24"/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 t="shared" si="24"/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 t="shared" si="24"/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 t="shared" si="24"/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 t="shared" si="24"/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 t="shared" si="24"/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 t="shared" si="24"/>
        <v>GUARDIAN</v>
      </c>
    </row>
    <row r="1442" spans="5:8" x14ac:dyDescent="0.25">
      <c r="E1442" t="str">
        <f>""</f>
        <v/>
      </c>
      <c r="F1442" t="str">
        <f>""</f>
        <v/>
      </c>
      <c r="H1442" t="str">
        <f t="shared" si="24"/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 t="shared" si="24"/>
        <v>GUARDIAN</v>
      </c>
    </row>
    <row r="1444" spans="5:8" x14ac:dyDescent="0.25">
      <c r="E1444" t="str">
        <f>""</f>
        <v/>
      </c>
      <c r="F1444" t="str">
        <f>""</f>
        <v/>
      </c>
      <c r="H1444" t="str">
        <f t="shared" si="24"/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 t="shared" si="24"/>
        <v>GUARDIAN</v>
      </c>
    </row>
    <row r="1446" spans="5:8" x14ac:dyDescent="0.25">
      <c r="E1446" t="str">
        <f>""</f>
        <v/>
      </c>
      <c r="F1446" t="str">
        <f>""</f>
        <v/>
      </c>
      <c r="H1446" t="str">
        <f t="shared" si="24"/>
        <v>GUARDIAN</v>
      </c>
    </row>
    <row r="1447" spans="5:8" x14ac:dyDescent="0.25">
      <c r="E1447" t="str">
        <f>""</f>
        <v/>
      </c>
      <c r="F1447" t="str">
        <f>""</f>
        <v/>
      </c>
      <c r="H1447" t="str">
        <f t="shared" si="24"/>
        <v>GUARDIAN</v>
      </c>
    </row>
    <row r="1448" spans="5:8" x14ac:dyDescent="0.25">
      <c r="E1448" t="str">
        <f>""</f>
        <v/>
      </c>
      <c r="F1448" t="str">
        <f>""</f>
        <v/>
      </c>
      <c r="H1448" t="str">
        <f t="shared" si="24"/>
        <v>GUARDIAN</v>
      </c>
    </row>
    <row r="1449" spans="5:8" x14ac:dyDescent="0.25">
      <c r="E1449" t="str">
        <f>""</f>
        <v/>
      </c>
      <c r="F1449" t="str">
        <f>""</f>
        <v/>
      </c>
      <c r="H1449" t="str">
        <f t="shared" si="24"/>
        <v>GUARDIAN</v>
      </c>
    </row>
    <row r="1450" spans="5:8" x14ac:dyDescent="0.25">
      <c r="E1450" t="str">
        <f>""</f>
        <v/>
      </c>
      <c r="F1450" t="str">
        <f>""</f>
        <v/>
      </c>
      <c r="H1450" t="str">
        <f t="shared" si="24"/>
        <v>GUARDIAN</v>
      </c>
    </row>
    <row r="1451" spans="5:8" x14ac:dyDescent="0.25">
      <c r="E1451" t="str">
        <f>"GV1202011100003"</f>
        <v>GV1202011100003</v>
      </c>
      <c r="F1451" t="str">
        <f>"GUARDIAN VISION"</f>
        <v>GUARDIAN VISION</v>
      </c>
      <c r="G1451" s="1">
        <v>425.6</v>
      </c>
      <c r="H1451" t="str">
        <f>"GUARDIAN VISION"</f>
        <v>GUARDIAN VISION</v>
      </c>
    </row>
    <row r="1452" spans="5:8" x14ac:dyDescent="0.25">
      <c r="E1452" t="str">
        <f>"GV1202011100004"</f>
        <v>GV1202011100004</v>
      </c>
      <c r="F1452" t="str">
        <f>"GUARDIAN VISION"</f>
        <v>GUARDIAN VISION</v>
      </c>
      <c r="G1452" s="1">
        <v>5.6</v>
      </c>
      <c r="H1452" t="str">
        <f>"GUARDIAN VISION"</f>
        <v>GUARDIAN VISION</v>
      </c>
    </row>
    <row r="1453" spans="5:8" x14ac:dyDescent="0.25">
      <c r="E1453" t="str">
        <f>"GV1202011240269"</f>
        <v>GV1202011240269</v>
      </c>
      <c r="F1453" t="str">
        <f>"GUARDIAN VISION"</f>
        <v>GUARDIAN VISION</v>
      </c>
      <c r="G1453" s="1">
        <v>425.6</v>
      </c>
      <c r="H1453" t="str">
        <f>"GUARDIAN VISION"</f>
        <v>GUARDIAN VISION</v>
      </c>
    </row>
    <row r="1454" spans="5:8" x14ac:dyDescent="0.25">
      <c r="E1454" t="str">
        <f>"GV1202011240270"</f>
        <v>GV1202011240270</v>
      </c>
      <c r="F1454" t="str">
        <f>"GUARDIAN VISION"</f>
        <v>GUARDIAN VISION</v>
      </c>
      <c r="G1454" s="1">
        <v>5.6</v>
      </c>
      <c r="H1454" t="str">
        <f>"GUARDIAN VISION"</f>
        <v>GUARDIAN VISION</v>
      </c>
    </row>
    <row r="1455" spans="5:8" x14ac:dyDescent="0.25">
      <c r="E1455" t="str">
        <f>"GVE202011100003"</f>
        <v>GVE202011100003</v>
      </c>
      <c r="F1455" t="str">
        <f>"GUARDIAN VISION VENDOR"</f>
        <v>GUARDIAN VISION VENDOR</v>
      </c>
      <c r="G1455" s="1">
        <v>586.71</v>
      </c>
      <c r="H1455" t="str">
        <f>"GUARDIAN VISION VENDOR"</f>
        <v>GUARDIAN VISION VENDOR</v>
      </c>
    </row>
    <row r="1456" spans="5:8" x14ac:dyDescent="0.25">
      <c r="E1456" t="str">
        <f>"GVE202011100004"</f>
        <v>GVE202011100004</v>
      </c>
      <c r="F1456" t="str">
        <f>"GUARDIAN VISION VENDOR"</f>
        <v>GUARDIAN VISION VENDOR</v>
      </c>
      <c r="G1456" s="1">
        <v>29.52</v>
      </c>
      <c r="H1456" t="str">
        <f>"GUARDIAN VISION VENDOR"</f>
        <v>GUARDIAN VISION VENDOR</v>
      </c>
    </row>
    <row r="1457" spans="5:8" x14ac:dyDescent="0.25">
      <c r="E1457" t="str">
        <f>"GVE202011240269"</f>
        <v>GVE202011240269</v>
      </c>
      <c r="F1457" t="str">
        <f>"GUARDIAN VISION VENDOR"</f>
        <v>GUARDIAN VISION VENDOR</v>
      </c>
      <c r="G1457" s="1">
        <v>586.71</v>
      </c>
      <c r="H1457" t="str">
        <f>"GUARDIAN VISION VENDOR"</f>
        <v>GUARDIAN VISION VENDOR</v>
      </c>
    </row>
    <row r="1458" spans="5:8" x14ac:dyDescent="0.25">
      <c r="E1458" t="str">
        <f>"GVE202011240270"</f>
        <v>GVE202011240270</v>
      </c>
      <c r="F1458" t="str">
        <f>"GUARDIAN VISION VENDOR"</f>
        <v>GUARDIAN VISION VENDOR</v>
      </c>
      <c r="G1458" s="1">
        <v>29.52</v>
      </c>
      <c r="H1458" t="str">
        <f>"GUARDIAN VISION VENDOR"</f>
        <v>GUARDIAN VISION VENDOR</v>
      </c>
    </row>
    <row r="1459" spans="5:8" x14ac:dyDescent="0.25">
      <c r="E1459" t="str">
        <f>"GVF202011100003"</f>
        <v>GVF202011100003</v>
      </c>
      <c r="F1459" t="str">
        <f>"GUARDIAN VISION"</f>
        <v>GUARDIAN VISION</v>
      </c>
      <c r="G1459" s="1">
        <v>541.75</v>
      </c>
      <c r="H1459" t="str">
        <f>"GUARDIAN VISION"</f>
        <v>GUARDIAN VISION</v>
      </c>
    </row>
    <row r="1460" spans="5:8" x14ac:dyDescent="0.25">
      <c r="E1460" t="str">
        <f>"GVF202011100004"</f>
        <v>GVF202011100004</v>
      </c>
      <c r="F1460" t="str">
        <f>"GUARDIAN VISION VENDOR"</f>
        <v>GUARDIAN VISION VENDOR</v>
      </c>
      <c r="G1460" s="1">
        <v>29.55</v>
      </c>
      <c r="H1460" t="str">
        <f>"GUARDIAN VISION VENDOR"</f>
        <v>GUARDIAN VISION VENDOR</v>
      </c>
    </row>
    <row r="1461" spans="5:8" x14ac:dyDescent="0.25">
      <c r="E1461" t="str">
        <f>"GVF202011240269"</f>
        <v>GVF202011240269</v>
      </c>
      <c r="F1461" t="str">
        <f>"GUARDIAN VISION"</f>
        <v>GUARDIAN VISION</v>
      </c>
      <c r="G1461" s="1">
        <v>541.75</v>
      </c>
      <c r="H1461" t="str">
        <f>"GUARDIAN VISION"</f>
        <v>GUARDIAN VISION</v>
      </c>
    </row>
    <row r="1462" spans="5:8" x14ac:dyDescent="0.25">
      <c r="E1462" t="str">
        <f>"GVF202011240270"</f>
        <v>GVF202011240270</v>
      </c>
      <c r="F1462" t="str">
        <f>"GUARDIAN VISION VENDOR"</f>
        <v>GUARDIAN VISION VENDOR</v>
      </c>
      <c r="G1462" s="1">
        <v>29.55</v>
      </c>
      <c r="H1462" t="str">
        <f>"GUARDIAN VISION VENDOR"</f>
        <v>GUARDIAN VISION VENDOR</v>
      </c>
    </row>
    <row r="1463" spans="5:8" x14ac:dyDescent="0.25">
      <c r="E1463" t="str">
        <f>"LIA202011100003"</f>
        <v>LIA202011100003</v>
      </c>
      <c r="F1463" t="str">
        <f>"GUARDIAN"</f>
        <v>GUARDIAN</v>
      </c>
      <c r="G1463" s="1">
        <v>199.38</v>
      </c>
      <c r="H1463" t="str">
        <f t="shared" ref="H1463:H1494" si="25">"GUARDIAN"</f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25"/>
        <v>GUARDIAN</v>
      </c>
    </row>
    <row r="1465" spans="5:8" x14ac:dyDescent="0.25">
      <c r="E1465" t="str">
        <f>"LIA202011100004"</f>
        <v>LIA202011100004</v>
      </c>
      <c r="F1465" t="str">
        <f>"GUARDIAN"</f>
        <v>GUARDIAN</v>
      </c>
      <c r="G1465" s="1">
        <v>40.799999999999997</v>
      </c>
      <c r="H1465" t="str">
        <f t="shared" si="25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25"/>
        <v>GUARDIAN</v>
      </c>
    </row>
    <row r="1467" spans="5:8" x14ac:dyDescent="0.25">
      <c r="E1467" t="str">
        <f>"LIA202011240269"</f>
        <v>LIA202011240269</v>
      </c>
      <c r="F1467" t="str">
        <f>"GUARDIAN"</f>
        <v>GUARDIAN</v>
      </c>
      <c r="G1467" s="1">
        <v>231.69</v>
      </c>
      <c r="H1467" t="str">
        <f t="shared" si="25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25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25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25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25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si="25"/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25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25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25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25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25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si="25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25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25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25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25"/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 t="shared" si="25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25"/>
        <v>GUARDIAN</v>
      </c>
    </row>
    <row r="1485" spans="5:8" x14ac:dyDescent="0.25">
      <c r="E1485" t="str">
        <f>""</f>
        <v/>
      </c>
      <c r="F1485" t="str">
        <f>""</f>
        <v/>
      </c>
      <c r="H1485" t="str">
        <f t="shared" si="25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25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25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25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25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25"/>
        <v>GUARDIAN</v>
      </c>
    </row>
    <row r="1491" spans="5:8" x14ac:dyDescent="0.25">
      <c r="E1491" t="str">
        <f>"LIA202011240270"</f>
        <v>LIA202011240270</v>
      </c>
      <c r="F1491" t="str">
        <f>"GUARDIAN"</f>
        <v>GUARDIAN</v>
      </c>
      <c r="G1491" s="1">
        <v>40.799999999999997</v>
      </c>
      <c r="H1491" t="str">
        <f t="shared" si="25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25"/>
        <v>GUARDIAN</v>
      </c>
    </row>
    <row r="1493" spans="5:8" x14ac:dyDescent="0.25">
      <c r="E1493" t="str">
        <f>"LIC202011100003"</f>
        <v>LIC202011100003</v>
      </c>
      <c r="F1493" t="str">
        <f>"GUARDIAN"</f>
        <v>GUARDIAN</v>
      </c>
      <c r="G1493" s="1">
        <v>30.41</v>
      </c>
      <c r="H1493" t="str">
        <f t="shared" si="25"/>
        <v>GUARDIAN</v>
      </c>
    </row>
    <row r="1494" spans="5:8" x14ac:dyDescent="0.25">
      <c r="E1494" t="str">
        <f>"LIC202011100004"</f>
        <v>LIC202011100004</v>
      </c>
      <c r="F1494" t="str">
        <f>"GUARDIAN"</f>
        <v>GUARDIAN</v>
      </c>
      <c r="G1494" s="1">
        <v>1.05</v>
      </c>
      <c r="H1494" t="str">
        <f t="shared" si="25"/>
        <v>GUARDIAN</v>
      </c>
    </row>
    <row r="1495" spans="5:8" x14ac:dyDescent="0.25">
      <c r="E1495" t="str">
        <f>"LIC202011240269"</f>
        <v>LIC202011240269</v>
      </c>
      <c r="F1495" t="str">
        <f>"GUARDIAN"</f>
        <v>GUARDIAN</v>
      </c>
      <c r="G1495" s="1">
        <v>32.97</v>
      </c>
      <c r="H1495" t="str">
        <f t="shared" ref="H1495:H1526" si="26">"GUARDIAN"</f>
        <v>GUARDIAN</v>
      </c>
    </row>
    <row r="1496" spans="5:8" x14ac:dyDescent="0.25">
      <c r="E1496" t="str">
        <f>"LIC202011240270"</f>
        <v>LIC202011240270</v>
      </c>
      <c r="F1496" t="str">
        <f>"GUARDIAN"</f>
        <v>GUARDIAN</v>
      </c>
      <c r="G1496" s="1">
        <v>1.05</v>
      </c>
      <c r="H1496" t="str">
        <f t="shared" si="26"/>
        <v>GUARDIAN</v>
      </c>
    </row>
    <row r="1497" spans="5:8" x14ac:dyDescent="0.25">
      <c r="E1497" t="str">
        <f>"LIE202011100003"</f>
        <v>LIE202011100003</v>
      </c>
      <c r="F1497" t="str">
        <f>"GUARDIAN"</f>
        <v>GUARDIAN</v>
      </c>
      <c r="G1497" s="1">
        <v>3906.55</v>
      </c>
      <c r="H1497" t="str">
        <f t="shared" si="26"/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 t="shared" si="26"/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 t="shared" si="26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26"/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 t="shared" si="26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26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26"/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 t="shared" si="26"/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 t="shared" si="26"/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26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26"/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 t="shared" si="26"/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 t="shared" si="26"/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 t="shared" si="26"/>
        <v>GUARDIAN</v>
      </c>
    </row>
    <row r="1511" spans="5:8" x14ac:dyDescent="0.25">
      <c r="E1511" t="str">
        <f>""</f>
        <v/>
      </c>
      <c r="F1511" t="str">
        <f>""</f>
        <v/>
      </c>
      <c r="H1511" t="str">
        <f t="shared" si="26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26"/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 t="shared" si="26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si="26"/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 t="shared" si="26"/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 t="shared" si="26"/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 t="shared" si="26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26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6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6"/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26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26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26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26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6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6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ref="H1527:H1558" si="27">"GUARDIAN"</f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27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7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7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7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7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7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7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7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7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7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7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7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7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7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27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7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7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7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7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7"/>
        <v>GUARDIAN</v>
      </c>
    </row>
    <row r="1548" spans="5:8" x14ac:dyDescent="0.25">
      <c r="E1548" t="str">
        <f>"LIE202011100004"</f>
        <v>LIE202011100004</v>
      </c>
      <c r="F1548" t="str">
        <f>"GUARDIAN"</f>
        <v>GUARDIAN</v>
      </c>
      <c r="G1548" s="1">
        <v>94.25</v>
      </c>
      <c r="H1548" t="str">
        <f t="shared" si="27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7"/>
        <v>GUARDIAN</v>
      </c>
    </row>
    <row r="1550" spans="5:8" x14ac:dyDescent="0.25">
      <c r="E1550" t="str">
        <f>"LIE202011240269"</f>
        <v>LIE202011240269</v>
      </c>
      <c r="F1550" t="str">
        <f>"GUARDIAN"</f>
        <v>GUARDIAN</v>
      </c>
      <c r="G1550" s="1">
        <v>3880.15</v>
      </c>
      <c r="H1550" t="str">
        <f t="shared" si="27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7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7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7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7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7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7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7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7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ref="H1559:H1590" si="28">"GUARDIAN"</f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8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8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28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28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28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8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28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8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28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28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8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8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8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28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28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28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28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8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8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8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8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28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8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8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8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8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8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8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8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8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8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ref="H1591:H1612" si="29">"GUARDIAN"</f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29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29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29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29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9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9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9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29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9"/>
        <v>GUARDIAN</v>
      </c>
    </row>
    <row r="1601" spans="1:8" x14ac:dyDescent="0.25">
      <c r="E1601" t="str">
        <f>"LIE202011240270"</f>
        <v>LIE202011240270</v>
      </c>
      <c r="F1601" t="str">
        <f>"GUARDIAN"</f>
        <v>GUARDIAN</v>
      </c>
      <c r="G1601" s="1">
        <v>94.25</v>
      </c>
      <c r="H1601" t="str">
        <f t="shared" si="29"/>
        <v>GUARDIAN</v>
      </c>
    </row>
    <row r="1602" spans="1:8" x14ac:dyDescent="0.25">
      <c r="E1602" t="str">
        <f>""</f>
        <v/>
      </c>
      <c r="F1602" t="str">
        <f>""</f>
        <v/>
      </c>
      <c r="H1602" t="str">
        <f t="shared" si="29"/>
        <v>GUARDIAN</v>
      </c>
    </row>
    <row r="1603" spans="1:8" x14ac:dyDescent="0.25">
      <c r="E1603" t="str">
        <f>"LIS202011100003"</f>
        <v>LIS202011100003</v>
      </c>
      <c r="F1603" t="str">
        <f t="shared" ref="F1603:F1612" si="30">"GUARDIAN"</f>
        <v>GUARDIAN</v>
      </c>
      <c r="G1603" s="1">
        <v>481.75</v>
      </c>
      <c r="H1603" t="str">
        <f t="shared" si="29"/>
        <v>GUARDIAN</v>
      </c>
    </row>
    <row r="1604" spans="1:8" x14ac:dyDescent="0.25">
      <c r="E1604" t="str">
        <f>"LIS202011100004"</f>
        <v>LIS202011100004</v>
      </c>
      <c r="F1604" t="str">
        <f t="shared" si="30"/>
        <v>GUARDIAN</v>
      </c>
      <c r="G1604" s="1">
        <v>36.15</v>
      </c>
      <c r="H1604" t="str">
        <f t="shared" si="29"/>
        <v>GUARDIAN</v>
      </c>
    </row>
    <row r="1605" spans="1:8" x14ac:dyDescent="0.25">
      <c r="E1605" t="str">
        <f>"LIS202011240269"</f>
        <v>LIS202011240269</v>
      </c>
      <c r="F1605" t="str">
        <f t="shared" si="30"/>
        <v>GUARDIAN</v>
      </c>
      <c r="G1605" s="1">
        <v>524.74</v>
      </c>
      <c r="H1605" t="str">
        <f t="shared" si="29"/>
        <v>GUARDIAN</v>
      </c>
    </row>
    <row r="1606" spans="1:8" x14ac:dyDescent="0.25">
      <c r="E1606" t="str">
        <f>"LIS202011240270"</f>
        <v>LIS202011240270</v>
      </c>
      <c r="F1606" t="str">
        <f t="shared" si="30"/>
        <v>GUARDIAN</v>
      </c>
      <c r="G1606" s="1">
        <v>36.15</v>
      </c>
      <c r="H1606" t="str">
        <f t="shared" si="29"/>
        <v>GUARDIAN</v>
      </c>
    </row>
    <row r="1607" spans="1:8" x14ac:dyDescent="0.25">
      <c r="E1607" t="str">
        <f>"LTD202011100003"</f>
        <v>LTD202011100003</v>
      </c>
      <c r="F1607" t="str">
        <f t="shared" si="30"/>
        <v>GUARDIAN</v>
      </c>
      <c r="G1607" s="1">
        <v>955.27</v>
      </c>
      <c r="H1607" t="str">
        <f t="shared" si="29"/>
        <v>GUARDIAN</v>
      </c>
    </row>
    <row r="1608" spans="1:8" x14ac:dyDescent="0.25">
      <c r="E1608" t="str">
        <f>"LTD202011240269"</f>
        <v>LTD202011240269</v>
      </c>
      <c r="F1608" t="str">
        <f t="shared" si="30"/>
        <v>GUARDIAN</v>
      </c>
      <c r="G1608" s="1">
        <v>1095.21</v>
      </c>
      <c r="H1608" t="str">
        <f t="shared" si="29"/>
        <v>GUARDIAN</v>
      </c>
    </row>
    <row r="1609" spans="1:8" x14ac:dyDescent="0.25">
      <c r="A1609" t="s">
        <v>395</v>
      </c>
      <c r="B1609">
        <v>805</v>
      </c>
      <c r="C1609" s="1">
        <v>98.36</v>
      </c>
      <c r="D1609" s="5">
        <v>44160</v>
      </c>
      <c r="E1609" t="str">
        <f>"AEG202011100003"</f>
        <v>AEG202011100003</v>
      </c>
      <c r="F1609" t="str">
        <f t="shared" si="30"/>
        <v>GUARDIAN</v>
      </c>
      <c r="G1609" s="1">
        <v>6.66</v>
      </c>
      <c r="H1609" t="str">
        <f t="shared" si="29"/>
        <v>GUARDIAN</v>
      </c>
    </row>
    <row r="1610" spans="1:8" x14ac:dyDescent="0.25">
      <c r="E1610" t="str">
        <f>"AEG202011240269"</f>
        <v>AEG202011240269</v>
      </c>
      <c r="F1610" t="str">
        <f t="shared" si="30"/>
        <v>GUARDIAN</v>
      </c>
      <c r="G1610" s="1">
        <v>6.66</v>
      </c>
      <c r="H1610" t="str">
        <f t="shared" si="29"/>
        <v>GUARDIAN</v>
      </c>
    </row>
    <row r="1611" spans="1:8" x14ac:dyDescent="0.25">
      <c r="E1611" t="str">
        <f>"AFG202011100003"</f>
        <v>AFG202011100003</v>
      </c>
      <c r="F1611" t="str">
        <f t="shared" si="30"/>
        <v>GUARDIAN</v>
      </c>
      <c r="G1611" s="1">
        <v>42.52</v>
      </c>
      <c r="H1611" t="str">
        <f t="shared" si="29"/>
        <v>GUARDIAN</v>
      </c>
    </row>
    <row r="1612" spans="1:8" x14ac:dyDescent="0.25">
      <c r="E1612" t="str">
        <f>"AFG202011240269"</f>
        <v>AFG202011240269</v>
      </c>
      <c r="F1612" t="str">
        <f t="shared" si="30"/>
        <v>GUARDIAN</v>
      </c>
      <c r="G1612" s="1">
        <v>42.52</v>
      </c>
      <c r="H1612" t="str">
        <f t="shared" si="29"/>
        <v>GUARDIAN</v>
      </c>
    </row>
    <row r="1613" spans="1:8" x14ac:dyDescent="0.25">
      <c r="A1613" t="s">
        <v>396</v>
      </c>
      <c r="B1613">
        <v>762</v>
      </c>
      <c r="C1613" s="1">
        <v>242589.81</v>
      </c>
      <c r="D1613" s="5">
        <v>44148</v>
      </c>
      <c r="E1613" t="str">
        <f>"T1 202011100003"</f>
        <v>T1 202011100003</v>
      </c>
      <c r="F1613" t="str">
        <f>"FEDERAL WITHHOLDING"</f>
        <v>FEDERAL WITHHOLDING</v>
      </c>
      <c r="G1613" s="1">
        <v>81594.16</v>
      </c>
      <c r="H1613" t="str">
        <f>"FEDERAL WITHHOLDING"</f>
        <v>FEDERAL WITHHOLDING</v>
      </c>
    </row>
    <row r="1614" spans="1:8" x14ac:dyDescent="0.25">
      <c r="E1614" t="str">
        <f>"T1 202011100004"</f>
        <v>T1 202011100004</v>
      </c>
      <c r="F1614" t="str">
        <f>"FEDERAL WITHHOLDING"</f>
        <v>FEDERAL WITHHOLDING</v>
      </c>
      <c r="G1614" s="1">
        <v>2884.59</v>
      </c>
      <c r="H1614" t="str">
        <f>"FEDERAL WITHHOLDING"</f>
        <v>FEDERAL WITHHOLDING</v>
      </c>
    </row>
    <row r="1615" spans="1:8" x14ac:dyDescent="0.25">
      <c r="E1615" t="str">
        <f>"T1 202011100005"</f>
        <v>T1 202011100005</v>
      </c>
      <c r="F1615" t="str">
        <f>"FEDERAL WITHHOLDING"</f>
        <v>FEDERAL WITHHOLDING</v>
      </c>
      <c r="G1615" s="1">
        <v>3434.4</v>
      </c>
      <c r="H1615" t="str">
        <f>"FEDERAL WITHHOLDING"</f>
        <v>FEDERAL WITHHOLDING</v>
      </c>
    </row>
    <row r="1616" spans="1:8" x14ac:dyDescent="0.25">
      <c r="E1616" t="str">
        <f>"T3 202011100003"</f>
        <v>T3 202011100003</v>
      </c>
      <c r="F1616" t="str">
        <f>"SOCIAL SECURITY TAXES"</f>
        <v>SOCIAL SECURITY TAXES</v>
      </c>
      <c r="G1616" s="1">
        <v>116241.28</v>
      </c>
      <c r="H1616" t="str">
        <f t="shared" ref="H1616:H1647" si="31">"SOCIAL SECURITY TAXES"</f>
        <v>SOCIAL SECURITY TAXES</v>
      </c>
    </row>
    <row r="1617" spans="5:8" x14ac:dyDescent="0.25">
      <c r="E1617" t="str">
        <f>""</f>
        <v/>
      </c>
      <c r="F1617" t="str">
        <f>""</f>
        <v/>
      </c>
      <c r="H1617" t="str">
        <f t="shared" si="31"/>
        <v>SOCIAL SECURITY TAXES</v>
      </c>
    </row>
    <row r="1618" spans="5:8" x14ac:dyDescent="0.25">
      <c r="E1618" t="str">
        <f>""</f>
        <v/>
      </c>
      <c r="F1618" t="str">
        <f>""</f>
        <v/>
      </c>
      <c r="H1618" t="str">
        <f t="shared" si="31"/>
        <v>SOCIAL SECURITY TAXES</v>
      </c>
    </row>
    <row r="1619" spans="5:8" x14ac:dyDescent="0.25">
      <c r="E1619" t="str">
        <f>""</f>
        <v/>
      </c>
      <c r="F1619" t="str">
        <f>""</f>
        <v/>
      </c>
      <c r="H1619" t="str">
        <f t="shared" si="31"/>
        <v>SOCIAL SECURITY TAXES</v>
      </c>
    </row>
    <row r="1620" spans="5:8" x14ac:dyDescent="0.25">
      <c r="E1620" t="str">
        <f>""</f>
        <v/>
      </c>
      <c r="F1620" t="str">
        <f>""</f>
        <v/>
      </c>
      <c r="H1620" t="str">
        <f t="shared" si="31"/>
        <v>SOCIAL SECURITY TAXES</v>
      </c>
    </row>
    <row r="1621" spans="5:8" x14ac:dyDescent="0.25">
      <c r="E1621" t="str">
        <f>""</f>
        <v/>
      </c>
      <c r="F1621" t="str">
        <f>""</f>
        <v/>
      </c>
      <c r="H1621" t="str">
        <f t="shared" si="31"/>
        <v>SOCIAL SECURITY TAXES</v>
      </c>
    </row>
    <row r="1622" spans="5:8" x14ac:dyDescent="0.25">
      <c r="E1622" t="str">
        <f>""</f>
        <v/>
      </c>
      <c r="F1622" t="str">
        <f>""</f>
        <v/>
      </c>
      <c r="H1622" t="str">
        <f t="shared" si="31"/>
        <v>SOCIAL SECURITY TAXES</v>
      </c>
    </row>
    <row r="1623" spans="5:8" x14ac:dyDescent="0.25">
      <c r="E1623" t="str">
        <f>""</f>
        <v/>
      </c>
      <c r="F1623" t="str">
        <f>""</f>
        <v/>
      </c>
      <c r="H1623" t="str">
        <f t="shared" si="31"/>
        <v>SOCIAL SECURITY TAXES</v>
      </c>
    </row>
    <row r="1624" spans="5:8" x14ac:dyDescent="0.25">
      <c r="E1624" t="str">
        <f>""</f>
        <v/>
      </c>
      <c r="F1624" t="str">
        <f>""</f>
        <v/>
      </c>
      <c r="H1624" t="str">
        <f t="shared" si="31"/>
        <v>SOCIAL SECURITY TAXES</v>
      </c>
    </row>
    <row r="1625" spans="5:8" x14ac:dyDescent="0.25">
      <c r="E1625" t="str">
        <f>""</f>
        <v/>
      </c>
      <c r="F1625" t="str">
        <f>""</f>
        <v/>
      </c>
      <c r="H1625" t="str">
        <f t="shared" si="31"/>
        <v>SOCIAL SECURITY TAXES</v>
      </c>
    </row>
    <row r="1626" spans="5:8" x14ac:dyDescent="0.25">
      <c r="E1626" t="str">
        <f>""</f>
        <v/>
      </c>
      <c r="F1626" t="str">
        <f>""</f>
        <v/>
      </c>
      <c r="H1626" t="str">
        <f t="shared" si="31"/>
        <v>SOCIAL SECURITY TAXES</v>
      </c>
    </row>
    <row r="1627" spans="5:8" x14ac:dyDescent="0.25">
      <c r="E1627" t="str">
        <f>""</f>
        <v/>
      </c>
      <c r="F1627" t="str">
        <f>""</f>
        <v/>
      </c>
      <c r="H1627" t="str">
        <f t="shared" si="31"/>
        <v>SOCIAL SECURITY TAXES</v>
      </c>
    </row>
    <row r="1628" spans="5:8" x14ac:dyDescent="0.25">
      <c r="E1628" t="str">
        <f>""</f>
        <v/>
      </c>
      <c r="F1628" t="str">
        <f>""</f>
        <v/>
      </c>
      <c r="H1628" t="str">
        <f t="shared" si="31"/>
        <v>SOCIAL SECURITY TAXES</v>
      </c>
    </row>
    <row r="1629" spans="5:8" x14ac:dyDescent="0.25">
      <c r="E1629" t="str">
        <f>""</f>
        <v/>
      </c>
      <c r="F1629" t="str">
        <f>""</f>
        <v/>
      </c>
      <c r="H1629" t="str">
        <f t="shared" si="31"/>
        <v>SOCIAL SECURITY TAXES</v>
      </c>
    </row>
    <row r="1630" spans="5:8" x14ac:dyDescent="0.25">
      <c r="E1630" t="str">
        <f>""</f>
        <v/>
      </c>
      <c r="F1630" t="str">
        <f>""</f>
        <v/>
      </c>
      <c r="H1630" t="str">
        <f t="shared" si="31"/>
        <v>SOCIAL SECURITY TAXES</v>
      </c>
    </row>
    <row r="1631" spans="5:8" x14ac:dyDescent="0.25">
      <c r="E1631" t="str">
        <f>""</f>
        <v/>
      </c>
      <c r="F1631" t="str">
        <f>""</f>
        <v/>
      </c>
      <c r="H1631" t="str">
        <f t="shared" si="31"/>
        <v>SOCIAL SECURITY TAXES</v>
      </c>
    </row>
    <row r="1632" spans="5:8" x14ac:dyDescent="0.25">
      <c r="E1632" t="str">
        <f>""</f>
        <v/>
      </c>
      <c r="F1632" t="str">
        <f>""</f>
        <v/>
      </c>
      <c r="H1632" t="str">
        <f t="shared" si="31"/>
        <v>SOCIAL SECURITY TAXES</v>
      </c>
    </row>
    <row r="1633" spans="5:8" x14ac:dyDescent="0.25">
      <c r="E1633" t="str">
        <f>""</f>
        <v/>
      </c>
      <c r="F1633" t="str">
        <f>""</f>
        <v/>
      </c>
      <c r="H1633" t="str">
        <f t="shared" si="31"/>
        <v>SOCIAL SECURITY TAXES</v>
      </c>
    </row>
    <row r="1634" spans="5:8" x14ac:dyDescent="0.25">
      <c r="E1634" t="str">
        <f>""</f>
        <v/>
      </c>
      <c r="F1634" t="str">
        <f>""</f>
        <v/>
      </c>
      <c r="H1634" t="str">
        <f t="shared" si="31"/>
        <v>SOCIAL SECURITY TAXES</v>
      </c>
    </row>
    <row r="1635" spans="5:8" x14ac:dyDescent="0.25">
      <c r="E1635" t="str">
        <f>""</f>
        <v/>
      </c>
      <c r="F1635" t="str">
        <f>""</f>
        <v/>
      </c>
      <c r="H1635" t="str">
        <f t="shared" si="31"/>
        <v>SOCIAL SECURITY TAXES</v>
      </c>
    </row>
    <row r="1636" spans="5:8" x14ac:dyDescent="0.25">
      <c r="E1636" t="str">
        <f>""</f>
        <v/>
      </c>
      <c r="F1636" t="str">
        <f>""</f>
        <v/>
      </c>
      <c r="H1636" t="str">
        <f t="shared" si="31"/>
        <v>SOCIAL SECURITY TAXES</v>
      </c>
    </row>
    <row r="1637" spans="5:8" x14ac:dyDescent="0.25">
      <c r="E1637" t="str">
        <f>""</f>
        <v/>
      </c>
      <c r="F1637" t="str">
        <f>""</f>
        <v/>
      </c>
      <c r="H1637" t="str">
        <f t="shared" si="31"/>
        <v>SOCIAL SECURITY TAXES</v>
      </c>
    </row>
    <row r="1638" spans="5:8" x14ac:dyDescent="0.25">
      <c r="E1638" t="str">
        <f>""</f>
        <v/>
      </c>
      <c r="F1638" t="str">
        <f>""</f>
        <v/>
      </c>
      <c r="H1638" t="str">
        <f t="shared" si="31"/>
        <v>SOCIAL SECURITY TAXES</v>
      </c>
    </row>
    <row r="1639" spans="5:8" x14ac:dyDescent="0.25">
      <c r="E1639" t="str">
        <f>""</f>
        <v/>
      </c>
      <c r="F1639" t="str">
        <f>""</f>
        <v/>
      </c>
      <c r="H1639" t="str">
        <f t="shared" si="31"/>
        <v>SOCIAL SECURITY TAXES</v>
      </c>
    </row>
    <row r="1640" spans="5:8" x14ac:dyDescent="0.25">
      <c r="E1640" t="str">
        <f>""</f>
        <v/>
      </c>
      <c r="F1640" t="str">
        <f>""</f>
        <v/>
      </c>
      <c r="H1640" t="str">
        <f t="shared" si="31"/>
        <v>SOCIAL SECURITY TAXES</v>
      </c>
    </row>
    <row r="1641" spans="5:8" x14ac:dyDescent="0.25">
      <c r="E1641" t="str">
        <f>""</f>
        <v/>
      </c>
      <c r="F1641" t="str">
        <f>""</f>
        <v/>
      </c>
      <c r="H1641" t="str">
        <f t="shared" si="31"/>
        <v>SOCIAL SECURITY TAXES</v>
      </c>
    </row>
    <row r="1642" spans="5:8" x14ac:dyDescent="0.25">
      <c r="E1642" t="str">
        <f>""</f>
        <v/>
      </c>
      <c r="F1642" t="str">
        <f>""</f>
        <v/>
      </c>
      <c r="H1642" t="str">
        <f t="shared" si="31"/>
        <v>SOCIAL SECURITY TAXES</v>
      </c>
    </row>
    <row r="1643" spans="5:8" x14ac:dyDescent="0.25">
      <c r="E1643" t="str">
        <f>""</f>
        <v/>
      </c>
      <c r="F1643" t="str">
        <f>""</f>
        <v/>
      </c>
      <c r="H1643" t="str">
        <f t="shared" si="31"/>
        <v>SOCIAL SECURITY TAXES</v>
      </c>
    </row>
    <row r="1644" spans="5:8" x14ac:dyDescent="0.25">
      <c r="E1644" t="str">
        <f>""</f>
        <v/>
      </c>
      <c r="F1644" t="str">
        <f>""</f>
        <v/>
      </c>
      <c r="H1644" t="str">
        <f t="shared" si="31"/>
        <v>SOCIAL SECURITY TAXES</v>
      </c>
    </row>
    <row r="1645" spans="5:8" x14ac:dyDescent="0.25">
      <c r="E1645" t="str">
        <f>""</f>
        <v/>
      </c>
      <c r="F1645" t="str">
        <f>""</f>
        <v/>
      </c>
      <c r="H1645" t="str">
        <f t="shared" si="31"/>
        <v>SOCIAL SECURITY TAXES</v>
      </c>
    </row>
    <row r="1646" spans="5:8" x14ac:dyDescent="0.25">
      <c r="E1646" t="str">
        <f>""</f>
        <v/>
      </c>
      <c r="F1646" t="str">
        <f>""</f>
        <v/>
      </c>
      <c r="H1646" t="str">
        <f t="shared" si="31"/>
        <v>SOCIAL SECURITY TAXES</v>
      </c>
    </row>
    <row r="1647" spans="5:8" x14ac:dyDescent="0.25">
      <c r="E1647" t="str">
        <f>""</f>
        <v/>
      </c>
      <c r="F1647" t="str">
        <f>""</f>
        <v/>
      </c>
      <c r="H1647" t="str">
        <f t="shared" si="31"/>
        <v>SOCIAL SECURITY TAXES</v>
      </c>
    </row>
    <row r="1648" spans="5:8" x14ac:dyDescent="0.25">
      <c r="E1648" t="str">
        <f>""</f>
        <v/>
      </c>
      <c r="F1648" t="str">
        <f>""</f>
        <v/>
      </c>
      <c r="H1648" t="str">
        <f t="shared" ref="H1648:H1673" si="32">"SOCIAL SECURITY TAXES"</f>
        <v>SOCIAL SECURITY TAXES</v>
      </c>
    </row>
    <row r="1649" spans="5:8" x14ac:dyDescent="0.25">
      <c r="E1649" t="str">
        <f>""</f>
        <v/>
      </c>
      <c r="F1649" t="str">
        <f>""</f>
        <v/>
      </c>
      <c r="H1649" t="str">
        <f t="shared" si="32"/>
        <v>SOCIAL SECURITY TAXES</v>
      </c>
    </row>
    <row r="1650" spans="5:8" x14ac:dyDescent="0.25">
      <c r="E1650" t="str">
        <f>""</f>
        <v/>
      </c>
      <c r="F1650" t="str">
        <f>""</f>
        <v/>
      </c>
      <c r="H1650" t="str">
        <f t="shared" si="32"/>
        <v>SOCIAL SECURITY TAXES</v>
      </c>
    </row>
    <row r="1651" spans="5:8" x14ac:dyDescent="0.25">
      <c r="E1651" t="str">
        <f>""</f>
        <v/>
      </c>
      <c r="F1651" t="str">
        <f>""</f>
        <v/>
      </c>
      <c r="H1651" t="str">
        <f t="shared" si="32"/>
        <v>SOCIAL SECURITY TAXES</v>
      </c>
    </row>
    <row r="1652" spans="5:8" x14ac:dyDescent="0.25">
      <c r="E1652" t="str">
        <f>""</f>
        <v/>
      </c>
      <c r="F1652" t="str">
        <f>""</f>
        <v/>
      </c>
      <c r="H1652" t="str">
        <f t="shared" si="32"/>
        <v>SOCIAL SECURITY TAXES</v>
      </c>
    </row>
    <row r="1653" spans="5:8" x14ac:dyDescent="0.25">
      <c r="E1653" t="str">
        <f>""</f>
        <v/>
      </c>
      <c r="F1653" t="str">
        <f>""</f>
        <v/>
      </c>
      <c r="H1653" t="str">
        <f t="shared" si="32"/>
        <v>SOCIAL SECURITY TAXES</v>
      </c>
    </row>
    <row r="1654" spans="5:8" x14ac:dyDescent="0.25">
      <c r="E1654" t="str">
        <f>""</f>
        <v/>
      </c>
      <c r="F1654" t="str">
        <f>""</f>
        <v/>
      </c>
      <c r="H1654" t="str">
        <f t="shared" si="32"/>
        <v>SOCIAL SECURITY TAXES</v>
      </c>
    </row>
    <row r="1655" spans="5:8" x14ac:dyDescent="0.25">
      <c r="E1655" t="str">
        <f>""</f>
        <v/>
      </c>
      <c r="F1655" t="str">
        <f>""</f>
        <v/>
      </c>
      <c r="H1655" t="str">
        <f t="shared" si="32"/>
        <v>SOCIAL SECURITY TAXES</v>
      </c>
    </row>
    <row r="1656" spans="5:8" x14ac:dyDescent="0.25">
      <c r="E1656" t="str">
        <f>""</f>
        <v/>
      </c>
      <c r="F1656" t="str">
        <f>""</f>
        <v/>
      </c>
      <c r="H1656" t="str">
        <f t="shared" si="32"/>
        <v>SOCIAL SECURITY TAXES</v>
      </c>
    </row>
    <row r="1657" spans="5:8" x14ac:dyDescent="0.25">
      <c r="E1657" t="str">
        <f>""</f>
        <v/>
      </c>
      <c r="F1657" t="str">
        <f>""</f>
        <v/>
      </c>
      <c r="H1657" t="str">
        <f t="shared" si="32"/>
        <v>SOCIAL SECURITY TAXES</v>
      </c>
    </row>
    <row r="1658" spans="5:8" x14ac:dyDescent="0.25">
      <c r="E1658" t="str">
        <f>""</f>
        <v/>
      </c>
      <c r="F1658" t="str">
        <f>""</f>
        <v/>
      </c>
      <c r="H1658" t="str">
        <f t="shared" si="32"/>
        <v>SOCIAL SECURITY TAXES</v>
      </c>
    </row>
    <row r="1659" spans="5:8" x14ac:dyDescent="0.25">
      <c r="E1659" t="str">
        <f>""</f>
        <v/>
      </c>
      <c r="F1659" t="str">
        <f>""</f>
        <v/>
      </c>
      <c r="H1659" t="str">
        <f t="shared" si="32"/>
        <v>SOCIAL SECURITY TAXES</v>
      </c>
    </row>
    <row r="1660" spans="5:8" x14ac:dyDescent="0.25">
      <c r="E1660" t="str">
        <f>""</f>
        <v/>
      </c>
      <c r="F1660" t="str">
        <f>""</f>
        <v/>
      </c>
      <c r="H1660" t="str">
        <f t="shared" si="32"/>
        <v>SOCIAL SECURITY TAXES</v>
      </c>
    </row>
    <row r="1661" spans="5:8" x14ac:dyDescent="0.25">
      <c r="E1661" t="str">
        <f>""</f>
        <v/>
      </c>
      <c r="F1661" t="str">
        <f>""</f>
        <v/>
      </c>
      <c r="H1661" t="str">
        <f t="shared" si="32"/>
        <v>SOCIAL SECURITY TAXES</v>
      </c>
    </row>
    <row r="1662" spans="5:8" x14ac:dyDescent="0.25">
      <c r="E1662" t="str">
        <f>""</f>
        <v/>
      </c>
      <c r="F1662" t="str">
        <f>""</f>
        <v/>
      </c>
      <c r="H1662" t="str">
        <f t="shared" si="32"/>
        <v>SOCIAL SECURITY TAXES</v>
      </c>
    </row>
    <row r="1663" spans="5:8" x14ac:dyDescent="0.25">
      <c r="E1663" t="str">
        <f>""</f>
        <v/>
      </c>
      <c r="F1663" t="str">
        <f>""</f>
        <v/>
      </c>
      <c r="H1663" t="str">
        <f t="shared" si="32"/>
        <v>SOCIAL SECURITY TAXES</v>
      </c>
    </row>
    <row r="1664" spans="5:8" x14ac:dyDescent="0.25">
      <c r="E1664" t="str">
        <f>""</f>
        <v/>
      </c>
      <c r="F1664" t="str">
        <f>""</f>
        <v/>
      </c>
      <c r="H1664" t="str">
        <f t="shared" si="32"/>
        <v>SOCIAL SECURITY TAXES</v>
      </c>
    </row>
    <row r="1665" spans="5:8" x14ac:dyDescent="0.25">
      <c r="E1665" t="str">
        <f>""</f>
        <v/>
      </c>
      <c r="F1665" t="str">
        <f>""</f>
        <v/>
      </c>
      <c r="H1665" t="str">
        <f t="shared" si="32"/>
        <v>SOCIAL SECURITY TAXES</v>
      </c>
    </row>
    <row r="1666" spans="5:8" x14ac:dyDescent="0.25">
      <c r="E1666" t="str">
        <f>""</f>
        <v/>
      </c>
      <c r="F1666" t="str">
        <f>""</f>
        <v/>
      </c>
      <c r="H1666" t="str">
        <f t="shared" si="32"/>
        <v>SOCIAL SECURITY TAXES</v>
      </c>
    </row>
    <row r="1667" spans="5:8" x14ac:dyDescent="0.25">
      <c r="E1667" t="str">
        <f>""</f>
        <v/>
      </c>
      <c r="F1667" t="str">
        <f>""</f>
        <v/>
      </c>
      <c r="H1667" t="str">
        <f t="shared" si="32"/>
        <v>SOCIAL SECURITY TAXES</v>
      </c>
    </row>
    <row r="1668" spans="5:8" x14ac:dyDescent="0.25">
      <c r="E1668" t="str">
        <f>""</f>
        <v/>
      </c>
      <c r="F1668" t="str">
        <f>""</f>
        <v/>
      </c>
      <c r="H1668" t="str">
        <f t="shared" si="32"/>
        <v>SOCIAL SECURITY TAXES</v>
      </c>
    </row>
    <row r="1669" spans="5:8" x14ac:dyDescent="0.25">
      <c r="E1669" t="str">
        <f>""</f>
        <v/>
      </c>
      <c r="F1669" t="str">
        <f>""</f>
        <v/>
      </c>
      <c r="H1669" t="str">
        <f t="shared" si="32"/>
        <v>SOCIAL SECURITY TAXES</v>
      </c>
    </row>
    <row r="1670" spans="5:8" x14ac:dyDescent="0.25">
      <c r="E1670" t="str">
        <f>"T3 202011100004"</f>
        <v>T3 202011100004</v>
      </c>
      <c r="F1670" t="str">
        <f>"SOCIAL SECURITY TAXES"</f>
        <v>SOCIAL SECURITY TAXES</v>
      </c>
      <c r="G1670" s="1">
        <v>4028.26</v>
      </c>
      <c r="H1670" t="str">
        <f t="shared" si="32"/>
        <v>SOCIAL SECURITY TAXES</v>
      </c>
    </row>
    <row r="1671" spans="5:8" x14ac:dyDescent="0.25">
      <c r="E1671" t="str">
        <f>""</f>
        <v/>
      </c>
      <c r="F1671" t="str">
        <f>""</f>
        <v/>
      </c>
      <c r="H1671" t="str">
        <f t="shared" si="32"/>
        <v>SOCIAL SECURITY TAXES</v>
      </c>
    </row>
    <row r="1672" spans="5:8" x14ac:dyDescent="0.25">
      <c r="E1672" t="str">
        <f>"T3 202011100005"</f>
        <v>T3 202011100005</v>
      </c>
      <c r="F1672" t="str">
        <f>"SOCIAL SECURITY TAXES"</f>
        <v>SOCIAL SECURITY TAXES</v>
      </c>
      <c r="G1672" s="1">
        <v>4927.96</v>
      </c>
      <c r="H1672" t="str">
        <f t="shared" si="32"/>
        <v>SOCIAL SECURITY TAXES</v>
      </c>
    </row>
    <row r="1673" spans="5:8" x14ac:dyDescent="0.25">
      <c r="E1673" t="str">
        <f>""</f>
        <v/>
      </c>
      <c r="F1673" t="str">
        <f>""</f>
        <v/>
      </c>
      <c r="H1673" t="str">
        <f t="shared" si="32"/>
        <v>SOCIAL SECURITY TAXES</v>
      </c>
    </row>
    <row r="1674" spans="5:8" x14ac:dyDescent="0.25">
      <c r="E1674" t="str">
        <f>"T4 202011100003"</f>
        <v>T4 202011100003</v>
      </c>
      <c r="F1674" t="str">
        <f>"MEDICARE TAXES"</f>
        <v>MEDICARE TAXES</v>
      </c>
      <c r="G1674" s="1">
        <v>27384.5</v>
      </c>
      <c r="H1674" t="str">
        <f t="shared" ref="H1674:H1705" si="33">"MEDICARE TAXES"</f>
        <v>MEDICARE TAXES</v>
      </c>
    </row>
    <row r="1675" spans="5:8" x14ac:dyDescent="0.25">
      <c r="E1675" t="str">
        <f>""</f>
        <v/>
      </c>
      <c r="F1675" t="str">
        <f>""</f>
        <v/>
      </c>
      <c r="H1675" t="str">
        <f t="shared" si="33"/>
        <v>MEDICARE TAXES</v>
      </c>
    </row>
    <row r="1676" spans="5:8" x14ac:dyDescent="0.25">
      <c r="E1676" t="str">
        <f>""</f>
        <v/>
      </c>
      <c r="F1676" t="str">
        <f>""</f>
        <v/>
      </c>
      <c r="H1676" t="str">
        <f t="shared" si="33"/>
        <v>MEDICARE TAXES</v>
      </c>
    </row>
    <row r="1677" spans="5:8" x14ac:dyDescent="0.25">
      <c r="E1677" t="str">
        <f>""</f>
        <v/>
      </c>
      <c r="F1677" t="str">
        <f>""</f>
        <v/>
      </c>
      <c r="H1677" t="str">
        <f t="shared" si="33"/>
        <v>MEDICARE TAXES</v>
      </c>
    </row>
    <row r="1678" spans="5:8" x14ac:dyDescent="0.25">
      <c r="E1678" t="str">
        <f>""</f>
        <v/>
      </c>
      <c r="F1678" t="str">
        <f>""</f>
        <v/>
      </c>
      <c r="H1678" t="str">
        <f t="shared" si="33"/>
        <v>MEDICARE TAXES</v>
      </c>
    </row>
    <row r="1679" spans="5:8" x14ac:dyDescent="0.25">
      <c r="E1679" t="str">
        <f>""</f>
        <v/>
      </c>
      <c r="F1679" t="str">
        <f>""</f>
        <v/>
      </c>
      <c r="H1679" t="str">
        <f t="shared" si="33"/>
        <v>MEDICARE TAXES</v>
      </c>
    </row>
    <row r="1680" spans="5:8" x14ac:dyDescent="0.25">
      <c r="E1680" t="str">
        <f>""</f>
        <v/>
      </c>
      <c r="F1680" t="str">
        <f>""</f>
        <v/>
      </c>
      <c r="H1680" t="str">
        <f t="shared" si="33"/>
        <v>MEDICARE TAXES</v>
      </c>
    </row>
    <row r="1681" spans="5:8" x14ac:dyDescent="0.25">
      <c r="E1681" t="str">
        <f>""</f>
        <v/>
      </c>
      <c r="F1681" t="str">
        <f>""</f>
        <v/>
      </c>
      <c r="H1681" t="str">
        <f t="shared" si="33"/>
        <v>MEDICARE TAXES</v>
      </c>
    </row>
    <row r="1682" spans="5:8" x14ac:dyDescent="0.25">
      <c r="E1682" t="str">
        <f>""</f>
        <v/>
      </c>
      <c r="F1682" t="str">
        <f>""</f>
        <v/>
      </c>
      <c r="H1682" t="str">
        <f t="shared" si="33"/>
        <v>MEDICARE TAXES</v>
      </c>
    </row>
    <row r="1683" spans="5:8" x14ac:dyDescent="0.25">
      <c r="E1683" t="str">
        <f>""</f>
        <v/>
      </c>
      <c r="F1683" t="str">
        <f>""</f>
        <v/>
      </c>
      <c r="H1683" t="str">
        <f t="shared" si="33"/>
        <v>MEDICARE TAXES</v>
      </c>
    </row>
    <row r="1684" spans="5:8" x14ac:dyDescent="0.25">
      <c r="E1684" t="str">
        <f>""</f>
        <v/>
      </c>
      <c r="F1684" t="str">
        <f>""</f>
        <v/>
      </c>
      <c r="H1684" t="str">
        <f t="shared" si="33"/>
        <v>MEDICARE TAXES</v>
      </c>
    </row>
    <row r="1685" spans="5:8" x14ac:dyDescent="0.25">
      <c r="E1685" t="str">
        <f>""</f>
        <v/>
      </c>
      <c r="F1685" t="str">
        <f>""</f>
        <v/>
      </c>
      <c r="H1685" t="str">
        <f t="shared" si="33"/>
        <v>MEDICARE TAXES</v>
      </c>
    </row>
    <row r="1686" spans="5:8" x14ac:dyDescent="0.25">
      <c r="E1686" t="str">
        <f>""</f>
        <v/>
      </c>
      <c r="F1686" t="str">
        <f>""</f>
        <v/>
      </c>
      <c r="H1686" t="str">
        <f t="shared" si="33"/>
        <v>MEDICARE TAXES</v>
      </c>
    </row>
    <row r="1687" spans="5:8" x14ac:dyDescent="0.25">
      <c r="E1687" t="str">
        <f>""</f>
        <v/>
      </c>
      <c r="F1687" t="str">
        <f>""</f>
        <v/>
      </c>
      <c r="H1687" t="str">
        <f t="shared" si="33"/>
        <v>MEDICARE TAXES</v>
      </c>
    </row>
    <row r="1688" spans="5:8" x14ac:dyDescent="0.25">
      <c r="E1688" t="str">
        <f>""</f>
        <v/>
      </c>
      <c r="F1688" t="str">
        <f>""</f>
        <v/>
      </c>
      <c r="H1688" t="str">
        <f t="shared" si="33"/>
        <v>MEDICARE TAXES</v>
      </c>
    </row>
    <row r="1689" spans="5:8" x14ac:dyDescent="0.25">
      <c r="E1689" t="str">
        <f>""</f>
        <v/>
      </c>
      <c r="F1689" t="str">
        <f>""</f>
        <v/>
      </c>
      <c r="H1689" t="str">
        <f t="shared" si="33"/>
        <v>MEDICARE TAXES</v>
      </c>
    </row>
    <row r="1690" spans="5:8" x14ac:dyDescent="0.25">
      <c r="E1690" t="str">
        <f>""</f>
        <v/>
      </c>
      <c r="F1690" t="str">
        <f>""</f>
        <v/>
      </c>
      <c r="H1690" t="str">
        <f t="shared" si="33"/>
        <v>MEDICARE TAXES</v>
      </c>
    </row>
    <row r="1691" spans="5:8" x14ac:dyDescent="0.25">
      <c r="E1691" t="str">
        <f>""</f>
        <v/>
      </c>
      <c r="F1691" t="str">
        <f>""</f>
        <v/>
      </c>
      <c r="H1691" t="str">
        <f t="shared" si="33"/>
        <v>MEDICARE TAXES</v>
      </c>
    </row>
    <row r="1692" spans="5:8" x14ac:dyDescent="0.25">
      <c r="E1692" t="str">
        <f>""</f>
        <v/>
      </c>
      <c r="F1692" t="str">
        <f>""</f>
        <v/>
      </c>
      <c r="H1692" t="str">
        <f t="shared" si="33"/>
        <v>MEDICARE TAXES</v>
      </c>
    </row>
    <row r="1693" spans="5:8" x14ac:dyDescent="0.25">
      <c r="E1693" t="str">
        <f>""</f>
        <v/>
      </c>
      <c r="F1693" t="str">
        <f>""</f>
        <v/>
      </c>
      <c r="H1693" t="str">
        <f t="shared" si="33"/>
        <v>MEDICARE TAXES</v>
      </c>
    </row>
    <row r="1694" spans="5:8" x14ac:dyDescent="0.25">
      <c r="E1694" t="str">
        <f>""</f>
        <v/>
      </c>
      <c r="F1694" t="str">
        <f>""</f>
        <v/>
      </c>
      <c r="H1694" t="str">
        <f t="shared" si="33"/>
        <v>MEDICARE TAXES</v>
      </c>
    </row>
    <row r="1695" spans="5:8" x14ac:dyDescent="0.25">
      <c r="E1695" t="str">
        <f>""</f>
        <v/>
      </c>
      <c r="F1695" t="str">
        <f>""</f>
        <v/>
      </c>
      <c r="H1695" t="str">
        <f t="shared" si="33"/>
        <v>MEDICARE TAXES</v>
      </c>
    </row>
    <row r="1696" spans="5:8" x14ac:dyDescent="0.25">
      <c r="E1696" t="str">
        <f>""</f>
        <v/>
      </c>
      <c r="F1696" t="str">
        <f>""</f>
        <v/>
      </c>
      <c r="H1696" t="str">
        <f t="shared" si="33"/>
        <v>MEDICARE TAXES</v>
      </c>
    </row>
    <row r="1697" spans="5:8" x14ac:dyDescent="0.25">
      <c r="E1697" t="str">
        <f>""</f>
        <v/>
      </c>
      <c r="F1697" t="str">
        <f>""</f>
        <v/>
      </c>
      <c r="H1697" t="str">
        <f t="shared" si="33"/>
        <v>MEDICARE TAXES</v>
      </c>
    </row>
    <row r="1698" spans="5:8" x14ac:dyDescent="0.25">
      <c r="E1698" t="str">
        <f>""</f>
        <v/>
      </c>
      <c r="F1698" t="str">
        <f>""</f>
        <v/>
      </c>
      <c r="H1698" t="str">
        <f t="shared" si="33"/>
        <v>MEDICARE TAXES</v>
      </c>
    </row>
    <row r="1699" spans="5:8" x14ac:dyDescent="0.25">
      <c r="E1699" t="str">
        <f>""</f>
        <v/>
      </c>
      <c r="F1699" t="str">
        <f>""</f>
        <v/>
      </c>
      <c r="H1699" t="str">
        <f t="shared" si="33"/>
        <v>MEDICARE TAXES</v>
      </c>
    </row>
    <row r="1700" spans="5:8" x14ac:dyDescent="0.25">
      <c r="E1700" t="str">
        <f>""</f>
        <v/>
      </c>
      <c r="F1700" t="str">
        <f>""</f>
        <v/>
      </c>
      <c r="H1700" t="str">
        <f t="shared" si="33"/>
        <v>MEDICARE TAXES</v>
      </c>
    </row>
    <row r="1701" spans="5:8" x14ac:dyDescent="0.25">
      <c r="E1701" t="str">
        <f>""</f>
        <v/>
      </c>
      <c r="F1701" t="str">
        <f>""</f>
        <v/>
      </c>
      <c r="H1701" t="str">
        <f t="shared" si="33"/>
        <v>MEDICARE TAXES</v>
      </c>
    </row>
    <row r="1702" spans="5:8" x14ac:dyDescent="0.25">
      <c r="E1702" t="str">
        <f>""</f>
        <v/>
      </c>
      <c r="F1702" t="str">
        <f>""</f>
        <v/>
      </c>
      <c r="H1702" t="str">
        <f t="shared" si="33"/>
        <v>MEDICARE TAXES</v>
      </c>
    </row>
    <row r="1703" spans="5:8" x14ac:dyDescent="0.25">
      <c r="E1703" t="str">
        <f>""</f>
        <v/>
      </c>
      <c r="F1703" t="str">
        <f>""</f>
        <v/>
      </c>
      <c r="H1703" t="str">
        <f t="shared" si="33"/>
        <v>MEDICARE TAXES</v>
      </c>
    </row>
    <row r="1704" spans="5:8" x14ac:dyDescent="0.25">
      <c r="E1704" t="str">
        <f>""</f>
        <v/>
      </c>
      <c r="F1704" t="str">
        <f>""</f>
        <v/>
      </c>
      <c r="H1704" t="str">
        <f t="shared" si="33"/>
        <v>MEDICARE TAXES</v>
      </c>
    </row>
    <row r="1705" spans="5:8" x14ac:dyDescent="0.25">
      <c r="E1705" t="str">
        <f>""</f>
        <v/>
      </c>
      <c r="F1705" t="str">
        <f>""</f>
        <v/>
      </c>
      <c r="H1705" t="str">
        <f t="shared" si="33"/>
        <v>MEDICARE TAXES</v>
      </c>
    </row>
    <row r="1706" spans="5:8" x14ac:dyDescent="0.25">
      <c r="E1706" t="str">
        <f>""</f>
        <v/>
      </c>
      <c r="F1706" t="str">
        <f>""</f>
        <v/>
      </c>
      <c r="H1706" t="str">
        <f t="shared" ref="H1706:H1731" si="34">"MEDICARE TAXES"</f>
        <v>MEDICARE TAXES</v>
      </c>
    </row>
    <row r="1707" spans="5:8" x14ac:dyDescent="0.25">
      <c r="E1707" t="str">
        <f>""</f>
        <v/>
      </c>
      <c r="F1707" t="str">
        <f>""</f>
        <v/>
      </c>
      <c r="H1707" t="str">
        <f t="shared" si="34"/>
        <v>MEDICARE TAXES</v>
      </c>
    </row>
    <row r="1708" spans="5:8" x14ac:dyDescent="0.25">
      <c r="E1708" t="str">
        <f>""</f>
        <v/>
      </c>
      <c r="F1708" t="str">
        <f>""</f>
        <v/>
      </c>
      <c r="H1708" t="str">
        <f t="shared" si="34"/>
        <v>MEDICARE TAXES</v>
      </c>
    </row>
    <row r="1709" spans="5:8" x14ac:dyDescent="0.25">
      <c r="E1709" t="str">
        <f>""</f>
        <v/>
      </c>
      <c r="F1709" t="str">
        <f>""</f>
        <v/>
      </c>
      <c r="H1709" t="str">
        <f t="shared" si="34"/>
        <v>MEDICARE TAXES</v>
      </c>
    </row>
    <row r="1710" spans="5:8" x14ac:dyDescent="0.25">
      <c r="E1710" t="str">
        <f>""</f>
        <v/>
      </c>
      <c r="F1710" t="str">
        <f>""</f>
        <v/>
      </c>
      <c r="H1710" t="str">
        <f t="shared" si="34"/>
        <v>MEDICARE TAXES</v>
      </c>
    </row>
    <row r="1711" spans="5:8" x14ac:dyDescent="0.25">
      <c r="E1711" t="str">
        <f>""</f>
        <v/>
      </c>
      <c r="F1711" t="str">
        <f>""</f>
        <v/>
      </c>
      <c r="H1711" t="str">
        <f t="shared" si="34"/>
        <v>MEDICARE TAXES</v>
      </c>
    </row>
    <row r="1712" spans="5:8" x14ac:dyDescent="0.25">
      <c r="E1712" t="str">
        <f>""</f>
        <v/>
      </c>
      <c r="F1712" t="str">
        <f>""</f>
        <v/>
      </c>
      <c r="H1712" t="str">
        <f t="shared" si="34"/>
        <v>MEDICARE TAXES</v>
      </c>
    </row>
    <row r="1713" spans="5:8" x14ac:dyDescent="0.25">
      <c r="E1713" t="str">
        <f>""</f>
        <v/>
      </c>
      <c r="F1713" t="str">
        <f>""</f>
        <v/>
      </c>
      <c r="H1713" t="str">
        <f t="shared" si="34"/>
        <v>MEDICARE TAXES</v>
      </c>
    </row>
    <row r="1714" spans="5:8" x14ac:dyDescent="0.25">
      <c r="E1714" t="str">
        <f>""</f>
        <v/>
      </c>
      <c r="F1714" t="str">
        <f>""</f>
        <v/>
      </c>
      <c r="H1714" t="str">
        <f t="shared" si="34"/>
        <v>MEDICARE TAXES</v>
      </c>
    </row>
    <row r="1715" spans="5:8" x14ac:dyDescent="0.25">
      <c r="E1715" t="str">
        <f>""</f>
        <v/>
      </c>
      <c r="F1715" t="str">
        <f>""</f>
        <v/>
      </c>
      <c r="H1715" t="str">
        <f t="shared" si="34"/>
        <v>MEDICARE TAXES</v>
      </c>
    </row>
    <row r="1716" spans="5:8" x14ac:dyDescent="0.25">
      <c r="E1716" t="str">
        <f>""</f>
        <v/>
      </c>
      <c r="F1716" t="str">
        <f>""</f>
        <v/>
      </c>
      <c r="H1716" t="str">
        <f t="shared" si="34"/>
        <v>MEDICARE TAXES</v>
      </c>
    </row>
    <row r="1717" spans="5:8" x14ac:dyDescent="0.25">
      <c r="E1717" t="str">
        <f>""</f>
        <v/>
      </c>
      <c r="F1717" t="str">
        <f>""</f>
        <v/>
      </c>
      <c r="H1717" t="str">
        <f t="shared" si="34"/>
        <v>MEDICARE TAXES</v>
      </c>
    </row>
    <row r="1718" spans="5:8" x14ac:dyDescent="0.25">
      <c r="E1718" t="str">
        <f>""</f>
        <v/>
      </c>
      <c r="F1718" t="str">
        <f>""</f>
        <v/>
      </c>
      <c r="H1718" t="str">
        <f t="shared" si="34"/>
        <v>MEDICARE TAXES</v>
      </c>
    </row>
    <row r="1719" spans="5:8" x14ac:dyDescent="0.25">
      <c r="E1719" t="str">
        <f>""</f>
        <v/>
      </c>
      <c r="F1719" t="str">
        <f>""</f>
        <v/>
      </c>
      <c r="H1719" t="str">
        <f t="shared" si="34"/>
        <v>MEDICARE TAXES</v>
      </c>
    </row>
    <row r="1720" spans="5:8" x14ac:dyDescent="0.25">
      <c r="E1720" t="str">
        <f>""</f>
        <v/>
      </c>
      <c r="F1720" t="str">
        <f>""</f>
        <v/>
      </c>
      <c r="H1720" t="str">
        <f t="shared" si="34"/>
        <v>MEDICARE TAXES</v>
      </c>
    </row>
    <row r="1721" spans="5:8" x14ac:dyDescent="0.25">
      <c r="E1721" t="str">
        <f>""</f>
        <v/>
      </c>
      <c r="F1721" t="str">
        <f>""</f>
        <v/>
      </c>
      <c r="H1721" t="str">
        <f t="shared" si="34"/>
        <v>MEDICARE TAXES</v>
      </c>
    </row>
    <row r="1722" spans="5:8" x14ac:dyDescent="0.25">
      <c r="E1722" t="str">
        <f>""</f>
        <v/>
      </c>
      <c r="F1722" t="str">
        <f>""</f>
        <v/>
      </c>
      <c r="H1722" t="str">
        <f t="shared" si="34"/>
        <v>MEDICARE TAXES</v>
      </c>
    </row>
    <row r="1723" spans="5:8" x14ac:dyDescent="0.25">
      <c r="E1723" t="str">
        <f>""</f>
        <v/>
      </c>
      <c r="F1723" t="str">
        <f>""</f>
        <v/>
      </c>
      <c r="H1723" t="str">
        <f t="shared" si="34"/>
        <v>MEDICARE TAXES</v>
      </c>
    </row>
    <row r="1724" spans="5:8" x14ac:dyDescent="0.25">
      <c r="E1724" t="str">
        <f>""</f>
        <v/>
      </c>
      <c r="F1724" t="str">
        <f>""</f>
        <v/>
      </c>
      <c r="H1724" t="str">
        <f t="shared" si="34"/>
        <v>MEDICARE TAXES</v>
      </c>
    </row>
    <row r="1725" spans="5:8" x14ac:dyDescent="0.25">
      <c r="E1725" t="str">
        <f>""</f>
        <v/>
      </c>
      <c r="F1725" t="str">
        <f>""</f>
        <v/>
      </c>
      <c r="H1725" t="str">
        <f t="shared" si="34"/>
        <v>MEDICARE TAXES</v>
      </c>
    </row>
    <row r="1726" spans="5:8" x14ac:dyDescent="0.25">
      <c r="E1726" t="str">
        <f>""</f>
        <v/>
      </c>
      <c r="F1726" t="str">
        <f>""</f>
        <v/>
      </c>
      <c r="H1726" t="str">
        <f t="shared" si="34"/>
        <v>MEDICARE TAXES</v>
      </c>
    </row>
    <row r="1727" spans="5:8" x14ac:dyDescent="0.25">
      <c r="E1727" t="str">
        <f>""</f>
        <v/>
      </c>
      <c r="F1727" t="str">
        <f>""</f>
        <v/>
      </c>
      <c r="H1727" t="str">
        <f t="shared" si="34"/>
        <v>MEDICARE TAXES</v>
      </c>
    </row>
    <row r="1728" spans="5:8" x14ac:dyDescent="0.25">
      <c r="E1728" t="str">
        <f>"T4 202011100004"</f>
        <v>T4 202011100004</v>
      </c>
      <c r="F1728" t="str">
        <f>"MEDICARE TAXES"</f>
        <v>MEDICARE TAXES</v>
      </c>
      <c r="G1728" s="1">
        <v>942.12</v>
      </c>
      <c r="H1728" t="str">
        <f t="shared" si="34"/>
        <v>MEDICARE TAXES</v>
      </c>
    </row>
    <row r="1729" spans="1:8" x14ac:dyDescent="0.25">
      <c r="E1729" t="str">
        <f>""</f>
        <v/>
      </c>
      <c r="F1729" t="str">
        <f>""</f>
        <v/>
      </c>
      <c r="H1729" t="str">
        <f t="shared" si="34"/>
        <v>MEDICARE TAXES</v>
      </c>
    </row>
    <row r="1730" spans="1:8" x14ac:dyDescent="0.25">
      <c r="E1730" t="str">
        <f>"T4 202011100005"</f>
        <v>T4 202011100005</v>
      </c>
      <c r="F1730" t="str">
        <f>"MEDICARE TAXES"</f>
        <v>MEDICARE TAXES</v>
      </c>
      <c r="G1730" s="1">
        <v>1152.54</v>
      </c>
      <c r="H1730" t="str">
        <f t="shared" si="34"/>
        <v>MEDICARE TAXES</v>
      </c>
    </row>
    <row r="1731" spans="1:8" x14ac:dyDescent="0.25">
      <c r="E1731" t="str">
        <f>""</f>
        <v/>
      </c>
      <c r="F1731" t="str">
        <f>""</f>
        <v/>
      </c>
      <c r="H1731" t="str">
        <f t="shared" si="34"/>
        <v>MEDICARE TAXES</v>
      </c>
    </row>
    <row r="1732" spans="1:8" x14ac:dyDescent="0.25">
      <c r="A1732" t="s">
        <v>396</v>
      </c>
      <c r="B1732">
        <v>767</v>
      </c>
      <c r="C1732" s="1">
        <v>8944</v>
      </c>
      <c r="D1732" s="5">
        <v>44152</v>
      </c>
      <c r="E1732" t="str">
        <f>"T3 202011160006"</f>
        <v>T3 202011160006</v>
      </c>
      <c r="F1732" t="str">
        <f>"SOCIAL SECURITY TAXES"</f>
        <v>SOCIAL SECURITY TAXES</v>
      </c>
      <c r="G1732" s="1">
        <v>7248.76</v>
      </c>
      <c r="H1732" t="str">
        <f>"SOCIAL SECURITY TAXES"</f>
        <v>SOCIAL SECURITY TAXES</v>
      </c>
    </row>
    <row r="1733" spans="1:8" x14ac:dyDescent="0.25">
      <c r="E1733" t="str">
        <f>""</f>
        <v/>
      </c>
      <c r="F1733" t="str">
        <f>""</f>
        <v/>
      </c>
      <c r="H1733" t="str">
        <f>"SOCIAL SECURITY TAXES"</f>
        <v>SOCIAL SECURITY TAXES</v>
      </c>
    </row>
    <row r="1734" spans="1:8" x14ac:dyDescent="0.25">
      <c r="E1734" t="str">
        <f>""</f>
        <v/>
      </c>
      <c r="F1734" t="str">
        <f>""</f>
        <v/>
      </c>
      <c r="H1734" t="str">
        <f>"SOCIAL SECURITY TAXES"</f>
        <v>SOCIAL SECURITY TAXES</v>
      </c>
    </row>
    <row r="1735" spans="1:8" x14ac:dyDescent="0.25">
      <c r="E1735" t="str">
        <f>"T4 202011160006"</f>
        <v>T4 202011160006</v>
      </c>
      <c r="F1735" t="str">
        <f>"MEDICARE TAXES"</f>
        <v>MEDICARE TAXES</v>
      </c>
      <c r="G1735" s="1">
        <v>1695.24</v>
      </c>
      <c r="H1735" t="str">
        <f>"MEDICARE TAXES"</f>
        <v>MEDICARE TAXES</v>
      </c>
    </row>
    <row r="1736" spans="1:8" x14ac:dyDescent="0.25">
      <c r="E1736" t="str">
        <f>""</f>
        <v/>
      </c>
      <c r="F1736" t="str">
        <f>""</f>
        <v/>
      </c>
      <c r="H1736" t="str">
        <f>"MEDICARE TAXES"</f>
        <v>MEDICARE TAXES</v>
      </c>
    </row>
    <row r="1737" spans="1:8" x14ac:dyDescent="0.25">
      <c r="E1737" t="str">
        <f>""</f>
        <v/>
      </c>
      <c r="F1737" t="str">
        <f>""</f>
        <v/>
      </c>
      <c r="H1737" t="str">
        <f>"MEDICARE TAXES"</f>
        <v>MEDICARE TAXES</v>
      </c>
    </row>
    <row r="1738" spans="1:8" x14ac:dyDescent="0.25">
      <c r="A1738" t="s">
        <v>396</v>
      </c>
      <c r="B1738">
        <v>770</v>
      </c>
      <c r="C1738" s="1">
        <v>151106.72</v>
      </c>
      <c r="D1738" s="5">
        <v>44155</v>
      </c>
      <c r="E1738" t="str">
        <f>"T1 202011170084"</f>
        <v>T1 202011170084</v>
      </c>
      <c r="F1738" t="str">
        <f>"FEDERAL WITHHOLDING"</f>
        <v>FEDERAL WITHHOLDING</v>
      </c>
      <c r="G1738" s="1">
        <v>56414.400000000001</v>
      </c>
      <c r="H1738" t="str">
        <f>"FEDERAL WITHHOLDING"</f>
        <v>FEDERAL WITHHOLDING</v>
      </c>
    </row>
    <row r="1739" spans="1:8" x14ac:dyDescent="0.25">
      <c r="E1739" t="str">
        <f>"T1 202011170085"</f>
        <v>T1 202011170085</v>
      </c>
      <c r="F1739" t="str">
        <f>"FEDERAL WITHHOLDING"</f>
        <v>FEDERAL WITHHOLDING</v>
      </c>
      <c r="G1739" s="1">
        <v>2592.4899999999998</v>
      </c>
      <c r="H1739" t="str">
        <f>"FEDERAL WITHHOLDING"</f>
        <v>FEDERAL WITHHOLDING</v>
      </c>
    </row>
    <row r="1740" spans="1:8" x14ac:dyDescent="0.25">
      <c r="E1740" t="str">
        <f>"T1 202011170086"</f>
        <v>T1 202011170086</v>
      </c>
      <c r="F1740" t="str">
        <f>"FEDERAL WITHHOLDING"</f>
        <v>FEDERAL WITHHOLDING</v>
      </c>
      <c r="G1740" s="1">
        <v>1656.15</v>
      </c>
      <c r="H1740" t="str">
        <f>"FEDERAL WITHHOLDING"</f>
        <v>FEDERAL WITHHOLDING</v>
      </c>
    </row>
    <row r="1741" spans="1:8" x14ac:dyDescent="0.25">
      <c r="E1741" t="str">
        <f>"T3 202011170084"</f>
        <v>T3 202011170084</v>
      </c>
      <c r="F1741" t="str">
        <f>"SOCIAL SECURITY TAXES"</f>
        <v>SOCIAL SECURITY TAXES</v>
      </c>
      <c r="G1741" s="1">
        <v>67377.600000000006</v>
      </c>
      <c r="H1741" t="str">
        <f t="shared" ref="H1741:H1788" si="35">"SOCIAL SECURITY TAXES"</f>
        <v>SOCIAL SECURITY TAXES</v>
      </c>
    </row>
    <row r="1742" spans="1:8" x14ac:dyDescent="0.25">
      <c r="E1742" t="str">
        <f>""</f>
        <v/>
      </c>
      <c r="F1742" t="str">
        <f>""</f>
        <v/>
      </c>
      <c r="H1742" t="str">
        <f t="shared" si="35"/>
        <v>SOCIAL SECURITY TAXES</v>
      </c>
    </row>
    <row r="1743" spans="1:8" x14ac:dyDescent="0.25">
      <c r="E1743" t="str">
        <f>""</f>
        <v/>
      </c>
      <c r="F1743" t="str">
        <f>""</f>
        <v/>
      </c>
      <c r="H1743" t="str">
        <f t="shared" si="35"/>
        <v>SOCIAL SECURITY TAXES</v>
      </c>
    </row>
    <row r="1744" spans="1:8" x14ac:dyDescent="0.25">
      <c r="E1744" t="str">
        <f>""</f>
        <v/>
      </c>
      <c r="F1744" t="str">
        <f>""</f>
        <v/>
      </c>
      <c r="H1744" t="str">
        <f t="shared" si="35"/>
        <v>SOCIAL SECURITY TAXES</v>
      </c>
    </row>
    <row r="1745" spans="5:8" x14ac:dyDescent="0.25">
      <c r="E1745" t="str">
        <f>""</f>
        <v/>
      </c>
      <c r="F1745" t="str">
        <f>""</f>
        <v/>
      </c>
      <c r="H1745" t="str">
        <f t="shared" si="35"/>
        <v>SOCIAL SECURITY TAXES</v>
      </c>
    </row>
    <row r="1746" spans="5:8" x14ac:dyDescent="0.25">
      <c r="E1746" t="str">
        <f>""</f>
        <v/>
      </c>
      <c r="F1746" t="str">
        <f>""</f>
        <v/>
      </c>
      <c r="H1746" t="str">
        <f t="shared" si="35"/>
        <v>SOCIAL SECURITY TAXES</v>
      </c>
    </row>
    <row r="1747" spans="5:8" x14ac:dyDescent="0.25">
      <c r="E1747" t="str">
        <f>""</f>
        <v/>
      </c>
      <c r="F1747" t="str">
        <f>""</f>
        <v/>
      </c>
      <c r="H1747" t="str">
        <f t="shared" si="35"/>
        <v>SOCIAL SECURITY TAXES</v>
      </c>
    </row>
    <row r="1748" spans="5:8" x14ac:dyDescent="0.25">
      <c r="E1748" t="str">
        <f>""</f>
        <v/>
      </c>
      <c r="F1748" t="str">
        <f>""</f>
        <v/>
      </c>
      <c r="H1748" t="str">
        <f t="shared" si="35"/>
        <v>SOCIAL SECURITY TAXES</v>
      </c>
    </row>
    <row r="1749" spans="5:8" x14ac:dyDescent="0.25">
      <c r="E1749" t="str">
        <f>""</f>
        <v/>
      </c>
      <c r="F1749" t="str">
        <f>""</f>
        <v/>
      </c>
      <c r="H1749" t="str">
        <f t="shared" si="35"/>
        <v>SOCIAL SECURITY TAXES</v>
      </c>
    </row>
    <row r="1750" spans="5:8" x14ac:dyDescent="0.25">
      <c r="E1750" t="str">
        <f>""</f>
        <v/>
      </c>
      <c r="F1750" t="str">
        <f>""</f>
        <v/>
      </c>
      <c r="H1750" t="str">
        <f t="shared" si="35"/>
        <v>SOCIAL SECURITY TAXES</v>
      </c>
    </row>
    <row r="1751" spans="5:8" x14ac:dyDescent="0.25">
      <c r="E1751" t="str">
        <f>""</f>
        <v/>
      </c>
      <c r="F1751" t="str">
        <f>""</f>
        <v/>
      </c>
      <c r="H1751" t="str">
        <f t="shared" si="35"/>
        <v>SOCIAL SECURITY TAXES</v>
      </c>
    </row>
    <row r="1752" spans="5:8" x14ac:dyDescent="0.25">
      <c r="E1752" t="str">
        <f>""</f>
        <v/>
      </c>
      <c r="F1752" t="str">
        <f>""</f>
        <v/>
      </c>
      <c r="H1752" t="str">
        <f t="shared" si="35"/>
        <v>SOCIAL SECURITY TAXES</v>
      </c>
    </row>
    <row r="1753" spans="5:8" x14ac:dyDescent="0.25">
      <c r="E1753" t="str">
        <f>""</f>
        <v/>
      </c>
      <c r="F1753" t="str">
        <f>""</f>
        <v/>
      </c>
      <c r="H1753" t="str">
        <f t="shared" si="35"/>
        <v>SOCIAL SECURITY TAXES</v>
      </c>
    </row>
    <row r="1754" spans="5:8" x14ac:dyDescent="0.25">
      <c r="E1754" t="str">
        <f>""</f>
        <v/>
      </c>
      <c r="F1754" t="str">
        <f>""</f>
        <v/>
      </c>
      <c r="H1754" t="str">
        <f t="shared" si="35"/>
        <v>SOCIAL SECURITY TAXES</v>
      </c>
    </row>
    <row r="1755" spans="5:8" x14ac:dyDescent="0.25">
      <c r="E1755" t="str">
        <f>""</f>
        <v/>
      </c>
      <c r="F1755" t="str">
        <f>""</f>
        <v/>
      </c>
      <c r="H1755" t="str">
        <f t="shared" si="35"/>
        <v>SOCIAL SECURITY TAXES</v>
      </c>
    </row>
    <row r="1756" spans="5:8" x14ac:dyDescent="0.25">
      <c r="E1756" t="str">
        <f>""</f>
        <v/>
      </c>
      <c r="F1756" t="str">
        <f>""</f>
        <v/>
      </c>
      <c r="H1756" t="str">
        <f t="shared" si="35"/>
        <v>SOCIAL SECURITY TAXES</v>
      </c>
    </row>
    <row r="1757" spans="5:8" x14ac:dyDescent="0.25">
      <c r="E1757" t="str">
        <f>""</f>
        <v/>
      </c>
      <c r="F1757" t="str">
        <f>""</f>
        <v/>
      </c>
      <c r="H1757" t="str">
        <f t="shared" si="35"/>
        <v>SOCIAL SECURITY TAXES</v>
      </c>
    </row>
    <row r="1758" spans="5:8" x14ac:dyDescent="0.25">
      <c r="E1758" t="str">
        <f>""</f>
        <v/>
      </c>
      <c r="F1758" t="str">
        <f>""</f>
        <v/>
      </c>
      <c r="H1758" t="str">
        <f t="shared" si="35"/>
        <v>SOCIAL SECURITY TAXES</v>
      </c>
    </row>
    <row r="1759" spans="5:8" x14ac:dyDescent="0.25">
      <c r="E1759" t="str">
        <f>""</f>
        <v/>
      </c>
      <c r="F1759" t="str">
        <f>""</f>
        <v/>
      </c>
      <c r="H1759" t="str">
        <f t="shared" si="35"/>
        <v>SOCIAL SECURITY TAXES</v>
      </c>
    </row>
    <row r="1760" spans="5:8" x14ac:dyDescent="0.25">
      <c r="E1760" t="str">
        <f>""</f>
        <v/>
      </c>
      <c r="F1760" t="str">
        <f>""</f>
        <v/>
      </c>
      <c r="H1760" t="str">
        <f t="shared" si="35"/>
        <v>SOCIAL SECURITY TAXES</v>
      </c>
    </row>
    <row r="1761" spans="5:8" x14ac:dyDescent="0.25">
      <c r="E1761" t="str">
        <f>""</f>
        <v/>
      </c>
      <c r="F1761" t="str">
        <f>""</f>
        <v/>
      </c>
      <c r="H1761" t="str">
        <f t="shared" si="35"/>
        <v>SOCIAL SECURITY TAXES</v>
      </c>
    </row>
    <row r="1762" spans="5:8" x14ac:dyDescent="0.25">
      <c r="E1762" t="str">
        <f>""</f>
        <v/>
      </c>
      <c r="F1762" t="str">
        <f>""</f>
        <v/>
      </c>
      <c r="H1762" t="str">
        <f t="shared" si="35"/>
        <v>SOCIAL SECURITY TAXES</v>
      </c>
    </row>
    <row r="1763" spans="5:8" x14ac:dyDescent="0.25">
      <c r="E1763" t="str">
        <f>""</f>
        <v/>
      </c>
      <c r="F1763" t="str">
        <f>""</f>
        <v/>
      </c>
      <c r="H1763" t="str">
        <f t="shared" si="35"/>
        <v>SOCIAL SECURITY TAXES</v>
      </c>
    </row>
    <row r="1764" spans="5:8" x14ac:dyDescent="0.25">
      <c r="E1764" t="str">
        <f>""</f>
        <v/>
      </c>
      <c r="F1764" t="str">
        <f>""</f>
        <v/>
      </c>
      <c r="H1764" t="str">
        <f t="shared" si="35"/>
        <v>SOCIAL SECURITY TAXES</v>
      </c>
    </row>
    <row r="1765" spans="5:8" x14ac:dyDescent="0.25">
      <c r="E1765" t="str">
        <f>""</f>
        <v/>
      </c>
      <c r="F1765" t="str">
        <f>""</f>
        <v/>
      </c>
      <c r="H1765" t="str">
        <f t="shared" si="35"/>
        <v>SOCIAL SECURITY TAXES</v>
      </c>
    </row>
    <row r="1766" spans="5:8" x14ac:dyDescent="0.25">
      <c r="E1766" t="str">
        <f>""</f>
        <v/>
      </c>
      <c r="F1766" t="str">
        <f>""</f>
        <v/>
      </c>
      <c r="H1766" t="str">
        <f t="shared" si="35"/>
        <v>SOCIAL SECURITY TAXES</v>
      </c>
    </row>
    <row r="1767" spans="5:8" x14ac:dyDescent="0.25">
      <c r="E1767" t="str">
        <f>""</f>
        <v/>
      </c>
      <c r="F1767" t="str">
        <f>""</f>
        <v/>
      </c>
      <c r="H1767" t="str">
        <f t="shared" si="35"/>
        <v>SOCIAL SECURITY TAXES</v>
      </c>
    </row>
    <row r="1768" spans="5:8" x14ac:dyDescent="0.25">
      <c r="E1768" t="str">
        <f>""</f>
        <v/>
      </c>
      <c r="F1768" t="str">
        <f>""</f>
        <v/>
      </c>
      <c r="H1768" t="str">
        <f t="shared" si="35"/>
        <v>SOCIAL SECURITY TAXES</v>
      </c>
    </row>
    <row r="1769" spans="5:8" x14ac:dyDescent="0.25">
      <c r="E1769" t="str">
        <f>""</f>
        <v/>
      </c>
      <c r="F1769" t="str">
        <f>""</f>
        <v/>
      </c>
      <c r="H1769" t="str">
        <f t="shared" si="35"/>
        <v>SOCIAL SECURITY TAXES</v>
      </c>
    </row>
    <row r="1770" spans="5:8" x14ac:dyDescent="0.25">
      <c r="E1770" t="str">
        <f>""</f>
        <v/>
      </c>
      <c r="F1770" t="str">
        <f>""</f>
        <v/>
      </c>
      <c r="H1770" t="str">
        <f t="shared" si="35"/>
        <v>SOCIAL SECURITY TAXES</v>
      </c>
    </row>
    <row r="1771" spans="5:8" x14ac:dyDescent="0.25">
      <c r="E1771" t="str">
        <f>""</f>
        <v/>
      </c>
      <c r="F1771" t="str">
        <f>""</f>
        <v/>
      </c>
      <c r="H1771" t="str">
        <f t="shared" si="35"/>
        <v>SOCIAL SECURITY TAXES</v>
      </c>
    </row>
    <row r="1772" spans="5:8" x14ac:dyDescent="0.25">
      <c r="E1772" t="str">
        <f>""</f>
        <v/>
      </c>
      <c r="F1772" t="str">
        <f>""</f>
        <v/>
      </c>
      <c r="H1772" t="str">
        <f t="shared" si="35"/>
        <v>SOCIAL SECURITY TAXES</v>
      </c>
    </row>
    <row r="1773" spans="5:8" x14ac:dyDescent="0.25">
      <c r="E1773" t="str">
        <f>""</f>
        <v/>
      </c>
      <c r="F1773" t="str">
        <f>""</f>
        <v/>
      </c>
      <c r="H1773" t="str">
        <f t="shared" si="35"/>
        <v>SOCIAL SECURITY TAXES</v>
      </c>
    </row>
    <row r="1774" spans="5:8" x14ac:dyDescent="0.25">
      <c r="E1774" t="str">
        <f>""</f>
        <v/>
      </c>
      <c r="F1774" t="str">
        <f>""</f>
        <v/>
      </c>
      <c r="H1774" t="str">
        <f t="shared" si="35"/>
        <v>SOCIAL SECURITY TAXES</v>
      </c>
    </row>
    <row r="1775" spans="5:8" x14ac:dyDescent="0.25">
      <c r="E1775" t="str">
        <f>""</f>
        <v/>
      </c>
      <c r="F1775" t="str">
        <f>""</f>
        <v/>
      </c>
      <c r="H1775" t="str">
        <f t="shared" si="35"/>
        <v>SOCIAL SECURITY TAXES</v>
      </c>
    </row>
    <row r="1776" spans="5:8" x14ac:dyDescent="0.25">
      <c r="E1776" t="str">
        <f>""</f>
        <v/>
      </c>
      <c r="F1776" t="str">
        <f>""</f>
        <v/>
      </c>
      <c r="H1776" t="str">
        <f t="shared" si="35"/>
        <v>SOCIAL SECURITY TAXES</v>
      </c>
    </row>
    <row r="1777" spans="5:8" x14ac:dyDescent="0.25">
      <c r="E1777" t="str">
        <f>""</f>
        <v/>
      </c>
      <c r="F1777" t="str">
        <f>""</f>
        <v/>
      </c>
      <c r="H1777" t="str">
        <f t="shared" si="35"/>
        <v>SOCIAL SECURITY TAXES</v>
      </c>
    </row>
    <row r="1778" spans="5:8" x14ac:dyDescent="0.25">
      <c r="E1778" t="str">
        <f>""</f>
        <v/>
      </c>
      <c r="F1778" t="str">
        <f>""</f>
        <v/>
      </c>
      <c r="H1778" t="str">
        <f t="shared" si="35"/>
        <v>SOCIAL SECURITY TAXES</v>
      </c>
    </row>
    <row r="1779" spans="5:8" x14ac:dyDescent="0.25">
      <c r="E1779" t="str">
        <f>""</f>
        <v/>
      </c>
      <c r="F1779" t="str">
        <f>""</f>
        <v/>
      </c>
      <c r="H1779" t="str">
        <f t="shared" si="35"/>
        <v>SOCIAL SECURITY TAXES</v>
      </c>
    </row>
    <row r="1780" spans="5:8" x14ac:dyDescent="0.25">
      <c r="E1780" t="str">
        <f>""</f>
        <v/>
      </c>
      <c r="F1780" t="str">
        <f>""</f>
        <v/>
      </c>
      <c r="H1780" t="str">
        <f t="shared" si="35"/>
        <v>SOCIAL SECURITY TAXES</v>
      </c>
    </row>
    <row r="1781" spans="5:8" x14ac:dyDescent="0.25">
      <c r="E1781" t="str">
        <f>""</f>
        <v/>
      </c>
      <c r="F1781" t="str">
        <f>""</f>
        <v/>
      </c>
      <c r="H1781" t="str">
        <f t="shared" si="35"/>
        <v>SOCIAL SECURITY TAXES</v>
      </c>
    </row>
    <row r="1782" spans="5:8" x14ac:dyDescent="0.25">
      <c r="E1782" t="str">
        <f>""</f>
        <v/>
      </c>
      <c r="F1782" t="str">
        <f>""</f>
        <v/>
      </c>
      <c r="H1782" t="str">
        <f t="shared" si="35"/>
        <v>SOCIAL SECURITY TAXES</v>
      </c>
    </row>
    <row r="1783" spans="5:8" x14ac:dyDescent="0.25">
      <c r="E1783" t="str">
        <f>""</f>
        <v/>
      </c>
      <c r="F1783" t="str">
        <f>""</f>
        <v/>
      </c>
      <c r="H1783" t="str">
        <f t="shared" si="35"/>
        <v>SOCIAL SECURITY TAXES</v>
      </c>
    </row>
    <row r="1784" spans="5:8" x14ac:dyDescent="0.25">
      <c r="E1784" t="str">
        <f>""</f>
        <v/>
      </c>
      <c r="F1784" t="str">
        <f>""</f>
        <v/>
      </c>
      <c r="H1784" t="str">
        <f t="shared" si="35"/>
        <v>SOCIAL SECURITY TAXES</v>
      </c>
    </row>
    <row r="1785" spans="5:8" x14ac:dyDescent="0.25">
      <c r="E1785" t="str">
        <f>"T3 202011170085"</f>
        <v>T3 202011170085</v>
      </c>
      <c r="F1785" t="str">
        <f>"SOCIAL SECURITY TAXES"</f>
        <v>SOCIAL SECURITY TAXES</v>
      </c>
      <c r="G1785" s="1">
        <v>3459.6</v>
      </c>
      <c r="H1785" t="str">
        <f t="shared" si="35"/>
        <v>SOCIAL SECURITY TAXES</v>
      </c>
    </row>
    <row r="1786" spans="5:8" x14ac:dyDescent="0.25">
      <c r="E1786" t="str">
        <f>""</f>
        <v/>
      </c>
      <c r="F1786" t="str">
        <f>""</f>
        <v/>
      </c>
      <c r="H1786" t="str">
        <f t="shared" si="35"/>
        <v>SOCIAL SECURITY TAXES</v>
      </c>
    </row>
    <row r="1787" spans="5:8" x14ac:dyDescent="0.25">
      <c r="E1787" t="str">
        <f>"T3 202011170086"</f>
        <v>T3 202011170086</v>
      </c>
      <c r="F1787" t="str">
        <f>"SOCIAL SECURITY TAXES"</f>
        <v>SOCIAL SECURITY TAXES</v>
      </c>
      <c r="G1787" s="1">
        <v>2463.52</v>
      </c>
      <c r="H1787" t="str">
        <f t="shared" si="35"/>
        <v>SOCIAL SECURITY TAXES</v>
      </c>
    </row>
    <row r="1788" spans="5:8" x14ac:dyDescent="0.25">
      <c r="E1788" t="str">
        <f>""</f>
        <v/>
      </c>
      <c r="F1788" t="str">
        <f>""</f>
        <v/>
      </c>
      <c r="H1788" t="str">
        <f t="shared" si="35"/>
        <v>SOCIAL SECURITY TAXES</v>
      </c>
    </row>
    <row r="1789" spans="5:8" x14ac:dyDescent="0.25">
      <c r="E1789" t="str">
        <f>"T4 202011170084"</f>
        <v>T4 202011170084</v>
      </c>
      <c r="F1789" t="str">
        <f>"MEDICARE TAXES"</f>
        <v>MEDICARE TAXES</v>
      </c>
      <c r="G1789" s="1">
        <v>15757.64</v>
      </c>
      <c r="H1789" t="str">
        <f t="shared" ref="H1789:H1836" si="36">"MEDICARE TAXES"</f>
        <v>MEDICARE TAXES</v>
      </c>
    </row>
    <row r="1790" spans="5:8" x14ac:dyDescent="0.25">
      <c r="E1790" t="str">
        <f>""</f>
        <v/>
      </c>
      <c r="F1790" t="str">
        <f>""</f>
        <v/>
      </c>
      <c r="H1790" t="str">
        <f t="shared" si="36"/>
        <v>MEDICARE TAXES</v>
      </c>
    </row>
    <row r="1791" spans="5:8" x14ac:dyDescent="0.25">
      <c r="E1791" t="str">
        <f>""</f>
        <v/>
      </c>
      <c r="F1791" t="str">
        <f>""</f>
        <v/>
      </c>
      <c r="H1791" t="str">
        <f t="shared" si="36"/>
        <v>MEDICARE TAXES</v>
      </c>
    </row>
    <row r="1792" spans="5:8" x14ac:dyDescent="0.25">
      <c r="E1792" t="str">
        <f>""</f>
        <v/>
      </c>
      <c r="F1792" t="str">
        <f>""</f>
        <v/>
      </c>
      <c r="H1792" t="str">
        <f t="shared" si="36"/>
        <v>MEDICARE TAXES</v>
      </c>
    </row>
    <row r="1793" spans="5:8" x14ac:dyDescent="0.25">
      <c r="E1793" t="str">
        <f>""</f>
        <v/>
      </c>
      <c r="F1793" t="str">
        <f>""</f>
        <v/>
      </c>
      <c r="H1793" t="str">
        <f t="shared" si="36"/>
        <v>MEDICARE TAXES</v>
      </c>
    </row>
    <row r="1794" spans="5:8" x14ac:dyDescent="0.25">
      <c r="E1794" t="str">
        <f>""</f>
        <v/>
      </c>
      <c r="F1794" t="str">
        <f>""</f>
        <v/>
      </c>
      <c r="H1794" t="str">
        <f t="shared" si="36"/>
        <v>MEDICARE TAXES</v>
      </c>
    </row>
    <row r="1795" spans="5:8" x14ac:dyDescent="0.25">
      <c r="E1795" t="str">
        <f>""</f>
        <v/>
      </c>
      <c r="F1795" t="str">
        <f>""</f>
        <v/>
      </c>
      <c r="H1795" t="str">
        <f t="shared" si="36"/>
        <v>MEDICARE TAXES</v>
      </c>
    </row>
    <row r="1796" spans="5:8" x14ac:dyDescent="0.25">
      <c r="E1796" t="str">
        <f>""</f>
        <v/>
      </c>
      <c r="F1796" t="str">
        <f>""</f>
        <v/>
      </c>
      <c r="H1796" t="str">
        <f t="shared" si="36"/>
        <v>MEDICARE TAXES</v>
      </c>
    </row>
    <row r="1797" spans="5:8" x14ac:dyDescent="0.25">
      <c r="E1797" t="str">
        <f>""</f>
        <v/>
      </c>
      <c r="F1797" t="str">
        <f>""</f>
        <v/>
      </c>
      <c r="H1797" t="str">
        <f t="shared" si="36"/>
        <v>MEDICARE TAXES</v>
      </c>
    </row>
    <row r="1798" spans="5:8" x14ac:dyDescent="0.25">
      <c r="E1798" t="str">
        <f>""</f>
        <v/>
      </c>
      <c r="F1798" t="str">
        <f>""</f>
        <v/>
      </c>
      <c r="H1798" t="str">
        <f t="shared" si="36"/>
        <v>MEDICARE TAXES</v>
      </c>
    </row>
    <row r="1799" spans="5:8" x14ac:dyDescent="0.25">
      <c r="E1799" t="str">
        <f>""</f>
        <v/>
      </c>
      <c r="F1799" t="str">
        <f>""</f>
        <v/>
      </c>
      <c r="H1799" t="str">
        <f t="shared" si="36"/>
        <v>MEDICARE TAXES</v>
      </c>
    </row>
    <row r="1800" spans="5:8" x14ac:dyDescent="0.25">
      <c r="E1800" t="str">
        <f>""</f>
        <v/>
      </c>
      <c r="F1800" t="str">
        <f>""</f>
        <v/>
      </c>
      <c r="H1800" t="str">
        <f t="shared" si="36"/>
        <v>MEDICARE TAXES</v>
      </c>
    </row>
    <row r="1801" spans="5:8" x14ac:dyDescent="0.25">
      <c r="E1801" t="str">
        <f>""</f>
        <v/>
      </c>
      <c r="F1801" t="str">
        <f>""</f>
        <v/>
      </c>
      <c r="H1801" t="str">
        <f t="shared" si="36"/>
        <v>MEDICARE TAXES</v>
      </c>
    </row>
    <row r="1802" spans="5:8" x14ac:dyDescent="0.25">
      <c r="E1802" t="str">
        <f>""</f>
        <v/>
      </c>
      <c r="F1802" t="str">
        <f>""</f>
        <v/>
      </c>
      <c r="H1802" t="str">
        <f t="shared" si="36"/>
        <v>MEDICARE TAXES</v>
      </c>
    </row>
    <row r="1803" spans="5:8" x14ac:dyDescent="0.25">
      <c r="E1803" t="str">
        <f>""</f>
        <v/>
      </c>
      <c r="F1803" t="str">
        <f>""</f>
        <v/>
      </c>
      <c r="H1803" t="str">
        <f t="shared" si="36"/>
        <v>MEDICARE TAXES</v>
      </c>
    </row>
    <row r="1804" spans="5:8" x14ac:dyDescent="0.25">
      <c r="E1804" t="str">
        <f>""</f>
        <v/>
      </c>
      <c r="F1804" t="str">
        <f>""</f>
        <v/>
      </c>
      <c r="H1804" t="str">
        <f t="shared" si="36"/>
        <v>MEDICARE TAXES</v>
      </c>
    </row>
    <row r="1805" spans="5:8" x14ac:dyDescent="0.25">
      <c r="E1805" t="str">
        <f>""</f>
        <v/>
      </c>
      <c r="F1805" t="str">
        <f>""</f>
        <v/>
      </c>
      <c r="H1805" t="str">
        <f t="shared" si="36"/>
        <v>MEDICARE TAXES</v>
      </c>
    </row>
    <row r="1806" spans="5:8" x14ac:dyDescent="0.25">
      <c r="E1806" t="str">
        <f>""</f>
        <v/>
      </c>
      <c r="F1806" t="str">
        <f>""</f>
        <v/>
      </c>
      <c r="H1806" t="str">
        <f t="shared" si="36"/>
        <v>MEDICARE TAXES</v>
      </c>
    </row>
    <row r="1807" spans="5:8" x14ac:dyDescent="0.25">
      <c r="E1807" t="str">
        <f>""</f>
        <v/>
      </c>
      <c r="F1807" t="str">
        <f>""</f>
        <v/>
      </c>
      <c r="H1807" t="str">
        <f t="shared" si="36"/>
        <v>MEDICARE TAXES</v>
      </c>
    </row>
    <row r="1808" spans="5:8" x14ac:dyDescent="0.25">
      <c r="E1808" t="str">
        <f>""</f>
        <v/>
      </c>
      <c r="F1808" t="str">
        <f>""</f>
        <v/>
      </c>
      <c r="H1808" t="str">
        <f t="shared" si="36"/>
        <v>MEDICARE TAXES</v>
      </c>
    </row>
    <row r="1809" spans="5:8" x14ac:dyDescent="0.25">
      <c r="E1809" t="str">
        <f>""</f>
        <v/>
      </c>
      <c r="F1809" t="str">
        <f>""</f>
        <v/>
      </c>
      <c r="H1809" t="str">
        <f t="shared" si="36"/>
        <v>MEDICARE TAXES</v>
      </c>
    </row>
    <row r="1810" spans="5:8" x14ac:dyDescent="0.25">
      <c r="E1810" t="str">
        <f>""</f>
        <v/>
      </c>
      <c r="F1810" t="str">
        <f>""</f>
        <v/>
      </c>
      <c r="H1810" t="str">
        <f t="shared" si="36"/>
        <v>MEDICARE TAXES</v>
      </c>
    </row>
    <row r="1811" spans="5:8" x14ac:dyDescent="0.25">
      <c r="E1811" t="str">
        <f>""</f>
        <v/>
      </c>
      <c r="F1811" t="str">
        <f>""</f>
        <v/>
      </c>
      <c r="H1811" t="str">
        <f t="shared" si="36"/>
        <v>MEDICARE TAXES</v>
      </c>
    </row>
    <row r="1812" spans="5:8" x14ac:dyDescent="0.25">
      <c r="E1812" t="str">
        <f>""</f>
        <v/>
      </c>
      <c r="F1812" t="str">
        <f>""</f>
        <v/>
      </c>
      <c r="H1812" t="str">
        <f t="shared" si="36"/>
        <v>MEDICARE TAXES</v>
      </c>
    </row>
    <row r="1813" spans="5:8" x14ac:dyDescent="0.25">
      <c r="E1813" t="str">
        <f>""</f>
        <v/>
      </c>
      <c r="F1813" t="str">
        <f>""</f>
        <v/>
      </c>
      <c r="H1813" t="str">
        <f t="shared" si="36"/>
        <v>MEDICARE TAXES</v>
      </c>
    </row>
    <row r="1814" spans="5:8" x14ac:dyDescent="0.25">
      <c r="E1814" t="str">
        <f>""</f>
        <v/>
      </c>
      <c r="F1814" t="str">
        <f>""</f>
        <v/>
      </c>
      <c r="H1814" t="str">
        <f t="shared" si="36"/>
        <v>MEDICARE TAXES</v>
      </c>
    </row>
    <row r="1815" spans="5:8" x14ac:dyDescent="0.25">
      <c r="E1815" t="str">
        <f>""</f>
        <v/>
      </c>
      <c r="F1815" t="str">
        <f>""</f>
        <v/>
      </c>
      <c r="H1815" t="str">
        <f t="shared" si="36"/>
        <v>MEDICARE TAXES</v>
      </c>
    </row>
    <row r="1816" spans="5:8" x14ac:dyDescent="0.25">
      <c r="E1816" t="str">
        <f>""</f>
        <v/>
      </c>
      <c r="F1816" t="str">
        <f>""</f>
        <v/>
      </c>
      <c r="H1816" t="str">
        <f t="shared" si="36"/>
        <v>MEDICARE TAXES</v>
      </c>
    </row>
    <row r="1817" spans="5:8" x14ac:dyDescent="0.25">
      <c r="E1817" t="str">
        <f>""</f>
        <v/>
      </c>
      <c r="F1817" t="str">
        <f>""</f>
        <v/>
      </c>
      <c r="H1817" t="str">
        <f t="shared" si="36"/>
        <v>MEDICARE TAXES</v>
      </c>
    </row>
    <row r="1818" spans="5:8" x14ac:dyDescent="0.25">
      <c r="E1818" t="str">
        <f>""</f>
        <v/>
      </c>
      <c r="F1818" t="str">
        <f>""</f>
        <v/>
      </c>
      <c r="H1818" t="str">
        <f t="shared" si="36"/>
        <v>MEDICARE TAXES</v>
      </c>
    </row>
    <row r="1819" spans="5:8" x14ac:dyDescent="0.25">
      <c r="E1819" t="str">
        <f>""</f>
        <v/>
      </c>
      <c r="F1819" t="str">
        <f>""</f>
        <v/>
      </c>
      <c r="H1819" t="str">
        <f t="shared" si="36"/>
        <v>MEDICARE TAXES</v>
      </c>
    </row>
    <row r="1820" spans="5:8" x14ac:dyDescent="0.25">
      <c r="E1820" t="str">
        <f>""</f>
        <v/>
      </c>
      <c r="F1820" t="str">
        <f>""</f>
        <v/>
      </c>
      <c r="H1820" t="str">
        <f t="shared" si="36"/>
        <v>MEDICARE TAXES</v>
      </c>
    </row>
    <row r="1821" spans="5:8" x14ac:dyDescent="0.25">
      <c r="E1821" t="str">
        <f>""</f>
        <v/>
      </c>
      <c r="F1821" t="str">
        <f>""</f>
        <v/>
      </c>
      <c r="H1821" t="str">
        <f t="shared" si="36"/>
        <v>MEDICARE TAXES</v>
      </c>
    </row>
    <row r="1822" spans="5:8" x14ac:dyDescent="0.25">
      <c r="E1822" t="str">
        <f>""</f>
        <v/>
      </c>
      <c r="F1822" t="str">
        <f>""</f>
        <v/>
      </c>
      <c r="H1822" t="str">
        <f t="shared" si="36"/>
        <v>MEDICARE TAXES</v>
      </c>
    </row>
    <row r="1823" spans="5:8" x14ac:dyDescent="0.25">
      <c r="E1823" t="str">
        <f>""</f>
        <v/>
      </c>
      <c r="F1823" t="str">
        <f>""</f>
        <v/>
      </c>
      <c r="H1823" t="str">
        <f t="shared" si="36"/>
        <v>MEDICARE TAXES</v>
      </c>
    </row>
    <row r="1824" spans="5:8" x14ac:dyDescent="0.25">
      <c r="E1824" t="str">
        <f>""</f>
        <v/>
      </c>
      <c r="F1824" t="str">
        <f>""</f>
        <v/>
      </c>
      <c r="H1824" t="str">
        <f t="shared" si="36"/>
        <v>MEDICARE TAXES</v>
      </c>
    </row>
    <row r="1825" spans="1:8" x14ac:dyDescent="0.25">
      <c r="E1825" t="str">
        <f>""</f>
        <v/>
      </c>
      <c r="F1825" t="str">
        <f>""</f>
        <v/>
      </c>
      <c r="H1825" t="str">
        <f t="shared" si="36"/>
        <v>MEDICARE TAXES</v>
      </c>
    </row>
    <row r="1826" spans="1:8" x14ac:dyDescent="0.25">
      <c r="E1826" t="str">
        <f>""</f>
        <v/>
      </c>
      <c r="F1826" t="str">
        <f>""</f>
        <v/>
      </c>
      <c r="H1826" t="str">
        <f t="shared" si="36"/>
        <v>MEDICARE TAXES</v>
      </c>
    </row>
    <row r="1827" spans="1:8" x14ac:dyDescent="0.25">
      <c r="E1827" t="str">
        <f>""</f>
        <v/>
      </c>
      <c r="F1827" t="str">
        <f>""</f>
        <v/>
      </c>
      <c r="H1827" t="str">
        <f t="shared" si="36"/>
        <v>MEDICARE TAXES</v>
      </c>
    </row>
    <row r="1828" spans="1:8" x14ac:dyDescent="0.25">
      <c r="E1828" t="str">
        <f>""</f>
        <v/>
      </c>
      <c r="F1828" t="str">
        <f>""</f>
        <v/>
      </c>
      <c r="H1828" t="str">
        <f t="shared" si="36"/>
        <v>MEDICARE TAXES</v>
      </c>
    </row>
    <row r="1829" spans="1:8" x14ac:dyDescent="0.25">
      <c r="E1829" t="str">
        <f>""</f>
        <v/>
      </c>
      <c r="F1829" t="str">
        <f>""</f>
        <v/>
      </c>
      <c r="H1829" t="str">
        <f t="shared" si="36"/>
        <v>MEDICARE TAXES</v>
      </c>
    </row>
    <row r="1830" spans="1:8" x14ac:dyDescent="0.25">
      <c r="E1830" t="str">
        <f>""</f>
        <v/>
      </c>
      <c r="F1830" t="str">
        <f>""</f>
        <v/>
      </c>
      <c r="H1830" t="str">
        <f t="shared" si="36"/>
        <v>MEDICARE TAXES</v>
      </c>
    </row>
    <row r="1831" spans="1:8" x14ac:dyDescent="0.25">
      <c r="E1831" t="str">
        <f>""</f>
        <v/>
      </c>
      <c r="F1831" t="str">
        <f>""</f>
        <v/>
      </c>
      <c r="H1831" t="str">
        <f t="shared" si="36"/>
        <v>MEDICARE TAXES</v>
      </c>
    </row>
    <row r="1832" spans="1:8" x14ac:dyDescent="0.25">
      <c r="E1832" t="str">
        <f>""</f>
        <v/>
      </c>
      <c r="F1832" t="str">
        <f>""</f>
        <v/>
      </c>
      <c r="H1832" t="str">
        <f t="shared" si="36"/>
        <v>MEDICARE TAXES</v>
      </c>
    </row>
    <row r="1833" spans="1:8" x14ac:dyDescent="0.25">
      <c r="E1833" t="str">
        <f>"T4 202011170085"</f>
        <v>T4 202011170085</v>
      </c>
      <c r="F1833" t="str">
        <f>"MEDICARE TAXES"</f>
        <v>MEDICARE TAXES</v>
      </c>
      <c r="G1833" s="1">
        <v>809.16</v>
      </c>
      <c r="H1833" t="str">
        <f t="shared" si="36"/>
        <v>MEDICARE TAXES</v>
      </c>
    </row>
    <row r="1834" spans="1:8" x14ac:dyDescent="0.25">
      <c r="E1834" t="str">
        <f>""</f>
        <v/>
      </c>
      <c r="F1834" t="str">
        <f>""</f>
        <v/>
      </c>
      <c r="H1834" t="str">
        <f t="shared" si="36"/>
        <v>MEDICARE TAXES</v>
      </c>
    </row>
    <row r="1835" spans="1:8" x14ac:dyDescent="0.25">
      <c r="E1835" t="str">
        <f>"T4 202011170086"</f>
        <v>T4 202011170086</v>
      </c>
      <c r="F1835" t="str">
        <f>"MEDICARE TAXES"</f>
        <v>MEDICARE TAXES</v>
      </c>
      <c r="G1835" s="1">
        <v>576.16</v>
      </c>
      <c r="H1835" t="str">
        <f t="shared" si="36"/>
        <v>MEDICARE TAXES</v>
      </c>
    </row>
    <row r="1836" spans="1:8" x14ac:dyDescent="0.25">
      <c r="E1836" t="str">
        <f>""</f>
        <v/>
      </c>
      <c r="F1836" t="str">
        <f>""</f>
        <v/>
      </c>
      <c r="H1836" t="str">
        <f t="shared" si="36"/>
        <v>MEDICARE TAXES</v>
      </c>
    </row>
    <row r="1837" spans="1:8" x14ac:dyDescent="0.25">
      <c r="A1837" t="s">
        <v>396</v>
      </c>
      <c r="B1837">
        <v>777</v>
      </c>
      <c r="C1837" s="1">
        <v>246400.52</v>
      </c>
      <c r="D1837" s="5">
        <v>44160</v>
      </c>
      <c r="E1837" t="str">
        <f>"T1 202011240269"</f>
        <v>T1 202011240269</v>
      </c>
      <c r="F1837" t="str">
        <f>"FEDERAL WITHHOLDING"</f>
        <v>FEDERAL WITHHOLDING</v>
      </c>
      <c r="G1837" s="1">
        <v>83303.22</v>
      </c>
      <c r="H1837" t="str">
        <f>"FEDERAL WITHHOLDING"</f>
        <v>FEDERAL WITHHOLDING</v>
      </c>
    </row>
    <row r="1838" spans="1:8" x14ac:dyDescent="0.25">
      <c r="E1838" t="str">
        <f>"T1 202011240270"</f>
        <v>T1 202011240270</v>
      </c>
      <c r="F1838" t="str">
        <f>"FEDERAL WITHHOLDING"</f>
        <v>FEDERAL WITHHOLDING</v>
      </c>
      <c r="G1838" s="1">
        <v>2885.6</v>
      </c>
      <c r="H1838" t="str">
        <f>"FEDERAL WITHHOLDING"</f>
        <v>FEDERAL WITHHOLDING</v>
      </c>
    </row>
    <row r="1839" spans="1:8" x14ac:dyDescent="0.25">
      <c r="E1839" t="str">
        <f>"T1 202011240271"</f>
        <v>T1 202011240271</v>
      </c>
      <c r="F1839" t="str">
        <f>"FEDERAL WITHHOLDING"</f>
        <v>FEDERAL WITHHOLDING</v>
      </c>
      <c r="G1839" s="1">
        <v>3189.64</v>
      </c>
      <c r="H1839" t="str">
        <f>"FEDERAL WITHHOLDING"</f>
        <v>FEDERAL WITHHOLDING</v>
      </c>
    </row>
    <row r="1840" spans="1:8" x14ac:dyDescent="0.25">
      <c r="E1840" t="str">
        <f>"T3 202011240269"</f>
        <v>T3 202011240269</v>
      </c>
      <c r="F1840" t="str">
        <f>"SOCIAL SECURITY TAXES"</f>
        <v>SOCIAL SECURITY TAXES</v>
      </c>
      <c r="G1840" s="1">
        <v>118307.56</v>
      </c>
      <c r="H1840" t="str">
        <f t="shared" ref="H1840:H1871" si="37">"SOCIAL SECURITY TAXES"</f>
        <v>SOCIAL SECURITY TAXES</v>
      </c>
    </row>
    <row r="1841" spans="5:8" x14ac:dyDescent="0.25">
      <c r="E1841" t="str">
        <f>""</f>
        <v/>
      </c>
      <c r="F1841" t="str">
        <f>""</f>
        <v/>
      </c>
      <c r="H1841" t="str">
        <f t="shared" si="37"/>
        <v>SOCIAL SECURITY TAXES</v>
      </c>
    </row>
    <row r="1842" spans="5:8" x14ac:dyDescent="0.25">
      <c r="E1842" t="str">
        <f>""</f>
        <v/>
      </c>
      <c r="F1842" t="str">
        <f>""</f>
        <v/>
      </c>
      <c r="H1842" t="str">
        <f t="shared" si="37"/>
        <v>SOCIAL SECURITY TAXES</v>
      </c>
    </row>
    <row r="1843" spans="5:8" x14ac:dyDescent="0.25">
      <c r="E1843" t="str">
        <f>""</f>
        <v/>
      </c>
      <c r="F1843" t="str">
        <f>""</f>
        <v/>
      </c>
      <c r="H1843" t="str">
        <f t="shared" si="37"/>
        <v>SOCIAL SECURITY TAXES</v>
      </c>
    </row>
    <row r="1844" spans="5:8" x14ac:dyDescent="0.25">
      <c r="E1844" t="str">
        <f>""</f>
        <v/>
      </c>
      <c r="F1844" t="str">
        <f>""</f>
        <v/>
      </c>
      <c r="H1844" t="str">
        <f t="shared" si="37"/>
        <v>SOCIAL SECURITY TAXES</v>
      </c>
    </row>
    <row r="1845" spans="5:8" x14ac:dyDescent="0.25">
      <c r="E1845" t="str">
        <f>""</f>
        <v/>
      </c>
      <c r="F1845" t="str">
        <f>""</f>
        <v/>
      </c>
      <c r="H1845" t="str">
        <f t="shared" si="37"/>
        <v>SOCIAL SECURITY TAXES</v>
      </c>
    </row>
    <row r="1846" spans="5:8" x14ac:dyDescent="0.25">
      <c r="E1846" t="str">
        <f>""</f>
        <v/>
      </c>
      <c r="F1846" t="str">
        <f>""</f>
        <v/>
      </c>
      <c r="H1846" t="str">
        <f t="shared" si="37"/>
        <v>SOCIAL SECURITY TAXES</v>
      </c>
    </row>
    <row r="1847" spans="5:8" x14ac:dyDescent="0.25">
      <c r="E1847" t="str">
        <f>""</f>
        <v/>
      </c>
      <c r="F1847" t="str">
        <f>""</f>
        <v/>
      </c>
      <c r="H1847" t="str">
        <f t="shared" si="37"/>
        <v>SOCIAL SECURITY TAXES</v>
      </c>
    </row>
    <row r="1848" spans="5:8" x14ac:dyDescent="0.25">
      <c r="E1848" t="str">
        <f>""</f>
        <v/>
      </c>
      <c r="F1848" t="str">
        <f>""</f>
        <v/>
      </c>
      <c r="H1848" t="str">
        <f t="shared" si="37"/>
        <v>SOCIAL SECURITY TAXES</v>
      </c>
    </row>
    <row r="1849" spans="5:8" x14ac:dyDescent="0.25">
      <c r="E1849" t="str">
        <f>""</f>
        <v/>
      </c>
      <c r="F1849" t="str">
        <f>""</f>
        <v/>
      </c>
      <c r="H1849" t="str">
        <f t="shared" si="37"/>
        <v>SOCIAL SECURITY TAXES</v>
      </c>
    </row>
    <row r="1850" spans="5:8" x14ac:dyDescent="0.25">
      <c r="E1850" t="str">
        <f>""</f>
        <v/>
      </c>
      <c r="F1850" t="str">
        <f>""</f>
        <v/>
      </c>
      <c r="H1850" t="str">
        <f t="shared" si="37"/>
        <v>SOCIAL SECURITY TAXES</v>
      </c>
    </row>
    <row r="1851" spans="5:8" x14ac:dyDescent="0.25">
      <c r="E1851" t="str">
        <f>""</f>
        <v/>
      </c>
      <c r="F1851" t="str">
        <f>""</f>
        <v/>
      </c>
      <c r="H1851" t="str">
        <f t="shared" si="37"/>
        <v>SOCIAL SECURITY TAXES</v>
      </c>
    </row>
    <row r="1852" spans="5:8" x14ac:dyDescent="0.25">
      <c r="E1852" t="str">
        <f>""</f>
        <v/>
      </c>
      <c r="F1852" t="str">
        <f>""</f>
        <v/>
      </c>
      <c r="H1852" t="str">
        <f t="shared" si="37"/>
        <v>SOCIAL SECURITY TAXES</v>
      </c>
    </row>
    <row r="1853" spans="5:8" x14ac:dyDescent="0.25">
      <c r="E1853" t="str">
        <f>""</f>
        <v/>
      </c>
      <c r="F1853" t="str">
        <f>""</f>
        <v/>
      </c>
      <c r="H1853" t="str">
        <f t="shared" si="37"/>
        <v>SOCIAL SECURITY TAXES</v>
      </c>
    </row>
    <row r="1854" spans="5:8" x14ac:dyDescent="0.25">
      <c r="E1854" t="str">
        <f>""</f>
        <v/>
      </c>
      <c r="F1854" t="str">
        <f>""</f>
        <v/>
      </c>
      <c r="H1854" t="str">
        <f t="shared" si="37"/>
        <v>SOCIAL SECURITY TAXES</v>
      </c>
    </row>
    <row r="1855" spans="5:8" x14ac:dyDescent="0.25">
      <c r="E1855" t="str">
        <f>""</f>
        <v/>
      </c>
      <c r="F1855" t="str">
        <f>""</f>
        <v/>
      </c>
      <c r="H1855" t="str">
        <f t="shared" si="37"/>
        <v>SOCIAL SECURITY TAXES</v>
      </c>
    </row>
    <row r="1856" spans="5:8" x14ac:dyDescent="0.25">
      <c r="E1856" t="str">
        <f>""</f>
        <v/>
      </c>
      <c r="F1856" t="str">
        <f>""</f>
        <v/>
      </c>
      <c r="H1856" t="str">
        <f t="shared" si="37"/>
        <v>SOCIAL SECURITY TAXES</v>
      </c>
    </row>
    <row r="1857" spans="5:8" x14ac:dyDescent="0.25">
      <c r="E1857" t="str">
        <f>""</f>
        <v/>
      </c>
      <c r="F1857" t="str">
        <f>""</f>
        <v/>
      </c>
      <c r="H1857" t="str">
        <f t="shared" si="37"/>
        <v>SOCIAL SECURITY TAXES</v>
      </c>
    </row>
    <row r="1858" spans="5:8" x14ac:dyDescent="0.25">
      <c r="E1858" t="str">
        <f>""</f>
        <v/>
      </c>
      <c r="F1858" t="str">
        <f>""</f>
        <v/>
      </c>
      <c r="H1858" t="str">
        <f t="shared" si="37"/>
        <v>SOCIAL SECURITY TAXES</v>
      </c>
    </row>
    <row r="1859" spans="5:8" x14ac:dyDescent="0.25">
      <c r="E1859" t="str">
        <f>""</f>
        <v/>
      </c>
      <c r="F1859" t="str">
        <f>""</f>
        <v/>
      </c>
      <c r="H1859" t="str">
        <f t="shared" si="37"/>
        <v>SOCIAL SECURITY TAXES</v>
      </c>
    </row>
    <row r="1860" spans="5:8" x14ac:dyDescent="0.25">
      <c r="E1860" t="str">
        <f>""</f>
        <v/>
      </c>
      <c r="F1860" t="str">
        <f>""</f>
        <v/>
      </c>
      <c r="H1860" t="str">
        <f t="shared" si="37"/>
        <v>SOCIAL SECURITY TAXES</v>
      </c>
    </row>
    <row r="1861" spans="5:8" x14ac:dyDescent="0.25">
      <c r="E1861" t="str">
        <f>""</f>
        <v/>
      </c>
      <c r="F1861" t="str">
        <f>""</f>
        <v/>
      </c>
      <c r="H1861" t="str">
        <f t="shared" si="37"/>
        <v>SOCIAL SECURITY TAXES</v>
      </c>
    </row>
    <row r="1862" spans="5:8" x14ac:dyDescent="0.25">
      <c r="E1862" t="str">
        <f>""</f>
        <v/>
      </c>
      <c r="F1862" t="str">
        <f>""</f>
        <v/>
      </c>
      <c r="H1862" t="str">
        <f t="shared" si="37"/>
        <v>SOCIAL SECURITY TAXES</v>
      </c>
    </row>
    <row r="1863" spans="5:8" x14ac:dyDescent="0.25">
      <c r="E1863" t="str">
        <f>""</f>
        <v/>
      </c>
      <c r="F1863" t="str">
        <f>""</f>
        <v/>
      </c>
      <c r="H1863" t="str">
        <f t="shared" si="37"/>
        <v>SOCIAL SECURITY TAXES</v>
      </c>
    </row>
    <row r="1864" spans="5:8" x14ac:dyDescent="0.25">
      <c r="E1864" t="str">
        <f>""</f>
        <v/>
      </c>
      <c r="F1864" t="str">
        <f>""</f>
        <v/>
      </c>
      <c r="H1864" t="str">
        <f t="shared" si="37"/>
        <v>SOCIAL SECURITY TAXES</v>
      </c>
    </row>
    <row r="1865" spans="5:8" x14ac:dyDescent="0.25">
      <c r="E1865" t="str">
        <f>""</f>
        <v/>
      </c>
      <c r="F1865" t="str">
        <f>""</f>
        <v/>
      </c>
      <c r="H1865" t="str">
        <f t="shared" si="37"/>
        <v>SOCIAL SECURITY TAXES</v>
      </c>
    </row>
    <row r="1866" spans="5:8" x14ac:dyDescent="0.25">
      <c r="E1866" t="str">
        <f>""</f>
        <v/>
      </c>
      <c r="F1866" t="str">
        <f>""</f>
        <v/>
      </c>
      <c r="H1866" t="str">
        <f t="shared" si="37"/>
        <v>SOCIAL SECURITY TAXES</v>
      </c>
    </row>
    <row r="1867" spans="5:8" x14ac:dyDescent="0.25">
      <c r="E1867" t="str">
        <f>""</f>
        <v/>
      </c>
      <c r="F1867" t="str">
        <f>""</f>
        <v/>
      </c>
      <c r="H1867" t="str">
        <f t="shared" si="37"/>
        <v>SOCIAL SECURITY TAXES</v>
      </c>
    </row>
    <row r="1868" spans="5:8" x14ac:dyDescent="0.25">
      <c r="E1868" t="str">
        <f>""</f>
        <v/>
      </c>
      <c r="F1868" t="str">
        <f>""</f>
        <v/>
      </c>
      <c r="H1868" t="str">
        <f t="shared" si="37"/>
        <v>SOCIAL SECURITY TAXES</v>
      </c>
    </row>
    <row r="1869" spans="5:8" x14ac:dyDescent="0.25">
      <c r="E1869" t="str">
        <f>""</f>
        <v/>
      </c>
      <c r="F1869" t="str">
        <f>""</f>
        <v/>
      </c>
      <c r="H1869" t="str">
        <f t="shared" si="37"/>
        <v>SOCIAL SECURITY TAXES</v>
      </c>
    </row>
    <row r="1870" spans="5:8" x14ac:dyDescent="0.25">
      <c r="E1870" t="str">
        <f>""</f>
        <v/>
      </c>
      <c r="F1870" t="str">
        <f>""</f>
        <v/>
      </c>
      <c r="H1870" t="str">
        <f t="shared" si="37"/>
        <v>SOCIAL SECURITY TAXES</v>
      </c>
    </row>
    <row r="1871" spans="5:8" x14ac:dyDescent="0.25">
      <c r="E1871" t="str">
        <f>""</f>
        <v/>
      </c>
      <c r="F1871" t="str">
        <f>""</f>
        <v/>
      </c>
      <c r="H1871" t="str">
        <f t="shared" si="37"/>
        <v>SOCIAL SECURITY TAXES</v>
      </c>
    </row>
    <row r="1872" spans="5:8" x14ac:dyDescent="0.25">
      <c r="E1872" t="str">
        <f>""</f>
        <v/>
      </c>
      <c r="F1872" t="str">
        <f>""</f>
        <v/>
      </c>
      <c r="H1872" t="str">
        <f t="shared" ref="H1872:H1896" si="38">"SOCIAL SECURITY TAXES"</f>
        <v>SOCIAL SECURITY TAXES</v>
      </c>
    </row>
    <row r="1873" spans="5:8" x14ac:dyDescent="0.25">
      <c r="E1873" t="str">
        <f>""</f>
        <v/>
      </c>
      <c r="F1873" t="str">
        <f>""</f>
        <v/>
      </c>
      <c r="H1873" t="str">
        <f t="shared" si="38"/>
        <v>SOCIAL SECURITY TAXES</v>
      </c>
    </row>
    <row r="1874" spans="5:8" x14ac:dyDescent="0.25">
      <c r="E1874" t="str">
        <f>""</f>
        <v/>
      </c>
      <c r="F1874" t="str">
        <f>""</f>
        <v/>
      </c>
      <c r="H1874" t="str">
        <f t="shared" si="38"/>
        <v>SOCIAL SECURITY TAXES</v>
      </c>
    </row>
    <row r="1875" spans="5:8" x14ac:dyDescent="0.25">
      <c r="E1875" t="str">
        <f>""</f>
        <v/>
      </c>
      <c r="F1875" t="str">
        <f>""</f>
        <v/>
      </c>
      <c r="H1875" t="str">
        <f t="shared" si="38"/>
        <v>SOCIAL SECURITY TAXES</v>
      </c>
    </row>
    <row r="1876" spans="5:8" x14ac:dyDescent="0.25">
      <c r="E1876" t="str">
        <f>""</f>
        <v/>
      </c>
      <c r="F1876" t="str">
        <f>""</f>
        <v/>
      </c>
      <c r="H1876" t="str">
        <f t="shared" si="38"/>
        <v>SOCIAL SECURITY TAXES</v>
      </c>
    </row>
    <row r="1877" spans="5:8" x14ac:dyDescent="0.25">
      <c r="E1877" t="str">
        <f>""</f>
        <v/>
      </c>
      <c r="F1877" t="str">
        <f>""</f>
        <v/>
      </c>
      <c r="H1877" t="str">
        <f t="shared" si="38"/>
        <v>SOCIAL SECURITY TAXES</v>
      </c>
    </row>
    <row r="1878" spans="5:8" x14ac:dyDescent="0.25">
      <c r="E1878" t="str">
        <f>""</f>
        <v/>
      </c>
      <c r="F1878" t="str">
        <f>""</f>
        <v/>
      </c>
      <c r="H1878" t="str">
        <f t="shared" si="38"/>
        <v>SOCIAL SECURITY TAXES</v>
      </c>
    </row>
    <row r="1879" spans="5:8" x14ac:dyDescent="0.25">
      <c r="E1879" t="str">
        <f>""</f>
        <v/>
      </c>
      <c r="F1879" t="str">
        <f>""</f>
        <v/>
      </c>
      <c r="H1879" t="str">
        <f t="shared" si="38"/>
        <v>SOCIAL SECURITY TAXES</v>
      </c>
    </row>
    <row r="1880" spans="5:8" x14ac:dyDescent="0.25">
      <c r="E1880" t="str">
        <f>""</f>
        <v/>
      </c>
      <c r="F1880" t="str">
        <f>""</f>
        <v/>
      </c>
      <c r="H1880" t="str">
        <f t="shared" si="38"/>
        <v>SOCIAL SECURITY TAXES</v>
      </c>
    </row>
    <row r="1881" spans="5:8" x14ac:dyDescent="0.25">
      <c r="E1881" t="str">
        <f>""</f>
        <v/>
      </c>
      <c r="F1881" t="str">
        <f>""</f>
        <v/>
      </c>
      <c r="H1881" t="str">
        <f t="shared" si="38"/>
        <v>SOCIAL SECURITY TAXES</v>
      </c>
    </row>
    <row r="1882" spans="5:8" x14ac:dyDescent="0.25">
      <c r="E1882" t="str">
        <f>""</f>
        <v/>
      </c>
      <c r="F1882" t="str">
        <f>""</f>
        <v/>
      </c>
      <c r="H1882" t="str">
        <f t="shared" si="38"/>
        <v>SOCIAL SECURITY TAXES</v>
      </c>
    </row>
    <row r="1883" spans="5:8" x14ac:dyDescent="0.25">
      <c r="E1883" t="str">
        <f>""</f>
        <v/>
      </c>
      <c r="F1883" t="str">
        <f>""</f>
        <v/>
      </c>
      <c r="H1883" t="str">
        <f t="shared" si="38"/>
        <v>SOCIAL SECURITY TAXES</v>
      </c>
    </row>
    <row r="1884" spans="5:8" x14ac:dyDescent="0.25">
      <c r="E1884" t="str">
        <f>""</f>
        <v/>
      </c>
      <c r="F1884" t="str">
        <f>""</f>
        <v/>
      </c>
      <c r="H1884" t="str">
        <f t="shared" si="38"/>
        <v>SOCIAL SECURITY TAXES</v>
      </c>
    </row>
    <row r="1885" spans="5:8" x14ac:dyDescent="0.25">
      <c r="E1885" t="str">
        <f>""</f>
        <v/>
      </c>
      <c r="F1885" t="str">
        <f>""</f>
        <v/>
      </c>
      <c r="H1885" t="str">
        <f t="shared" si="38"/>
        <v>SOCIAL SECURITY TAXES</v>
      </c>
    </row>
    <row r="1886" spans="5:8" x14ac:dyDescent="0.25">
      <c r="E1886" t="str">
        <f>""</f>
        <v/>
      </c>
      <c r="F1886" t="str">
        <f>""</f>
        <v/>
      </c>
      <c r="H1886" t="str">
        <f t="shared" si="38"/>
        <v>SOCIAL SECURITY TAXES</v>
      </c>
    </row>
    <row r="1887" spans="5:8" x14ac:dyDescent="0.25">
      <c r="E1887" t="str">
        <f>""</f>
        <v/>
      </c>
      <c r="F1887" t="str">
        <f>""</f>
        <v/>
      </c>
      <c r="H1887" t="str">
        <f t="shared" si="38"/>
        <v>SOCIAL SECURITY TAXES</v>
      </c>
    </row>
    <row r="1888" spans="5:8" x14ac:dyDescent="0.25">
      <c r="E1888" t="str">
        <f>""</f>
        <v/>
      </c>
      <c r="F1888" t="str">
        <f>""</f>
        <v/>
      </c>
      <c r="H1888" t="str">
        <f t="shared" si="38"/>
        <v>SOCIAL SECURITY TAXES</v>
      </c>
    </row>
    <row r="1889" spans="5:8" x14ac:dyDescent="0.25">
      <c r="E1889" t="str">
        <f>""</f>
        <v/>
      </c>
      <c r="F1889" t="str">
        <f>""</f>
        <v/>
      </c>
      <c r="H1889" t="str">
        <f t="shared" si="38"/>
        <v>SOCIAL SECURITY TAXES</v>
      </c>
    </row>
    <row r="1890" spans="5:8" x14ac:dyDescent="0.25">
      <c r="E1890" t="str">
        <f>""</f>
        <v/>
      </c>
      <c r="F1890" t="str">
        <f>""</f>
        <v/>
      </c>
      <c r="H1890" t="str">
        <f t="shared" si="38"/>
        <v>SOCIAL SECURITY TAXES</v>
      </c>
    </row>
    <row r="1891" spans="5:8" x14ac:dyDescent="0.25">
      <c r="E1891" t="str">
        <f>""</f>
        <v/>
      </c>
      <c r="F1891" t="str">
        <f>""</f>
        <v/>
      </c>
      <c r="H1891" t="str">
        <f t="shared" si="38"/>
        <v>SOCIAL SECURITY TAXES</v>
      </c>
    </row>
    <row r="1892" spans="5:8" x14ac:dyDescent="0.25">
      <c r="E1892" t="str">
        <f>""</f>
        <v/>
      </c>
      <c r="F1892" t="str">
        <f>""</f>
        <v/>
      </c>
      <c r="H1892" t="str">
        <f t="shared" si="38"/>
        <v>SOCIAL SECURITY TAXES</v>
      </c>
    </row>
    <row r="1893" spans="5:8" x14ac:dyDescent="0.25">
      <c r="E1893" t="str">
        <f>"T3 202011240270"</f>
        <v>T3 202011240270</v>
      </c>
      <c r="F1893" t="str">
        <f>"SOCIAL SECURITY TAXES"</f>
        <v>SOCIAL SECURITY TAXES</v>
      </c>
      <c r="G1893" s="1">
        <v>4026.3</v>
      </c>
      <c r="H1893" t="str">
        <f t="shared" si="38"/>
        <v>SOCIAL SECURITY TAXES</v>
      </c>
    </row>
    <row r="1894" spans="5:8" x14ac:dyDescent="0.25">
      <c r="E1894" t="str">
        <f>""</f>
        <v/>
      </c>
      <c r="F1894" t="str">
        <f>""</f>
        <v/>
      </c>
      <c r="H1894" t="str">
        <f t="shared" si="38"/>
        <v>SOCIAL SECURITY TAXES</v>
      </c>
    </row>
    <row r="1895" spans="5:8" x14ac:dyDescent="0.25">
      <c r="E1895" t="str">
        <f>"T3 202011240271"</f>
        <v>T3 202011240271</v>
      </c>
      <c r="F1895" t="str">
        <f>"SOCIAL SECURITY TAXES"</f>
        <v>SOCIAL SECURITY TAXES</v>
      </c>
      <c r="G1895" s="1">
        <v>4625.6000000000004</v>
      </c>
      <c r="H1895" t="str">
        <f t="shared" si="38"/>
        <v>SOCIAL SECURITY TAXES</v>
      </c>
    </row>
    <row r="1896" spans="5:8" x14ac:dyDescent="0.25">
      <c r="E1896" t="str">
        <f>""</f>
        <v/>
      </c>
      <c r="F1896" t="str">
        <f>""</f>
        <v/>
      </c>
      <c r="H1896" t="str">
        <f t="shared" si="38"/>
        <v>SOCIAL SECURITY TAXES</v>
      </c>
    </row>
    <row r="1897" spans="5:8" x14ac:dyDescent="0.25">
      <c r="E1897" t="str">
        <f>"T4 202011240269"</f>
        <v>T4 202011240269</v>
      </c>
      <c r="F1897" t="str">
        <f>"MEDICARE TAXES"</f>
        <v>MEDICARE TAXES</v>
      </c>
      <c r="G1897" s="1">
        <v>28039.1</v>
      </c>
      <c r="H1897" t="str">
        <f t="shared" ref="H1897:H1928" si="39">"MEDICARE TAXES"</f>
        <v>MEDICARE TAXES</v>
      </c>
    </row>
    <row r="1898" spans="5:8" x14ac:dyDescent="0.25">
      <c r="E1898" t="str">
        <f>""</f>
        <v/>
      </c>
      <c r="F1898" t="str">
        <f>""</f>
        <v/>
      </c>
      <c r="H1898" t="str">
        <f t="shared" si="39"/>
        <v>MEDICARE TAXES</v>
      </c>
    </row>
    <row r="1899" spans="5:8" x14ac:dyDescent="0.25">
      <c r="E1899" t="str">
        <f>""</f>
        <v/>
      </c>
      <c r="F1899" t="str">
        <f>""</f>
        <v/>
      </c>
      <c r="H1899" t="str">
        <f t="shared" si="39"/>
        <v>MEDICARE TAXES</v>
      </c>
    </row>
    <row r="1900" spans="5:8" x14ac:dyDescent="0.25">
      <c r="E1900" t="str">
        <f>""</f>
        <v/>
      </c>
      <c r="F1900" t="str">
        <f>""</f>
        <v/>
      </c>
      <c r="H1900" t="str">
        <f t="shared" si="39"/>
        <v>MEDICARE TAXES</v>
      </c>
    </row>
    <row r="1901" spans="5:8" x14ac:dyDescent="0.25">
      <c r="E1901" t="str">
        <f>""</f>
        <v/>
      </c>
      <c r="F1901" t="str">
        <f>""</f>
        <v/>
      </c>
      <c r="H1901" t="str">
        <f t="shared" si="39"/>
        <v>MEDICARE TAXES</v>
      </c>
    </row>
    <row r="1902" spans="5:8" x14ac:dyDescent="0.25">
      <c r="E1902" t="str">
        <f>""</f>
        <v/>
      </c>
      <c r="F1902" t="str">
        <f>""</f>
        <v/>
      </c>
      <c r="H1902" t="str">
        <f t="shared" si="39"/>
        <v>MEDICARE TAXES</v>
      </c>
    </row>
    <row r="1903" spans="5:8" x14ac:dyDescent="0.25">
      <c r="E1903" t="str">
        <f>""</f>
        <v/>
      </c>
      <c r="F1903" t="str">
        <f>""</f>
        <v/>
      </c>
      <c r="H1903" t="str">
        <f t="shared" si="39"/>
        <v>MEDICARE TAXES</v>
      </c>
    </row>
    <row r="1904" spans="5:8" x14ac:dyDescent="0.25">
      <c r="E1904" t="str">
        <f>""</f>
        <v/>
      </c>
      <c r="F1904" t="str">
        <f>""</f>
        <v/>
      </c>
      <c r="H1904" t="str">
        <f t="shared" si="39"/>
        <v>MEDICARE TAXES</v>
      </c>
    </row>
    <row r="1905" spans="5:8" x14ac:dyDescent="0.25">
      <c r="E1905" t="str">
        <f>""</f>
        <v/>
      </c>
      <c r="F1905" t="str">
        <f>""</f>
        <v/>
      </c>
      <c r="H1905" t="str">
        <f t="shared" si="39"/>
        <v>MEDICARE TAXES</v>
      </c>
    </row>
    <row r="1906" spans="5:8" x14ac:dyDescent="0.25">
      <c r="E1906" t="str">
        <f>""</f>
        <v/>
      </c>
      <c r="F1906" t="str">
        <f>""</f>
        <v/>
      </c>
      <c r="H1906" t="str">
        <f t="shared" si="39"/>
        <v>MEDICARE TAXES</v>
      </c>
    </row>
    <row r="1907" spans="5:8" x14ac:dyDescent="0.25">
      <c r="E1907" t="str">
        <f>""</f>
        <v/>
      </c>
      <c r="F1907" t="str">
        <f>""</f>
        <v/>
      </c>
      <c r="H1907" t="str">
        <f t="shared" si="39"/>
        <v>MEDICARE TAXES</v>
      </c>
    </row>
    <row r="1908" spans="5:8" x14ac:dyDescent="0.25">
      <c r="E1908" t="str">
        <f>""</f>
        <v/>
      </c>
      <c r="F1908" t="str">
        <f>""</f>
        <v/>
      </c>
      <c r="H1908" t="str">
        <f t="shared" si="39"/>
        <v>MEDICARE TAXES</v>
      </c>
    </row>
    <row r="1909" spans="5:8" x14ac:dyDescent="0.25">
      <c r="E1909" t="str">
        <f>""</f>
        <v/>
      </c>
      <c r="F1909" t="str">
        <f>""</f>
        <v/>
      </c>
      <c r="H1909" t="str">
        <f t="shared" si="39"/>
        <v>MEDICARE TAXES</v>
      </c>
    </row>
    <row r="1910" spans="5:8" x14ac:dyDescent="0.25">
      <c r="E1910" t="str">
        <f>""</f>
        <v/>
      </c>
      <c r="F1910" t="str">
        <f>""</f>
        <v/>
      </c>
      <c r="H1910" t="str">
        <f t="shared" si="39"/>
        <v>MEDICARE TAXES</v>
      </c>
    </row>
    <row r="1911" spans="5:8" x14ac:dyDescent="0.25">
      <c r="E1911" t="str">
        <f>""</f>
        <v/>
      </c>
      <c r="F1911" t="str">
        <f>""</f>
        <v/>
      </c>
      <c r="H1911" t="str">
        <f t="shared" si="39"/>
        <v>MEDICARE TAXES</v>
      </c>
    </row>
    <row r="1912" spans="5:8" x14ac:dyDescent="0.25">
      <c r="E1912" t="str">
        <f>""</f>
        <v/>
      </c>
      <c r="F1912" t="str">
        <f>""</f>
        <v/>
      </c>
      <c r="H1912" t="str">
        <f t="shared" si="39"/>
        <v>MEDICARE TAXES</v>
      </c>
    </row>
    <row r="1913" spans="5:8" x14ac:dyDescent="0.25">
      <c r="E1913" t="str">
        <f>""</f>
        <v/>
      </c>
      <c r="F1913" t="str">
        <f>""</f>
        <v/>
      </c>
      <c r="H1913" t="str">
        <f t="shared" si="39"/>
        <v>MEDICARE TAXES</v>
      </c>
    </row>
    <row r="1914" spans="5:8" x14ac:dyDescent="0.25">
      <c r="E1914" t="str">
        <f>""</f>
        <v/>
      </c>
      <c r="F1914" t="str">
        <f>""</f>
        <v/>
      </c>
      <c r="H1914" t="str">
        <f t="shared" si="39"/>
        <v>MEDICARE TAXES</v>
      </c>
    </row>
    <row r="1915" spans="5:8" x14ac:dyDescent="0.25">
      <c r="E1915" t="str">
        <f>""</f>
        <v/>
      </c>
      <c r="F1915" t="str">
        <f>""</f>
        <v/>
      </c>
      <c r="H1915" t="str">
        <f t="shared" si="39"/>
        <v>MEDICARE TAXES</v>
      </c>
    </row>
    <row r="1916" spans="5:8" x14ac:dyDescent="0.25">
      <c r="E1916" t="str">
        <f>""</f>
        <v/>
      </c>
      <c r="F1916" t="str">
        <f>""</f>
        <v/>
      </c>
      <c r="H1916" t="str">
        <f t="shared" si="39"/>
        <v>MEDICARE TAXES</v>
      </c>
    </row>
    <row r="1917" spans="5:8" x14ac:dyDescent="0.25">
      <c r="E1917" t="str">
        <f>""</f>
        <v/>
      </c>
      <c r="F1917" t="str">
        <f>""</f>
        <v/>
      </c>
      <c r="H1917" t="str">
        <f t="shared" si="39"/>
        <v>MEDICARE TAXES</v>
      </c>
    </row>
    <row r="1918" spans="5:8" x14ac:dyDescent="0.25">
      <c r="E1918" t="str">
        <f>""</f>
        <v/>
      </c>
      <c r="F1918" t="str">
        <f>""</f>
        <v/>
      </c>
      <c r="H1918" t="str">
        <f t="shared" si="39"/>
        <v>MEDICARE TAXES</v>
      </c>
    </row>
    <row r="1919" spans="5:8" x14ac:dyDescent="0.25">
      <c r="E1919" t="str">
        <f>""</f>
        <v/>
      </c>
      <c r="F1919" t="str">
        <f>""</f>
        <v/>
      </c>
      <c r="H1919" t="str">
        <f t="shared" si="39"/>
        <v>MEDICARE TAXES</v>
      </c>
    </row>
    <row r="1920" spans="5:8" x14ac:dyDescent="0.25">
      <c r="E1920" t="str">
        <f>""</f>
        <v/>
      </c>
      <c r="F1920" t="str">
        <f>""</f>
        <v/>
      </c>
      <c r="H1920" t="str">
        <f t="shared" si="39"/>
        <v>MEDICARE TAXES</v>
      </c>
    </row>
    <row r="1921" spans="5:8" x14ac:dyDescent="0.25">
      <c r="E1921" t="str">
        <f>""</f>
        <v/>
      </c>
      <c r="F1921" t="str">
        <f>""</f>
        <v/>
      </c>
      <c r="H1921" t="str">
        <f t="shared" si="39"/>
        <v>MEDICARE TAXES</v>
      </c>
    </row>
    <row r="1922" spans="5:8" x14ac:dyDescent="0.25">
      <c r="E1922" t="str">
        <f>""</f>
        <v/>
      </c>
      <c r="F1922" t="str">
        <f>""</f>
        <v/>
      </c>
      <c r="H1922" t="str">
        <f t="shared" si="39"/>
        <v>MEDICARE TAXES</v>
      </c>
    </row>
    <row r="1923" spans="5:8" x14ac:dyDescent="0.25">
      <c r="E1923" t="str">
        <f>""</f>
        <v/>
      </c>
      <c r="F1923" t="str">
        <f>""</f>
        <v/>
      </c>
      <c r="H1923" t="str">
        <f t="shared" si="39"/>
        <v>MEDICARE TAXES</v>
      </c>
    </row>
    <row r="1924" spans="5:8" x14ac:dyDescent="0.25">
      <c r="E1924" t="str">
        <f>""</f>
        <v/>
      </c>
      <c r="F1924" t="str">
        <f>""</f>
        <v/>
      </c>
      <c r="H1924" t="str">
        <f t="shared" si="39"/>
        <v>MEDICARE TAXES</v>
      </c>
    </row>
    <row r="1925" spans="5:8" x14ac:dyDescent="0.25">
      <c r="E1925" t="str">
        <f>""</f>
        <v/>
      </c>
      <c r="F1925" t="str">
        <f>""</f>
        <v/>
      </c>
      <c r="H1925" t="str">
        <f t="shared" si="39"/>
        <v>MEDICARE TAXES</v>
      </c>
    </row>
    <row r="1926" spans="5:8" x14ac:dyDescent="0.25">
      <c r="E1926" t="str">
        <f>""</f>
        <v/>
      </c>
      <c r="F1926" t="str">
        <f>""</f>
        <v/>
      </c>
      <c r="H1926" t="str">
        <f t="shared" si="39"/>
        <v>MEDICARE TAXES</v>
      </c>
    </row>
    <row r="1927" spans="5:8" x14ac:dyDescent="0.25">
      <c r="E1927" t="str">
        <f>""</f>
        <v/>
      </c>
      <c r="F1927" t="str">
        <f>""</f>
        <v/>
      </c>
      <c r="H1927" t="str">
        <f t="shared" si="39"/>
        <v>MEDICARE TAXES</v>
      </c>
    </row>
    <row r="1928" spans="5:8" x14ac:dyDescent="0.25">
      <c r="E1928" t="str">
        <f>""</f>
        <v/>
      </c>
      <c r="F1928" t="str">
        <f>""</f>
        <v/>
      </c>
      <c r="H1928" t="str">
        <f t="shared" si="39"/>
        <v>MEDICARE TAXES</v>
      </c>
    </row>
    <row r="1929" spans="5:8" x14ac:dyDescent="0.25">
      <c r="E1929" t="str">
        <f>""</f>
        <v/>
      </c>
      <c r="F1929" t="str">
        <f>""</f>
        <v/>
      </c>
      <c r="H1929" t="str">
        <f t="shared" ref="H1929:H1954" si="40">"MEDICARE TAXES"</f>
        <v>MEDICARE TAXES</v>
      </c>
    </row>
    <row r="1930" spans="5:8" x14ac:dyDescent="0.25">
      <c r="E1930" t="str">
        <f>""</f>
        <v/>
      </c>
      <c r="F1930" t="str">
        <f>""</f>
        <v/>
      </c>
      <c r="H1930" t="str">
        <f t="shared" si="40"/>
        <v>MEDICARE TAXES</v>
      </c>
    </row>
    <row r="1931" spans="5:8" x14ac:dyDescent="0.25">
      <c r="E1931" t="str">
        <f>""</f>
        <v/>
      </c>
      <c r="F1931" t="str">
        <f>""</f>
        <v/>
      </c>
      <c r="H1931" t="str">
        <f t="shared" si="40"/>
        <v>MEDICARE TAXES</v>
      </c>
    </row>
    <row r="1932" spans="5:8" x14ac:dyDescent="0.25">
      <c r="E1932" t="str">
        <f>""</f>
        <v/>
      </c>
      <c r="F1932" t="str">
        <f>""</f>
        <v/>
      </c>
      <c r="H1932" t="str">
        <f t="shared" si="40"/>
        <v>MEDICARE TAXES</v>
      </c>
    </row>
    <row r="1933" spans="5:8" x14ac:dyDescent="0.25">
      <c r="E1933" t="str">
        <f>""</f>
        <v/>
      </c>
      <c r="F1933" t="str">
        <f>""</f>
        <v/>
      </c>
      <c r="H1933" t="str">
        <f t="shared" si="40"/>
        <v>MEDICARE TAXES</v>
      </c>
    </row>
    <row r="1934" spans="5:8" x14ac:dyDescent="0.25">
      <c r="E1934" t="str">
        <f>""</f>
        <v/>
      </c>
      <c r="F1934" t="str">
        <f>""</f>
        <v/>
      </c>
      <c r="H1934" t="str">
        <f t="shared" si="40"/>
        <v>MEDICARE TAXES</v>
      </c>
    </row>
    <row r="1935" spans="5:8" x14ac:dyDescent="0.25">
      <c r="E1935" t="str">
        <f>""</f>
        <v/>
      </c>
      <c r="F1935" t="str">
        <f>""</f>
        <v/>
      </c>
      <c r="H1935" t="str">
        <f t="shared" si="40"/>
        <v>MEDICARE TAXES</v>
      </c>
    </row>
    <row r="1936" spans="5:8" x14ac:dyDescent="0.25">
      <c r="E1936" t="str">
        <f>""</f>
        <v/>
      </c>
      <c r="F1936" t="str">
        <f>""</f>
        <v/>
      </c>
      <c r="H1936" t="str">
        <f t="shared" si="40"/>
        <v>MEDICARE TAXES</v>
      </c>
    </row>
    <row r="1937" spans="5:8" x14ac:dyDescent="0.25">
      <c r="E1937" t="str">
        <f>""</f>
        <v/>
      </c>
      <c r="F1937" t="str">
        <f>""</f>
        <v/>
      </c>
      <c r="H1937" t="str">
        <f t="shared" si="40"/>
        <v>MEDICARE TAXES</v>
      </c>
    </row>
    <row r="1938" spans="5:8" x14ac:dyDescent="0.25">
      <c r="E1938" t="str">
        <f>""</f>
        <v/>
      </c>
      <c r="F1938" t="str">
        <f>""</f>
        <v/>
      </c>
      <c r="H1938" t="str">
        <f t="shared" si="40"/>
        <v>MEDICARE TAXES</v>
      </c>
    </row>
    <row r="1939" spans="5:8" x14ac:dyDescent="0.25">
      <c r="E1939" t="str">
        <f>""</f>
        <v/>
      </c>
      <c r="F1939" t="str">
        <f>""</f>
        <v/>
      </c>
      <c r="H1939" t="str">
        <f t="shared" si="40"/>
        <v>MEDICARE TAXES</v>
      </c>
    </row>
    <row r="1940" spans="5:8" x14ac:dyDescent="0.25">
      <c r="E1940" t="str">
        <f>""</f>
        <v/>
      </c>
      <c r="F1940" t="str">
        <f>""</f>
        <v/>
      </c>
      <c r="H1940" t="str">
        <f t="shared" si="40"/>
        <v>MEDICARE TAXES</v>
      </c>
    </row>
    <row r="1941" spans="5:8" x14ac:dyDescent="0.25">
      <c r="E1941" t="str">
        <f>""</f>
        <v/>
      </c>
      <c r="F1941" t="str">
        <f>""</f>
        <v/>
      </c>
      <c r="H1941" t="str">
        <f t="shared" si="40"/>
        <v>MEDICARE TAXES</v>
      </c>
    </row>
    <row r="1942" spans="5:8" x14ac:dyDescent="0.25">
      <c r="E1942" t="str">
        <f>""</f>
        <v/>
      </c>
      <c r="F1942" t="str">
        <f>""</f>
        <v/>
      </c>
      <c r="H1942" t="str">
        <f t="shared" si="40"/>
        <v>MEDICARE TAXES</v>
      </c>
    </row>
    <row r="1943" spans="5:8" x14ac:dyDescent="0.25">
      <c r="E1943" t="str">
        <f>""</f>
        <v/>
      </c>
      <c r="F1943" t="str">
        <f>""</f>
        <v/>
      </c>
      <c r="H1943" t="str">
        <f t="shared" si="40"/>
        <v>MEDICARE TAXES</v>
      </c>
    </row>
    <row r="1944" spans="5:8" x14ac:dyDescent="0.25">
      <c r="E1944" t="str">
        <f>""</f>
        <v/>
      </c>
      <c r="F1944" t="str">
        <f>""</f>
        <v/>
      </c>
      <c r="H1944" t="str">
        <f t="shared" si="40"/>
        <v>MEDICARE TAXES</v>
      </c>
    </row>
    <row r="1945" spans="5:8" x14ac:dyDescent="0.25">
      <c r="E1945" t="str">
        <f>""</f>
        <v/>
      </c>
      <c r="F1945" t="str">
        <f>""</f>
        <v/>
      </c>
      <c r="H1945" t="str">
        <f t="shared" si="40"/>
        <v>MEDICARE TAXES</v>
      </c>
    </row>
    <row r="1946" spans="5:8" x14ac:dyDescent="0.25">
      <c r="E1946" t="str">
        <f>""</f>
        <v/>
      </c>
      <c r="F1946" t="str">
        <f>""</f>
        <v/>
      </c>
      <c r="H1946" t="str">
        <f t="shared" si="40"/>
        <v>MEDICARE TAXES</v>
      </c>
    </row>
    <row r="1947" spans="5:8" x14ac:dyDescent="0.25">
      <c r="E1947" t="str">
        <f>""</f>
        <v/>
      </c>
      <c r="F1947" t="str">
        <f>""</f>
        <v/>
      </c>
      <c r="H1947" t="str">
        <f t="shared" si="40"/>
        <v>MEDICARE TAXES</v>
      </c>
    </row>
    <row r="1948" spans="5:8" x14ac:dyDescent="0.25">
      <c r="E1948" t="str">
        <f>""</f>
        <v/>
      </c>
      <c r="F1948" t="str">
        <f>""</f>
        <v/>
      </c>
      <c r="H1948" t="str">
        <f t="shared" si="40"/>
        <v>MEDICARE TAXES</v>
      </c>
    </row>
    <row r="1949" spans="5:8" x14ac:dyDescent="0.25">
      <c r="E1949" t="str">
        <f>""</f>
        <v/>
      </c>
      <c r="F1949" t="str">
        <f>""</f>
        <v/>
      </c>
      <c r="H1949" t="str">
        <f t="shared" si="40"/>
        <v>MEDICARE TAXES</v>
      </c>
    </row>
    <row r="1950" spans="5:8" x14ac:dyDescent="0.25">
      <c r="E1950" t="str">
        <f>""</f>
        <v/>
      </c>
      <c r="F1950" t="str">
        <f>""</f>
        <v/>
      </c>
      <c r="H1950" t="str">
        <f t="shared" si="40"/>
        <v>MEDICARE TAXES</v>
      </c>
    </row>
    <row r="1951" spans="5:8" x14ac:dyDescent="0.25">
      <c r="E1951" t="str">
        <f>"T4 202011240270"</f>
        <v>T4 202011240270</v>
      </c>
      <c r="F1951" t="str">
        <f>"MEDICARE TAXES"</f>
        <v>MEDICARE TAXES</v>
      </c>
      <c r="G1951" s="1">
        <v>941.66</v>
      </c>
      <c r="H1951" t="str">
        <f t="shared" si="40"/>
        <v>MEDICARE TAXES</v>
      </c>
    </row>
    <row r="1952" spans="5:8" x14ac:dyDescent="0.25">
      <c r="E1952" t="str">
        <f>""</f>
        <v/>
      </c>
      <c r="F1952" t="str">
        <f>""</f>
        <v/>
      </c>
      <c r="H1952" t="str">
        <f t="shared" si="40"/>
        <v>MEDICARE TAXES</v>
      </c>
    </row>
    <row r="1953" spans="1:8" x14ac:dyDescent="0.25">
      <c r="E1953" t="str">
        <f>"T4 202011240271"</f>
        <v>T4 202011240271</v>
      </c>
      <c r="F1953" t="str">
        <f>"MEDICARE TAXES"</f>
        <v>MEDICARE TAXES</v>
      </c>
      <c r="G1953" s="1">
        <v>1081.8399999999999</v>
      </c>
      <c r="H1953" t="str">
        <f t="shared" si="40"/>
        <v>MEDICARE TAXES</v>
      </c>
    </row>
    <row r="1954" spans="1:8" x14ac:dyDescent="0.25">
      <c r="E1954" t="str">
        <f>""</f>
        <v/>
      </c>
      <c r="F1954" t="str">
        <f>""</f>
        <v/>
      </c>
      <c r="H1954" t="str">
        <f t="shared" si="40"/>
        <v>MEDICARE TAXES</v>
      </c>
    </row>
    <row r="1955" spans="1:8" x14ac:dyDescent="0.25">
      <c r="A1955" t="s">
        <v>397</v>
      </c>
      <c r="B1955">
        <v>806</v>
      </c>
      <c r="C1955" s="1">
        <v>535.82000000000005</v>
      </c>
      <c r="D1955" s="5">
        <v>44160</v>
      </c>
      <c r="E1955" t="str">
        <f>"LIX202011100003"</f>
        <v>LIX202011100003</v>
      </c>
      <c r="F1955" t="str">
        <f>"TEXAS LIFE/OLIVO GROUP"</f>
        <v>TEXAS LIFE/OLIVO GROUP</v>
      </c>
      <c r="G1955" s="1">
        <v>267.91000000000003</v>
      </c>
      <c r="H1955" t="str">
        <f>"TEXAS LIFE/OLIVO GROUP"</f>
        <v>TEXAS LIFE/OLIVO GROUP</v>
      </c>
    </row>
    <row r="1956" spans="1:8" x14ac:dyDescent="0.25">
      <c r="E1956" t="str">
        <f>"LIX202011240269"</f>
        <v>LIX202011240269</v>
      </c>
      <c r="F1956" t="str">
        <f>"TEXAS LIFE/OLIVO GROUP"</f>
        <v>TEXAS LIFE/OLIVO GROUP</v>
      </c>
      <c r="G1956" s="1">
        <v>267.91000000000003</v>
      </c>
      <c r="H1956" t="str">
        <f>"TEXAS LIFE/OLIVO GROUP"</f>
        <v>TEXAS LIFE/OLIVO GROUP</v>
      </c>
    </row>
    <row r="1957" spans="1:8" x14ac:dyDescent="0.25">
      <c r="A1957" t="s">
        <v>398</v>
      </c>
      <c r="B1957">
        <v>48210</v>
      </c>
      <c r="C1957" s="1">
        <v>369504.26</v>
      </c>
      <c r="D1957" s="5">
        <v>44160</v>
      </c>
      <c r="E1957" t="str">
        <f>"202011250309"</f>
        <v>202011250309</v>
      </c>
      <c r="F1957" t="str">
        <f>"NOV 2020 - ADJ - J SOMMERFELD"</f>
        <v>NOV 2020 - ADJ - J SOMMERFELD</v>
      </c>
      <c r="G1957" s="1">
        <v>-341.83</v>
      </c>
      <c r="H1957" t="str">
        <f>"NOV 2020 - ADJ - J SOMMERFELD"</f>
        <v>NOV 2020 - ADJ - J SOMMERFELD</v>
      </c>
    </row>
    <row r="1958" spans="1:8" x14ac:dyDescent="0.25">
      <c r="E1958" t="str">
        <f>"202011250311"</f>
        <v>202011250311</v>
      </c>
      <c r="F1958" t="str">
        <f>"RETIREE INS - NOVEMBER 2020"</f>
        <v>RETIREE INS - NOVEMBER 2020</v>
      </c>
      <c r="G1958" s="1">
        <v>15980.04</v>
      </c>
      <c r="H1958" t="str">
        <f>"RETIREE INS - NOVEMBER 2020"</f>
        <v>RETIREE INS - NOVEMBER 2020</v>
      </c>
    </row>
    <row r="1959" spans="1:8" x14ac:dyDescent="0.25">
      <c r="E1959" t="str">
        <f>"2EC202011100003"</f>
        <v>2EC202011100003</v>
      </c>
      <c r="F1959" t="str">
        <f>"BCBS PAYABLE"</f>
        <v>BCBS PAYABLE</v>
      </c>
      <c r="G1959" s="1">
        <v>50989.94</v>
      </c>
      <c r="H1959" t="str">
        <f t="shared" ref="H1959:H2022" si="41">"BCBS PAYABLE"</f>
        <v>BCBS PAYABLE</v>
      </c>
    </row>
    <row r="1960" spans="1:8" x14ac:dyDescent="0.25">
      <c r="E1960" t="str">
        <f>""</f>
        <v/>
      </c>
      <c r="F1960" t="str">
        <f>""</f>
        <v/>
      </c>
      <c r="H1960" t="str">
        <f t="shared" si="41"/>
        <v>BCBS PAYABLE</v>
      </c>
    </row>
    <row r="1961" spans="1:8" x14ac:dyDescent="0.25">
      <c r="E1961" t="str">
        <f>""</f>
        <v/>
      </c>
      <c r="F1961" t="str">
        <f>""</f>
        <v/>
      </c>
      <c r="H1961" t="str">
        <f t="shared" si="41"/>
        <v>BCBS PAYABLE</v>
      </c>
    </row>
    <row r="1962" spans="1:8" x14ac:dyDescent="0.25">
      <c r="E1962" t="str">
        <f>""</f>
        <v/>
      </c>
      <c r="F1962" t="str">
        <f>""</f>
        <v/>
      </c>
      <c r="H1962" t="str">
        <f t="shared" si="41"/>
        <v>BCBS PAYABLE</v>
      </c>
    </row>
    <row r="1963" spans="1:8" x14ac:dyDescent="0.25">
      <c r="E1963" t="str">
        <f>""</f>
        <v/>
      </c>
      <c r="F1963" t="str">
        <f>""</f>
        <v/>
      </c>
      <c r="H1963" t="str">
        <f t="shared" si="41"/>
        <v>BCBS PAYABLE</v>
      </c>
    </row>
    <row r="1964" spans="1:8" x14ac:dyDescent="0.25">
      <c r="E1964" t="str">
        <f>""</f>
        <v/>
      </c>
      <c r="F1964" t="str">
        <f>""</f>
        <v/>
      </c>
      <c r="H1964" t="str">
        <f t="shared" si="41"/>
        <v>BCBS PAYABLE</v>
      </c>
    </row>
    <row r="1965" spans="1:8" x14ac:dyDescent="0.25">
      <c r="E1965" t="str">
        <f>""</f>
        <v/>
      </c>
      <c r="F1965" t="str">
        <f>""</f>
        <v/>
      </c>
      <c r="H1965" t="str">
        <f t="shared" si="41"/>
        <v>BCBS PAYABLE</v>
      </c>
    </row>
    <row r="1966" spans="1:8" x14ac:dyDescent="0.25">
      <c r="E1966" t="str">
        <f>""</f>
        <v/>
      </c>
      <c r="F1966" t="str">
        <f>""</f>
        <v/>
      </c>
      <c r="H1966" t="str">
        <f t="shared" si="41"/>
        <v>BCBS PAYABLE</v>
      </c>
    </row>
    <row r="1967" spans="1:8" x14ac:dyDescent="0.25">
      <c r="E1967" t="str">
        <f>""</f>
        <v/>
      </c>
      <c r="F1967" t="str">
        <f>""</f>
        <v/>
      </c>
      <c r="H1967" t="str">
        <f t="shared" si="41"/>
        <v>BCBS PAYABLE</v>
      </c>
    </row>
    <row r="1968" spans="1:8" x14ac:dyDescent="0.25">
      <c r="E1968" t="str">
        <f>""</f>
        <v/>
      </c>
      <c r="F1968" t="str">
        <f>""</f>
        <v/>
      </c>
      <c r="H1968" t="str">
        <f t="shared" si="41"/>
        <v>BCBS PAYABLE</v>
      </c>
    </row>
    <row r="1969" spans="5:8" x14ac:dyDescent="0.25">
      <c r="E1969" t="str">
        <f>""</f>
        <v/>
      </c>
      <c r="F1969" t="str">
        <f>""</f>
        <v/>
      </c>
      <c r="H1969" t="str">
        <f t="shared" si="41"/>
        <v>BCBS PAYABLE</v>
      </c>
    </row>
    <row r="1970" spans="5:8" x14ac:dyDescent="0.25">
      <c r="E1970" t="str">
        <f>""</f>
        <v/>
      </c>
      <c r="F1970" t="str">
        <f>""</f>
        <v/>
      </c>
      <c r="H1970" t="str">
        <f t="shared" si="41"/>
        <v>BCBS PAYABLE</v>
      </c>
    </row>
    <row r="1971" spans="5:8" x14ac:dyDescent="0.25">
      <c r="E1971" t="str">
        <f>""</f>
        <v/>
      </c>
      <c r="F1971" t="str">
        <f>""</f>
        <v/>
      </c>
      <c r="H1971" t="str">
        <f t="shared" si="41"/>
        <v>BCBS PAYABLE</v>
      </c>
    </row>
    <row r="1972" spans="5:8" x14ac:dyDescent="0.25">
      <c r="E1972" t="str">
        <f>""</f>
        <v/>
      </c>
      <c r="F1972" t="str">
        <f>""</f>
        <v/>
      </c>
      <c r="H1972" t="str">
        <f t="shared" si="41"/>
        <v>BCBS PAYABLE</v>
      </c>
    </row>
    <row r="1973" spans="5:8" x14ac:dyDescent="0.25">
      <c r="E1973" t="str">
        <f>""</f>
        <v/>
      </c>
      <c r="F1973" t="str">
        <f>""</f>
        <v/>
      </c>
      <c r="H1973" t="str">
        <f t="shared" si="41"/>
        <v>BCBS PAYABLE</v>
      </c>
    </row>
    <row r="1974" spans="5:8" x14ac:dyDescent="0.25">
      <c r="E1974" t="str">
        <f>""</f>
        <v/>
      </c>
      <c r="F1974" t="str">
        <f>""</f>
        <v/>
      </c>
      <c r="H1974" t="str">
        <f t="shared" si="41"/>
        <v>BCBS PAYABLE</v>
      </c>
    </row>
    <row r="1975" spans="5:8" x14ac:dyDescent="0.25">
      <c r="E1975" t="str">
        <f>""</f>
        <v/>
      </c>
      <c r="F1975" t="str">
        <f>""</f>
        <v/>
      </c>
      <c r="H1975" t="str">
        <f t="shared" si="41"/>
        <v>BCBS PAYABLE</v>
      </c>
    </row>
    <row r="1976" spans="5:8" x14ac:dyDescent="0.25">
      <c r="E1976" t="str">
        <f>""</f>
        <v/>
      </c>
      <c r="F1976" t="str">
        <f>""</f>
        <v/>
      </c>
      <c r="H1976" t="str">
        <f t="shared" si="41"/>
        <v>BCBS PAYABLE</v>
      </c>
    </row>
    <row r="1977" spans="5:8" x14ac:dyDescent="0.25">
      <c r="E1977" t="str">
        <f>""</f>
        <v/>
      </c>
      <c r="F1977" t="str">
        <f>""</f>
        <v/>
      </c>
      <c r="H1977" t="str">
        <f t="shared" si="41"/>
        <v>BCBS PAYABLE</v>
      </c>
    </row>
    <row r="1978" spans="5:8" x14ac:dyDescent="0.25">
      <c r="E1978" t="str">
        <f>""</f>
        <v/>
      </c>
      <c r="F1978" t="str">
        <f>""</f>
        <v/>
      </c>
      <c r="H1978" t="str">
        <f t="shared" si="41"/>
        <v>BCBS PAYABLE</v>
      </c>
    </row>
    <row r="1979" spans="5:8" x14ac:dyDescent="0.25">
      <c r="E1979" t="str">
        <f>""</f>
        <v/>
      </c>
      <c r="F1979" t="str">
        <f>""</f>
        <v/>
      </c>
      <c r="H1979" t="str">
        <f t="shared" si="41"/>
        <v>BCBS PAYABLE</v>
      </c>
    </row>
    <row r="1980" spans="5:8" x14ac:dyDescent="0.25">
      <c r="E1980" t="str">
        <f>""</f>
        <v/>
      </c>
      <c r="F1980" t="str">
        <f>""</f>
        <v/>
      </c>
      <c r="H1980" t="str">
        <f t="shared" si="41"/>
        <v>BCBS PAYABLE</v>
      </c>
    </row>
    <row r="1981" spans="5:8" x14ac:dyDescent="0.25">
      <c r="E1981" t="str">
        <f>""</f>
        <v/>
      </c>
      <c r="F1981" t="str">
        <f>""</f>
        <v/>
      </c>
      <c r="H1981" t="str">
        <f t="shared" si="41"/>
        <v>BCBS PAYABLE</v>
      </c>
    </row>
    <row r="1982" spans="5:8" x14ac:dyDescent="0.25">
      <c r="E1982" t="str">
        <f>""</f>
        <v/>
      </c>
      <c r="F1982" t="str">
        <f>""</f>
        <v/>
      </c>
      <c r="H1982" t="str">
        <f t="shared" si="41"/>
        <v>BCBS PAYABLE</v>
      </c>
    </row>
    <row r="1983" spans="5:8" x14ac:dyDescent="0.25">
      <c r="E1983" t="str">
        <f>""</f>
        <v/>
      </c>
      <c r="F1983" t="str">
        <f>""</f>
        <v/>
      </c>
      <c r="H1983" t="str">
        <f t="shared" si="41"/>
        <v>BCBS PAYABLE</v>
      </c>
    </row>
    <row r="1984" spans="5:8" x14ac:dyDescent="0.25">
      <c r="E1984" t="str">
        <f>""</f>
        <v/>
      </c>
      <c r="F1984" t="str">
        <f>""</f>
        <v/>
      </c>
      <c r="H1984" t="str">
        <f t="shared" si="41"/>
        <v>BCBS PAYABLE</v>
      </c>
    </row>
    <row r="1985" spans="5:8" x14ac:dyDescent="0.25">
      <c r="E1985" t="str">
        <f>""</f>
        <v/>
      </c>
      <c r="F1985" t="str">
        <f>""</f>
        <v/>
      </c>
      <c r="H1985" t="str">
        <f t="shared" si="41"/>
        <v>BCBS PAYABLE</v>
      </c>
    </row>
    <row r="1986" spans="5:8" x14ac:dyDescent="0.25">
      <c r="E1986" t="str">
        <f>""</f>
        <v/>
      </c>
      <c r="F1986" t="str">
        <f>""</f>
        <v/>
      </c>
      <c r="H1986" t="str">
        <f t="shared" si="41"/>
        <v>BCBS PAYABLE</v>
      </c>
    </row>
    <row r="1987" spans="5:8" x14ac:dyDescent="0.25">
      <c r="E1987" t="str">
        <f>""</f>
        <v/>
      </c>
      <c r="F1987" t="str">
        <f>""</f>
        <v/>
      </c>
      <c r="H1987" t="str">
        <f t="shared" si="41"/>
        <v>BCBS PAYABLE</v>
      </c>
    </row>
    <row r="1988" spans="5:8" x14ac:dyDescent="0.25">
      <c r="E1988" t="str">
        <f>""</f>
        <v/>
      </c>
      <c r="F1988" t="str">
        <f>""</f>
        <v/>
      </c>
      <c r="H1988" t="str">
        <f t="shared" si="41"/>
        <v>BCBS PAYABLE</v>
      </c>
    </row>
    <row r="1989" spans="5:8" x14ac:dyDescent="0.25">
      <c r="E1989" t="str">
        <f>""</f>
        <v/>
      </c>
      <c r="F1989" t="str">
        <f>""</f>
        <v/>
      </c>
      <c r="H1989" t="str">
        <f t="shared" si="41"/>
        <v>BCBS PAYABLE</v>
      </c>
    </row>
    <row r="1990" spans="5:8" x14ac:dyDescent="0.25">
      <c r="E1990" t="str">
        <f>"2EC202011100004"</f>
        <v>2EC202011100004</v>
      </c>
      <c r="F1990" t="str">
        <f>"BCBS PAYABLE"</f>
        <v>BCBS PAYABLE</v>
      </c>
      <c r="G1990" s="1">
        <v>2818.56</v>
      </c>
      <c r="H1990" t="str">
        <f t="shared" si="41"/>
        <v>BCBS PAYABLE</v>
      </c>
    </row>
    <row r="1991" spans="5:8" x14ac:dyDescent="0.25">
      <c r="E1991" t="str">
        <f>""</f>
        <v/>
      </c>
      <c r="F1991" t="str">
        <f>""</f>
        <v/>
      </c>
      <c r="H1991" t="str">
        <f t="shared" si="41"/>
        <v>BCBS PAYABLE</v>
      </c>
    </row>
    <row r="1992" spans="5:8" x14ac:dyDescent="0.25">
      <c r="E1992" t="str">
        <f>"2EC202011240269"</f>
        <v>2EC202011240269</v>
      </c>
      <c r="F1992" t="str">
        <f>"BCBS PAYABLE"</f>
        <v>BCBS PAYABLE</v>
      </c>
      <c r="G1992" s="1">
        <v>50136.39</v>
      </c>
      <c r="H1992" t="str">
        <f t="shared" si="41"/>
        <v>BCBS PAYABLE</v>
      </c>
    </row>
    <row r="1993" spans="5:8" x14ac:dyDescent="0.25">
      <c r="E1993" t="str">
        <f>""</f>
        <v/>
      </c>
      <c r="F1993" t="str">
        <f>""</f>
        <v/>
      </c>
      <c r="H1993" t="str">
        <f t="shared" si="41"/>
        <v>BCBS PAYABLE</v>
      </c>
    </row>
    <row r="1994" spans="5:8" x14ac:dyDescent="0.25">
      <c r="E1994" t="str">
        <f>""</f>
        <v/>
      </c>
      <c r="F1994" t="str">
        <f>""</f>
        <v/>
      </c>
      <c r="H1994" t="str">
        <f t="shared" si="41"/>
        <v>BCBS PAYABLE</v>
      </c>
    </row>
    <row r="1995" spans="5:8" x14ac:dyDescent="0.25">
      <c r="E1995" t="str">
        <f>""</f>
        <v/>
      </c>
      <c r="F1995" t="str">
        <f>""</f>
        <v/>
      </c>
      <c r="H1995" t="str">
        <f t="shared" si="41"/>
        <v>BCBS PAYABLE</v>
      </c>
    </row>
    <row r="1996" spans="5:8" x14ac:dyDescent="0.25">
      <c r="E1996" t="str">
        <f>""</f>
        <v/>
      </c>
      <c r="F1996" t="str">
        <f>""</f>
        <v/>
      </c>
      <c r="H1996" t="str">
        <f t="shared" si="41"/>
        <v>BCBS PAYABLE</v>
      </c>
    </row>
    <row r="1997" spans="5:8" x14ac:dyDescent="0.25">
      <c r="E1997" t="str">
        <f>""</f>
        <v/>
      </c>
      <c r="F1997" t="str">
        <f>""</f>
        <v/>
      </c>
      <c r="H1997" t="str">
        <f t="shared" si="41"/>
        <v>BCBS PAYABLE</v>
      </c>
    </row>
    <row r="1998" spans="5:8" x14ac:dyDescent="0.25">
      <c r="E1998" t="str">
        <f>""</f>
        <v/>
      </c>
      <c r="F1998" t="str">
        <f>""</f>
        <v/>
      </c>
      <c r="H1998" t="str">
        <f t="shared" si="41"/>
        <v>BCBS PAYABLE</v>
      </c>
    </row>
    <row r="1999" spans="5:8" x14ac:dyDescent="0.25">
      <c r="E1999" t="str">
        <f>""</f>
        <v/>
      </c>
      <c r="F1999" t="str">
        <f>""</f>
        <v/>
      </c>
      <c r="H1999" t="str">
        <f t="shared" si="41"/>
        <v>BCBS PAYABLE</v>
      </c>
    </row>
    <row r="2000" spans="5:8" x14ac:dyDescent="0.25">
      <c r="E2000" t="str">
        <f>""</f>
        <v/>
      </c>
      <c r="F2000" t="str">
        <f>""</f>
        <v/>
      </c>
      <c r="H2000" t="str">
        <f t="shared" si="41"/>
        <v>BCBS PAYABLE</v>
      </c>
    </row>
    <row r="2001" spans="5:8" x14ac:dyDescent="0.25">
      <c r="E2001" t="str">
        <f>""</f>
        <v/>
      </c>
      <c r="F2001" t="str">
        <f>""</f>
        <v/>
      </c>
      <c r="H2001" t="str">
        <f t="shared" si="41"/>
        <v>BCBS PAYABLE</v>
      </c>
    </row>
    <row r="2002" spans="5:8" x14ac:dyDescent="0.25">
      <c r="E2002" t="str">
        <f>""</f>
        <v/>
      </c>
      <c r="F2002" t="str">
        <f>""</f>
        <v/>
      </c>
      <c r="H2002" t="str">
        <f t="shared" si="41"/>
        <v>BCBS PAYABLE</v>
      </c>
    </row>
    <row r="2003" spans="5:8" x14ac:dyDescent="0.25">
      <c r="E2003" t="str">
        <f>""</f>
        <v/>
      </c>
      <c r="F2003" t="str">
        <f>""</f>
        <v/>
      </c>
      <c r="H2003" t="str">
        <f t="shared" si="41"/>
        <v>BCBS PAYABLE</v>
      </c>
    </row>
    <row r="2004" spans="5:8" x14ac:dyDescent="0.25">
      <c r="E2004" t="str">
        <f>""</f>
        <v/>
      </c>
      <c r="F2004" t="str">
        <f>""</f>
        <v/>
      </c>
      <c r="H2004" t="str">
        <f t="shared" si="41"/>
        <v>BCBS PAYABLE</v>
      </c>
    </row>
    <row r="2005" spans="5:8" x14ac:dyDescent="0.25">
      <c r="E2005" t="str">
        <f>""</f>
        <v/>
      </c>
      <c r="F2005" t="str">
        <f>""</f>
        <v/>
      </c>
      <c r="H2005" t="str">
        <f t="shared" si="41"/>
        <v>BCBS PAYABLE</v>
      </c>
    </row>
    <row r="2006" spans="5:8" x14ac:dyDescent="0.25">
      <c r="E2006" t="str">
        <f>""</f>
        <v/>
      </c>
      <c r="F2006" t="str">
        <f>""</f>
        <v/>
      </c>
      <c r="H2006" t="str">
        <f t="shared" si="41"/>
        <v>BCBS PAYABLE</v>
      </c>
    </row>
    <row r="2007" spans="5:8" x14ac:dyDescent="0.25">
      <c r="E2007" t="str">
        <f>""</f>
        <v/>
      </c>
      <c r="F2007" t="str">
        <f>""</f>
        <v/>
      </c>
      <c r="H2007" t="str">
        <f t="shared" si="41"/>
        <v>BCBS PAYABLE</v>
      </c>
    </row>
    <row r="2008" spans="5:8" x14ac:dyDescent="0.25">
      <c r="E2008" t="str">
        <f>""</f>
        <v/>
      </c>
      <c r="F2008" t="str">
        <f>""</f>
        <v/>
      </c>
      <c r="H2008" t="str">
        <f t="shared" si="41"/>
        <v>BCBS PAYABLE</v>
      </c>
    </row>
    <row r="2009" spans="5:8" x14ac:dyDescent="0.25">
      <c r="E2009" t="str">
        <f>""</f>
        <v/>
      </c>
      <c r="F2009" t="str">
        <f>""</f>
        <v/>
      </c>
      <c r="H2009" t="str">
        <f t="shared" si="41"/>
        <v>BCBS PAYABLE</v>
      </c>
    </row>
    <row r="2010" spans="5:8" x14ac:dyDescent="0.25">
      <c r="E2010" t="str">
        <f>""</f>
        <v/>
      </c>
      <c r="F2010" t="str">
        <f>""</f>
        <v/>
      </c>
      <c r="H2010" t="str">
        <f t="shared" si="41"/>
        <v>BCBS PAYABLE</v>
      </c>
    </row>
    <row r="2011" spans="5:8" x14ac:dyDescent="0.25">
      <c r="E2011" t="str">
        <f>""</f>
        <v/>
      </c>
      <c r="F2011" t="str">
        <f>""</f>
        <v/>
      </c>
      <c r="H2011" t="str">
        <f t="shared" si="41"/>
        <v>BCBS PAYABLE</v>
      </c>
    </row>
    <row r="2012" spans="5:8" x14ac:dyDescent="0.25">
      <c r="E2012" t="str">
        <f>""</f>
        <v/>
      </c>
      <c r="F2012" t="str">
        <f>""</f>
        <v/>
      </c>
      <c r="H2012" t="str">
        <f t="shared" si="41"/>
        <v>BCBS PAYABLE</v>
      </c>
    </row>
    <row r="2013" spans="5:8" x14ac:dyDescent="0.25">
      <c r="E2013" t="str">
        <f>""</f>
        <v/>
      </c>
      <c r="F2013" t="str">
        <f>""</f>
        <v/>
      </c>
      <c r="H2013" t="str">
        <f t="shared" si="41"/>
        <v>BCBS PAYABLE</v>
      </c>
    </row>
    <row r="2014" spans="5:8" x14ac:dyDescent="0.25">
      <c r="E2014" t="str">
        <f>""</f>
        <v/>
      </c>
      <c r="F2014" t="str">
        <f>""</f>
        <v/>
      </c>
      <c r="H2014" t="str">
        <f t="shared" si="41"/>
        <v>BCBS PAYABLE</v>
      </c>
    </row>
    <row r="2015" spans="5:8" x14ac:dyDescent="0.25">
      <c r="E2015" t="str">
        <f>""</f>
        <v/>
      </c>
      <c r="F2015" t="str">
        <f>""</f>
        <v/>
      </c>
      <c r="H2015" t="str">
        <f t="shared" si="41"/>
        <v>BCBS PAYABLE</v>
      </c>
    </row>
    <row r="2016" spans="5:8" x14ac:dyDescent="0.25">
      <c r="E2016" t="str">
        <f>""</f>
        <v/>
      </c>
      <c r="F2016" t="str">
        <f>""</f>
        <v/>
      </c>
      <c r="H2016" t="str">
        <f t="shared" si="41"/>
        <v>BCBS PAYABLE</v>
      </c>
    </row>
    <row r="2017" spans="5:8" x14ac:dyDescent="0.25">
      <c r="E2017" t="str">
        <f>""</f>
        <v/>
      </c>
      <c r="F2017" t="str">
        <f>""</f>
        <v/>
      </c>
      <c r="H2017" t="str">
        <f t="shared" si="41"/>
        <v>BCBS PAYABLE</v>
      </c>
    </row>
    <row r="2018" spans="5:8" x14ac:dyDescent="0.25">
      <c r="E2018" t="str">
        <f>""</f>
        <v/>
      </c>
      <c r="F2018" t="str">
        <f>""</f>
        <v/>
      </c>
      <c r="H2018" t="str">
        <f t="shared" si="41"/>
        <v>BCBS PAYABLE</v>
      </c>
    </row>
    <row r="2019" spans="5:8" x14ac:dyDescent="0.25">
      <c r="E2019" t="str">
        <f>""</f>
        <v/>
      </c>
      <c r="F2019" t="str">
        <f>""</f>
        <v/>
      </c>
      <c r="H2019" t="str">
        <f t="shared" si="41"/>
        <v>BCBS PAYABLE</v>
      </c>
    </row>
    <row r="2020" spans="5:8" x14ac:dyDescent="0.25">
      <c r="E2020" t="str">
        <f>""</f>
        <v/>
      </c>
      <c r="F2020" t="str">
        <f>""</f>
        <v/>
      </c>
      <c r="H2020" t="str">
        <f t="shared" si="41"/>
        <v>BCBS PAYABLE</v>
      </c>
    </row>
    <row r="2021" spans="5:8" x14ac:dyDescent="0.25">
      <c r="E2021" t="str">
        <f>""</f>
        <v/>
      </c>
      <c r="F2021" t="str">
        <f>""</f>
        <v/>
      </c>
      <c r="H2021" t="str">
        <f t="shared" si="41"/>
        <v>BCBS PAYABLE</v>
      </c>
    </row>
    <row r="2022" spans="5:8" x14ac:dyDescent="0.25">
      <c r="E2022" t="str">
        <f>""</f>
        <v/>
      </c>
      <c r="F2022" t="str">
        <f>""</f>
        <v/>
      </c>
      <c r="H2022" t="str">
        <f t="shared" si="41"/>
        <v>BCBS PAYABLE</v>
      </c>
    </row>
    <row r="2023" spans="5:8" x14ac:dyDescent="0.25">
      <c r="E2023" t="str">
        <f>"2EC202011240270"</f>
        <v>2EC202011240270</v>
      </c>
      <c r="F2023" t="str">
        <f>"BCBS PAYABLE"</f>
        <v>BCBS PAYABLE</v>
      </c>
      <c r="G2023" s="1">
        <v>2818.56</v>
      </c>
      <c r="H2023" t="str">
        <f t="shared" ref="H2023:H2086" si="42">"BCBS PAYABLE"</f>
        <v>BCBS PAYABLE</v>
      </c>
    </row>
    <row r="2024" spans="5:8" x14ac:dyDescent="0.25">
      <c r="E2024" t="str">
        <f>""</f>
        <v/>
      </c>
      <c r="F2024" t="str">
        <f>""</f>
        <v/>
      </c>
      <c r="H2024" t="str">
        <f t="shared" si="42"/>
        <v>BCBS PAYABLE</v>
      </c>
    </row>
    <row r="2025" spans="5:8" x14ac:dyDescent="0.25">
      <c r="E2025" t="str">
        <f>"2EF202011100003"</f>
        <v>2EF202011100003</v>
      </c>
      <c r="F2025" t="str">
        <f>"BCBS PAYABLE"</f>
        <v>BCBS PAYABLE</v>
      </c>
      <c r="G2025" s="1">
        <v>933.27</v>
      </c>
      <c r="H2025" t="str">
        <f t="shared" si="42"/>
        <v>BCBS PAYABLE</v>
      </c>
    </row>
    <row r="2026" spans="5:8" x14ac:dyDescent="0.25">
      <c r="E2026" t="str">
        <f>""</f>
        <v/>
      </c>
      <c r="F2026" t="str">
        <f>""</f>
        <v/>
      </c>
      <c r="H2026" t="str">
        <f t="shared" si="42"/>
        <v>BCBS PAYABLE</v>
      </c>
    </row>
    <row r="2027" spans="5:8" x14ac:dyDescent="0.25">
      <c r="E2027" t="str">
        <f>""</f>
        <v/>
      </c>
      <c r="F2027" t="str">
        <f>""</f>
        <v/>
      </c>
      <c r="H2027" t="str">
        <f t="shared" si="42"/>
        <v>BCBS PAYABLE</v>
      </c>
    </row>
    <row r="2028" spans="5:8" x14ac:dyDescent="0.25">
      <c r="E2028" t="str">
        <f>"2EF202011240269"</f>
        <v>2EF202011240269</v>
      </c>
      <c r="F2028" t="str">
        <f>"BCBS PAYABLE"</f>
        <v>BCBS PAYABLE</v>
      </c>
      <c r="G2028" s="1">
        <v>933.27</v>
      </c>
      <c r="H2028" t="str">
        <f t="shared" si="42"/>
        <v>BCBS PAYABLE</v>
      </c>
    </row>
    <row r="2029" spans="5:8" x14ac:dyDescent="0.25">
      <c r="E2029" t="str">
        <f>""</f>
        <v/>
      </c>
      <c r="F2029" t="str">
        <f>""</f>
        <v/>
      </c>
      <c r="H2029" t="str">
        <f t="shared" si="42"/>
        <v>BCBS PAYABLE</v>
      </c>
    </row>
    <row r="2030" spans="5:8" x14ac:dyDescent="0.25">
      <c r="E2030" t="str">
        <f>""</f>
        <v/>
      </c>
      <c r="F2030" t="str">
        <f>""</f>
        <v/>
      </c>
      <c r="H2030" t="str">
        <f t="shared" si="42"/>
        <v>BCBS PAYABLE</v>
      </c>
    </row>
    <row r="2031" spans="5:8" x14ac:dyDescent="0.25">
      <c r="E2031" t="str">
        <f>"2EO202011100003"</f>
        <v>2EO202011100003</v>
      </c>
      <c r="F2031" t="str">
        <f>"BCBS PAYABLE"</f>
        <v>BCBS PAYABLE</v>
      </c>
      <c r="G2031" s="1">
        <v>103232.66</v>
      </c>
      <c r="H2031" t="str">
        <f t="shared" si="42"/>
        <v>BCBS PAYABLE</v>
      </c>
    </row>
    <row r="2032" spans="5:8" x14ac:dyDescent="0.25">
      <c r="E2032" t="str">
        <f>""</f>
        <v/>
      </c>
      <c r="F2032" t="str">
        <f>""</f>
        <v/>
      </c>
      <c r="H2032" t="str">
        <f t="shared" si="42"/>
        <v>BCBS PAYABLE</v>
      </c>
    </row>
    <row r="2033" spans="5:8" x14ac:dyDescent="0.25">
      <c r="E2033" t="str">
        <f>""</f>
        <v/>
      </c>
      <c r="F2033" t="str">
        <f>""</f>
        <v/>
      </c>
      <c r="H2033" t="str">
        <f t="shared" si="42"/>
        <v>BCBS PAYABLE</v>
      </c>
    </row>
    <row r="2034" spans="5:8" x14ac:dyDescent="0.25">
      <c r="E2034" t="str">
        <f>""</f>
        <v/>
      </c>
      <c r="F2034" t="str">
        <f>""</f>
        <v/>
      </c>
      <c r="H2034" t="str">
        <f t="shared" si="42"/>
        <v>BCBS PAYABLE</v>
      </c>
    </row>
    <row r="2035" spans="5:8" x14ac:dyDescent="0.25">
      <c r="E2035" t="str">
        <f>""</f>
        <v/>
      </c>
      <c r="F2035" t="str">
        <f>""</f>
        <v/>
      </c>
      <c r="H2035" t="str">
        <f t="shared" si="42"/>
        <v>BCBS PAYABLE</v>
      </c>
    </row>
    <row r="2036" spans="5:8" x14ac:dyDescent="0.25">
      <c r="E2036" t="str">
        <f>""</f>
        <v/>
      </c>
      <c r="F2036" t="str">
        <f>""</f>
        <v/>
      </c>
      <c r="H2036" t="str">
        <f t="shared" si="42"/>
        <v>BCBS PAYABLE</v>
      </c>
    </row>
    <row r="2037" spans="5:8" x14ac:dyDescent="0.25">
      <c r="E2037" t="str">
        <f>""</f>
        <v/>
      </c>
      <c r="F2037" t="str">
        <f>""</f>
        <v/>
      </c>
      <c r="H2037" t="str">
        <f t="shared" si="42"/>
        <v>BCBS PAYABLE</v>
      </c>
    </row>
    <row r="2038" spans="5:8" x14ac:dyDescent="0.25">
      <c r="E2038" t="str">
        <f>""</f>
        <v/>
      </c>
      <c r="F2038" t="str">
        <f>""</f>
        <v/>
      </c>
      <c r="H2038" t="str">
        <f t="shared" si="42"/>
        <v>BCBS PAYABLE</v>
      </c>
    </row>
    <row r="2039" spans="5:8" x14ac:dyDescent="0.25">
      <c r="E2039" t="str">
        <f>""</f>
        <v/>
      </c>
      <c r="F2039" t="str">
        <f>""</f>
        <v/>
      </c>
      <c r="H2039" t="str">
        <f t="shared" si="42"/>
        <v>BCBS PAYABLE</v>
      </c>
    </row>
    <row r="2040" spans="5:8" x14ac:dyDescent="0.25">
      <c r="E2040" t="str">
        <f>""</f>
        <v/>
      </c>
      <c r="F2040" t="str">
        <f>""</f>
        <v/>
      </c>
      <c r="H2040" t="str">
        <f t="shared" si="42"/>
        <v>BCBS PAYABLE</v>
      </c>
    </row>
    <row r="2041" spans="5:8" x14ac:dyDescent="0.25">
      <c r="E2041" t="str">
        <f>""</f>
        <v/>
      </c>
      <c r="F2041" t="str">
        <f>""</f>
        <v/>
      </c>
      <c r="H2041" t="str">
        <f t="shared" si="42"/>
        <v>BCBS PAYABLE</v>
      </c>
    </row>
    <row r="2042" spans="5:8" x14ac:dyDescent="0.25">
      <c r="E2042" t="str">
        <f>""</f>
        <v/>
      </c>
      <c r="F2042" t="str">
        <f>""</f>
        <v/>
      </c>
      <c r="H2042" t="str">
        <f t="shared" si="42"/>
        <v>BCBS PAYABLE</v>
      </c>
    </row>
    <row r="2043" spans="5:8" x14ac:dyDescent="0.25">
      <c r="E2043" t="str">
        <f>""</f>
        <v/>
      </c>
      <c r="F2043" t="str">
        <f>""</f>
        <v/>
      </c>
      <c r="H2043" t="str">
        <f t="shared" si="42"/>
        <v>BCBS PAYABLE</v>
      </c>
    </row>
    <row r="2044" spans="5:8" x14ac:dyDescent="0.25">
      <c r="E2044" t="str">
        <f>""</f>
        <v/>
      </c>
      <c r="F2044" t="str">
        <f>""</f>
        <v/>
      </c>
      <c r="H2044" t="str">
        <f t="shared" si="42"/>
        <v>BCBS PAYABLE</v>
      </c>
    </row>
    <row r="2045" spans="5:8" x14ac:dyDescent="0.25">
      <c r="E2045" t="str">
        <f>""</f>
        <v/>
      </c>
      <c r="F2045" t="str">
        <f>""</f>
        <v/>
      </c>
      <c r="H2045" t="str">
        <f t="shared" si="42"/>
        <v>BCBS PAYABLE</v>
      </c>
    </row>
    <row r="2046" spans="5:8" x14ac:dyDescent="0.25">
      <c r="E2046" t="str">
        <f>""</f>
        <v/>
      </c>
      <c r="F2046" t="str">
        <f>""</f>
        <v/>
      </c>
      <c r="H2046" t="str">
        <f t="shared" si="42"/>
        <v>BCBS PAYABLE</v>
      </c>
    </row>
    <row r="2047" spans="5:8" x14ac:dyDescent="0.25">
      <c r="E2047" t="str">
        <f>""</f>
        <v/>
      </c>
      <c r="F2047" t="str">
        <f>""</f>
        <v/>
      </c>
      <c r="H2047" t="str">
        <f t="shared" si="42"/>
        <v>BCBS PAYABLE</v>
      </c>
    </row>
    <row r="2048" spans="5:8" x14ac:dyDescent="0.25">
      <c r="E2048" t="str">
        <f>""</f>
        <v/>
      </c>
      <c r="F2048" t="str">
        <f>""</f>
        <v/>
      </c>
      <c r="H2048" t="str">
        <f t="shared" si="42"/>
        <v>BCBS PAYABLE</v>
      </c>
    </row>
    <row r="2049" spans="5:8" x14ac:dyDescent="0.25">
      <c r="E2049" t="str">
        <f>""</f>
        <v/>
      </c>
      <c r="F2049" t="str">
        <f>""</f>
        <v/>
      </c>
      <c r="H2049" t="str">
        <f t="shared" si="42"/>
        <v>BCBS PAYABLE</v>
      </c>
    </row>
    <row r="2050" spans="5:8" x14ac:dyDescent="0.25">
      <c r="E2050" t="str">
        <f>""</f>
        <v/>
      </c>
      <c r="F2050" t="str">
        <f>""</f>
        <v/>
      </c>
      <c r="H2050" t="str">
        <f t="shared" si="42"/>
        <v>BCBS PAYABLE</v>
      </c>
    </row>
    <row r="2051" spans="5:8" x14ac:dyDescent="0.25">
      <c r="E2051" t="str">
        <f>""</f>
        <v/>
      </c>
      <c r="F2051" t="str">
        <f>""</f>
        <v/>
      </c>
      <c r="H2051" t="str">
        <f t="shared" si="42"/>
        <v>BCBS PAYABLE</v>
      </c>
    </row>
    <row r="2052" spans="5:8" x14ac:dyDescent="0.25">
      <c r="E2052" t="str">
        <f>""</f>
        <v/>
      </c>
      <c r="F2052" t="str">
        <f>""</f>
        <v/>
      </c>
      <c r="H2052" t="str">
        <f t="shared" si="42"/>
        <v>BCBS PAYABLE</v>
      </c>
    </row>
    <row r="2053" spans="5:8" x14ac:dyDescent="0.25">
      <c r="E2053" t="str">
        <f>""</f>
        <v/>
      </c>
      <c r="F2053" t="str">
        <f>""</f>
        <v/>
      </c>
      <c r="H2053" t="str">
        <f t="shared" si="42"/>
        <v>BCBS PAYABLE</v>
      </c>
    </row>
    <row r="2054" spans="5:8" x14ac:dyDescent="0.25">
      <c r="E2054" t="str">
        <f>""</f>
        <v/>
      </c>
      <c r="F2054" t="str">
        <f>""</f>
        <v/>
      </c>
      <c r="H2054" t="str">
        <f t="shared" si="42"/>
        <v>BCBS PAYABLE</v>
      </c>
    </row>
    <row r="2055" spans="5:8" x14ac:dyDescent="0.25">
      <c r="E2055" t="str">
        <f>""</f>
        <v/>
      </c>
      <c r="F2055" t="str">
        <f>""</f>
        <v/>
      </c>
      <c r="H2055" t="str">
        <f t="shared" si="42"/>
        <v>BCBS PAYABLE</v>
      </c>
    </row>
    <row r="2056" spans="5:8" x14ac:dyDescent="0.25">
      <c r="E2056" t="str">
        <f>""</f>
        <v/>
      </c>
      <c r="F2056" t="str">
        <f>""</f>
        <v/>
      </c>
      <c r="H2056" t="str">
        <f t="shared" si="42"/>
        <v>BCBS PAYABLE</v>
      </c>
    </row>
    <row r="2057" spans="5:8" x14ac:dyDescent="0.25">
      <c r="E2057" t="str">
        <f>""</f>
        <v/>
      </c>
      <c r="F2057" t="str">
        <f>""</f>
        <v/>
      </c>
      <c r="H2057" t="str">
        <f t="shared" si="42"/>
        <v>BCBS PAYABLE</v>
      </c>
    </row>
    <row r="2058" spans="5:8" x14ac:dyDescent="0.25">
      <c r="E2058" t="str">
        <f>""</f>
        <v/>
      </c>
      <c r="F2058" t="str">
        <f>""</f>
        <v/>
      </c>
      <c r="H2058" t="str">
        <f t="shared" si="42"/>
        <v>BCBS PAYABLE</v>
      </c>
    </row>
    <row r="2059" spans="5:8" x14ac:dyDescent="0.25">
      <c r="E2059" t="str">
        <f>""</f>
        <v/>
      </c>
      <c r="F2059" t="str">
        <f>""</f>
        <v/>
      </c>
      <c r="H2059" t="str">
        <f t="shared" si="42"/>
        <v>BCBS PAYABLE</v>
      </c>
    </row>
    <row r="2060" spans="5:8" x14ac:dyDescent="0.25">
      <c r="E2060" t="str">
        <f>""</f>
        <v/>
      </c>
      <c r="F2060" t="str">
        <f>""</f>
        <v/>
      </c>
      <c r="H2060" t="str">
        <f t="shared" si="42"/>
        <v>BCBS PAYABLE</v>
      </c>
    </row>
    <row r="2061" spans="5:8" x14ac:dyDescent="0.25">
      <c r="E2061" t="str">
        <f>""</f>
        <v/>
      </c>
      <c r="F2061" t="str">
        <f>""</f>
        <v/>
      </c>
      <c r="H2061" t="str">
        <f t="shared" si="42"/>
        <v>BCBS PAYABLE</v>
      </c>
    </row>
    <row r="2062" spans="5:8" x14ac:dyDescent="0.25">
      <c r="E2062" t="str">
        <f>""</f>
        <v/>
      </c>
      <c r="F2062" t="str">
        <f>""</f>
        <v/>
      </c>
      <c r="H2062" t="str">
        <f t="shared" si="42"/>
        <v>BCBS PAYABLE</v>
      </c>
    </row>
    <row r="2063" spans="5:8" x14ac:dyDescent="0.25">
      <c r="E2063" t="str">
        <f>""</f>
        <v/>
      </c>
      <c r="F2063" t="str">
        <f>""</f>
        <v/>
      </c>
      <c r="H2063" t="str">
        <f t="shared" si="42"/>
        <v>BCBS PAYABLE</v>
      </c>
    </row>
    <row r="2064" spans="5:8" x14ac:dyDescent="0.25">
      <c r="E2064" t="str">
        <f>""</f>
        <v/>
      </c>
      <c r="F2064" t="str">
        <f>""</f>
        <v/>
      </c>
      <c r="H2064" t="str">
        <f t="shared" si="42"/>
        <v>BCBS PAYABLE</v>
      </c>
    </row>
    <row r="2065" spans="5:8" x14ac:dyDescent="0.25">
      <c r="E2065" t="str">
        <f>""</f>
        <v/>
      </c>
      <c r="F2065" t="str">
        <f>""</f>
        <v/>
      </c>
      <c r="H2065" t="str">
        <f t="shared" si="42"/>
        <v>BCBS PAYABLE</v>
      </c>
    </row>
    <row r="2066" spans="5:8" x14ac:dyDescent="0.25">
      <c r="E2066" t="str">
        <f>""</f>
        <v/>
      </c>
      <c r="F2066" t="str">
        <f>""</f>
        <v/>
      </c>
      <c r="H2066" t="str">
        <f t="shared" si="42"/>
        <v>BCBS PAYABLE</v>
      </c>
    </row>
    <row r="2067" spans="5:8" x14ac:dyDescent="0.25">
      <c r="E2067" t="str">
        <f>""</f>
        <v/>
      </c>
      <c r="F2067" t="str">
        <f>""</f>
        <v/>
      </c>
      <c r="H2067" t="str">
        <f t="shared" si="42"/>
        <v>BCBS PAYABLE</v>
      </c>
    </row>
    <row r="2068" spans="5:8" x14ac:dyDescent="0.25">
      <c r="E2068" t="str">
        <f>""</f>
        <v/>
      </c>
      <c r="F2068" t="str">
        <f>""</f>
        <v/>
      </c>
      <c r="H2068" t="str">
        <f t="shared" si="42"/>
        <v>BCBS PAYABLE</v>
      </c>
    </row>
    <row r="2069" spans="5:8" x14ac:dyDescent="0.25">
      <c r="E2069" t="str">
        <f>""</f>
        <v/>
      </c>
      <c r="F2069" t="str">
        <f>""</f>
        <v/>
      </c>
      <c r="H2069" t="str">
        <f t="shared" si="42"/>
        <v>BCBS PAYABLE</v>
      </c>
    </row>
    <row r="2070" spans="5:8" x14ac:dyDescent="0.25">
      <c r="E2070" t="str">
        <f>""</f>
        <v/>
      </c>
      <c r="F2070" t="str">
        <f>""</f>
        <v/>
      </c>
      <c r="H2070" t="str">
        <f t="shared" si="42"/>
        <v>BCBS PAYABLE</v>
      </c>
    </row>
    <row r="2071" spans="5:8" x14ac:dyDescent="0.25">
      <c r="E2071" t="str">
        <f>""</f>
        <v/>
      </c>
      <c r="F2071" t="str">
        <f>""</f>
        <v/>
      </c>
      <c r="H2071" t="str">
        <f t="shared" si="42"/>
        <v>BCBS PAYABLE</v>
      </c>
    </row>
    <row r="2072" spans="5:8" x14ac:dyDescent="0.25">
      <c r="E2072" t="str">
        <f>""</f>
        <v/>
      </c>
      <c r="F2072" t="str">
        <f>""</f>
        <v/>
      </c>
      <c r="H2072" t="str">
        <f t="shared" si="42"/>
        <v>BCBS PAYABLE</v>
      </c>
    </row>
    <row r="2073" spans="5:8" x14ac:dyDescent="0.25">
      <c r="E2073" t="str">
        <f>""</f>
        <v/>
      </c>
      <c r="F2073" t="str">
        <f>""</f>
        <v/>
      </c>
      <c r="H2073" t="str">
        <f t="shared" si="42"/>
        <v>BCBS PAYABLE</v>
      </c>
    </row>
    <row r="2074" spans="5:8" x14ac:dyDescent="0.25">
      <c r="E2074" t="str">
        <f>""</f>
        <v/>
      </c>
      <c r="F2074" t="str">
        <f>""</f>
        <v/>
      </c>
      <c r="H2074" t="str">
        <f t="shared" si="42"/>
        <v>BCBS PAYABLE</v>
      </c>
    </row>
    <row r="2075" spans="5:8" x14ac:dyDescent="0.25">
      <c r="E2075" t="str">
        <f>""</f>
        <v/>
      </c>
      <c r="F2075" t="str">
        <f>""</f>
        <v/>
      </c>
      <c r="H2075" t="str">
        <f t="shared" si="42"/>
        <v>BCBS PAYABLE</v>
      </c>
    </row>
    <row r="2076" spans="5:8" x14ac:dyDescent="0.25">
      <c r="E2076" t="str">
        <f>""</f>
        <v/>
      </c>
      <c r="F2076" t="str">
        <f>""</f>
        <v/>
      </c>
      <c r="H2076" t="str">
        <f t="shared" si="42"/>
        <v>BCBS PAYABLE</v>
      </c>
    </row>
    <row r="2077" spans="5:8" x14ac:dyDescent="0.25">
      <c r="E2077" t="str">
        <f>""</f>
        <v/>
      </c>
      <c r="F2077" t="str">
        <f>""</f>
        <v/>
      </c>
      <c r="H2077" t="str">
        <f t="shared" si="42"/>
        <v>BCBS PAYABLE</v>
      </c>
    </row>
    <row r="2078" spans="5:8" x14ac:dyDescent="0.25">
      <c r="E2078" t="str">
        <f>""</f>
        <v/>
      </c>
      <c r="F2078" t="str">
        <f>""</f>
        <v/>
      </c>
      <c r="H2078" t="str">
        <f t="shared" si="42"/>
        <v>BCBS PAYABLE</v>
      </c>
    </row>
    <row r="2079" spans="5:8" x14ac:dyDescent="0.25">
      <c r="E2079" t="str">
        <f>"2EO202011100004"</f>
        <v>2EO202011100004</v>
      </c>
      <c r="F2079" t="str">
        <f>"BCBS PAYABLE"</f>
        <v>BCBS PAYABLE</v>
      </c>
      <c r="G2079" s="1">
        <v>3076.47</v>
      </c>
      <c r="H2079" t="str">
        <f t="shared" si="42"/>
        <v>BCBS PAYABLE</v>
      </c>
    </row>
    <row r="2080" spans="5:8" x14ac:dyDescent="0.25">
      <c r="E2080" t="str">
        <f>"2EO202011240269"</f>
        <v>2EO202011240269</v>
      </c>
      <c r="F2080" t="str">
        <f>"BCBS PAYABLE"</f>
        <v>BCBS PAYABLE</v>
      </c>
      <c r="G2080" s="1">
        <v>103232.66</v>
      </c>
      <c r="H2080" t="str">
        <f t="shared" si="42"/>
        <v>BCBS PAYABLE</v>
      </c>
    </row>
    <row r="2081" spans="5:8" x14ac:dyDescent="0.25">
      <c r="E2081" t="str">
        <f>""</f>
        <v/>
      </c>
      <c r="F2081" t="str">
        <f>""</f>
        <v/>
      </c>
      <c r="H2081" t="str">
        <f t="shared" si="42"/>
        <v>BCBS PAYABLE</v>
      </c>
    </row>
    <row r="2082" spans="5:8" x14ac:dyDescent="0.25">
      <c r="E2082" t="str">
        <f>""</f>
        <v/>
      </c>
      <c r="F2082" t="str">
        <f>""</f>
        <v/>
      </c>
      <c r="H2082" t="str">
        <f t="shared" si="42"/>
        <v>BCBS PAYABLE</v>
      </c>
    </row>
    <row r="2083" spans="5:8" x14ac:dyDescent="0.25">
      <c r="E2083" t="str">
        <f>""</f>
        <v/>
      </c>
      <c r="F2083" t="str">
        <f>""</f>
        <v/>
      </c>
      <c r="H2083" t="str">
        <f t="shared" si="42"/>
        <v>BCBS PAYABLE</v>
      </c>
    </row>
    <row r="2084" spans="5:8" x14ac:dyDescent="0.25">
      <c r="E2084" t="str">
        <f>""</f>
        <v/>
      </c>
      <c r="F2084" t="str">
        <f>""</f>
        <v/>
      </c>
      <c r="H2084" t="str">
        <f t="shared" si="42"/>
        <v>BCBS PAYABLE</v>
      </c>
    </row>
    <row r="2085" spans="5:8" x14ac:dyDescent="0.25">
      <c r="E2085" t="str">
        <f>""</f>
        <v/>
      </c>
      <c r="F2085" t="str">
        <f>""</f>
        <v/>
      </c>
      <c r="H2085" t="str">
        <f t="shared" si="42"/>
        <v>BCBS PAYABLE</v>
      </c>
    </row>
    <row r="2086" spans="5:8" x14ac:dyDescent="0.25">
      <c r="E2086" t="str">
        <f>""</f>
        <v/>
      </c>
      <c r="F2086" t="str">
        <f>""</f>
        <v/>
      </c>
      <c r="H2086" t="str">
        <f t="shared" si="42"/>
        <v>BCBS PAYABLE</v>
      </c>
    </row>
    <row r="2087" spans="5:8" x14ac:dyDescent="0.25">
      <c r="E2087" t="str">
        <f>""</f>
        <v/>
      </c>
      <c r="F2087" t="str">
        <f>""</f>
        <v/>
      </c>
      <c r="H2087" t="str">
        <f t="shared" ref="H2087:H2150" si="43">"BCBS PAYABLE"</f>
        <v>BCBS PAYABLE</v>
      </c>
    </row>
    <row r="2088" spans="5:8" x14ac:dyDescent="0.25">
      <c r="E2088" t="str">
        <f>""</f>
        <v/>
      </c>
      <c r="F2088" t="str">
        <f>""</f>
        <v/>
      </c>
      <c r="H2088" t="str">
        <f t="shared" si="43"/>
        <v>BCBS PAYABLE</v>
      </c>
    </row>
    <row r="2089" spans="5:8" x14ac:dyDescent="0.25">
      <c r="E2089" t="str">
        <f>""</f>
        <v/>
      </c>
      <c r="F2089" t="str">
        <f>""</f>
        <v/>
      </c>
      <c r="H2089" t="str">
        <f t="shared" si="43"/>
        <v>BCBS PAYABLE</v>
      </c>
    </row>
    <row r="2090" spans="5:8" x14ac:dyDescent="0.25">
      <c r="E2090" t="str">
        <f>""</f>
        <v/>
      </c>
      <c r="F2090" t="str">
        <f>""</f>
        <v/>
      </c>
      <c r="H2090" t="str">
        <f t="shared" si="43"/>
        <v>BCBS PAYABLE</v>
      </c>
    </row>
    <row r="2091" spans="5:8" x14ac:dyDescent="0.25">
      <c r="E2091" t="str">
        <f>""</f>
        <v/>
      </c>
      <c r="F2091" t="str">
        <f>""</f>
        <v/>
      </c>
      <c r="H2091" t="str">
        <f t="shared" si="43"/>
        <v>BCBS PAYABLE</v>
      </c>
    </row>
    <row r="2092" spans="5:8" x14ac:dyDescent="0.25">
      <c r="E2092" t="str">
        <f>""</f>
        <v/>
      </c>
      <c r="F2092" t="str">
        <f>""</f>
        <v/>
      </c>
      <c r="H2092" t="str">
        <f t="shared" si="43"/>
        <v>BCBS PAYABLE</v>
      </c>
    </row>
    <row r="2093" spans="5:8" x14ac:dyDescent="0.25">
      <c r="E2093" t="str">
        <f>""</f>
        <v/>
      </c>
      <c r="F2093" t="str">
        <f>""</f>
        <v/>
      </c>
      <c r="H2093" t="str">
        <f t="shared" si="43"/>
        <v>BCBS PAYABLE</v>
      </c>
    </row>
    <row r="2094" spans="5:8" x14ac:dyDescent="0.25">
      <c r="E2094" t="str">
        <f>""</f>
        <v/>
      </c>
      <c r="F2094" t="str">
        <f>""</f>
        <v/>
      </c>
      <c r="H2094" t="str">
        <f t="shared" si="43"/>
        <v>BCBS PAYABLE</v>
      </c>
    </row>
    <row r="2095" spans="5:8" x14ac:dyDescent="0.25">
      <c r="E2095" t="str">
        <f>""</f>
        <v/>
      </c>
      <c r="F2095" t="str">
        <f>""</f>
        <v/>
      </c>
      <c r="H2095" t="str">
        <f t="shared" si="43"/>
        <v>BCBS PAYABLE</v>
      </c>
    </row>
    <row r="2096" spans="5:8" x14ac:dyDescent="0.25">
      <c r="E2096" t="str">
        <f>""</f>
        <v/>
      </c>
      <c r="F2096" t="str">
        <f>""</f>
        <v/>
      </c>
      <c r="H2096" t="str">
        <f t="shared" si="43"/>
        <v>BCBS PAYABLE</v>
      </c>
    </row>
    <row r="2097" spans="5:8" x14ac:dyDescent="0.25">
      <c r="E2097" t="str">
        <f>""</f>
        <v/>
      </c>
      <c r="F2097" t="str">
        <f>""</f>
        <v/>
      </c>
      <c r="H2097" t="str">
        <f t="shared" si="43"/>
        <v>BCBS PAYABLE</v>
      </c>
    </row>
    <row r="2098" spans="5:8" x14ac:dyDescent="0.25">
      <c r="E2098" t="str">
        <f>""</f>
        <v/>
      </c>
      <c r="F2098" t="str">
        <f>""</f>
        <v/>
      </c>
      <c r="H2098" t="str">
        <f t="shared" si="43"/>
        <v>BCBS PAYABLE</v>
      </c>
    </row>
    <row r="2099" spans="5:8" x14ac:dyDescent="0.25">
      <c r="E2099" t="str">
        <f>""</f>
        <v/>
      </c>
      <c r="F2099" t="str">
        <f>""</f>
        <v/>
      </c>
      <c r="H2099" t="str">
        <f t="shared" si="43"/>
        <v>BCBS PAYABLE</v>
      </c>
    </row>
    <row r="2100" spans="5:8" x14ac:dyDescent="0.25">
      <c r="E2100" t="str">
        <f>""</f>
        <v/>
      </c>
      <c r="F2100" t="str">
        <f>""</f>
        <v/>
      </c>
      <c r="H2100" t="str">
        <f t="shared" si="43"/>
        <v>BCBS PAYABLE</v>
      </c>
    </row>
    <row r="2101" spans="5:8" x14ac:dyDescent="0.25">
      <c r="E2101" t="str">
        <f>""</f>
        <v/>
      </c>
      <c r="F2101" t="str">
        <f>""</f>
        <v/>
      </c>
      <c r="H2101" t="str">
        <f t="shared" si="43"/>
        <v>BCBS PAYABLE</v>
      </c>
    </row>
    <row r="2102" spans="5:8" x14ac:dyDescent="0.25">
      <c r="E2102" t="str">
        <f>""</f>
        <v/>
      </c>
      <c r="F2102" t="str">
        <f>""</f>
        <v/>
      </c>
      <c r="H2102" t="str">
        <f t="shared" si="43"/>
        <v>BCBS PAYABLE</v>
      </c>
    </row>
    <row r="2103" spans="5:8" x14ac:dyDescent="0.25">
      <c r="E2103" t="str">
        <f>""</f>
        <v/>
      </c>
      <c r="F2103" t="str">
        <f>""</f>
        <v/>
      </c>
      <c r="H2103" t="str">
        <f t="shared" si="43"/>
        <v>BCBS PAYABLE</v>
      </c>
    </row>
    <row r="2104" spans="5:8" x14ac:dyDescent="0.25">
      <c r="E2104" t="str">
        <f>""</f>
        <v/>
      </c>
      <c r="F2104" t="str">
        <f>""</f>
        <v/>
      </c>
      <c r="H2104" t="str">
        <f t="shared" si="43"/>
        <v>BCBS PAYABLE</v>
      </c>
    </row>
    <row r="2105" spans="5:8" x14ac:dyDescent="0.25">
      <c r="E2105" t="str">
        <f>""</f>
        <v/>
      </c>
      <c r="F2105" t="str">
        <f>""</f>
        <v/>
      </c>
      <c r="H2105" t="str">
        <f t="shared" si="43"/>
        <v>BCBS PAYABLE</v>
      </c>
    </row>
    <row r="2106" spans="5:8" x14ac:dyDescent="0.25">
      <c r="E2106" t="str">
        <f>""</f>
        <v/>
      </c>
      <c r="F2106" t="str">
        <f>""</f>
        <v/>
      </c>
      <c r="H2106" t="str">
        <f t="shared" si="43"/>
        <v>BCBS PAYABLE</v>
      </c>
    </row>
    <row r="2107" spans="5:8" x14ac:dyDescent="0.25">
      <c r="E2107" t="str">
        <f>""</f>
        <v/>
      </c>
      <c r="F2107" t="str">
        <f>""</f>
        <v/>
      </c>
      <c r="H2107" t="str">
        <f t="shared" si="43"/>
        <v>BCBS PAYABLE</v>
      </c>
    </row>
    <row r="2108" spans="5:8" x14ac:dyDescent="0.25">
      <c r="E2108" t="str">
        <f>""</f>
        <v/>
      </c>
      <c r="F2108" t="str">
        <f>""</f>
        <v/>
      </c>
      <c r="H2108" t="str">
        <f t="shared" si="43"/>
        <v>BCBS PAYABLE</v>
      </c>
    </row>
    <row r="2109" spans="5:8" x14ac:dyDescent="0.25">
      <c r="E2109" t="str">
        <f>""</f>
        <v/>
      </c>
      <c r="F2109" t="str">
        <f>""</f>
        <v/>
      </c>
      <c r="H2109" t="str">
        <f t="shared" si="43"/>
        <v>BCBS PAYABLE</v>
      </c>
    </row>
    <row r="2110" spans="5:8" x14ac:dyDescent="0.25">
      <c r="E2110" t="str">
        <f>""</f>
        <v/>
      </c>
      <c r="F2110" t="str">
        <f>""</f>
        <v/>
      </c>
      <c r="H2110" t="str">
        <f t="shared" si="43"/>
        <v>BCBS PAYABLE</v>
      </c>
    </row>
    <row r="2111" spans="5:8" x14ac:dyDescent="0.25">
      <c r="E2111" t="str">
        <f>""</f>
        <v/>
      </c>
      <c r="F2111" t="str">
        <f>""</f>
        <v/>
      </c>
      <c r="H2111" t="str">
        <f t="shared" si="43"/>
        <v>BCBS PAYABLE</v>
      </c>
    </row>
    <row r="2112" spans="5:8" x14ac:dyDescent="0.25">
      <c r="E2112" t="str">
        <f>""</f>
        <v/>
      </c>
      <c r="F2112" t="str">
        <f>""</f>
        <v/>
      </c>
      <c r="H2112" t="str">
        <f t="shared" si="43"/>
        <v>BCBS PAYABLE</v>
      </c>
    </row>
    <row r="2113" spans="5:8" x14ac:dyDescent="0.25">
      <c r="E2113" t="str">
        <f>""</f>
        <v/>
      </c>
      <c r="F2113" t="str">
        <f>""</f>
        <v/>
      </c>
      <c r="H2113" t="str">
        <f t="shared" si="43"/>
        <v>BCBS PAYABLE</v>
      </c>
    </row>
    <row r="2114" spans="5:8" x14ac:dyDescent="0.25">
      <c r="E2114" t="str">
        <f>""</f>
        <v/>
      </c>
      <c r="F2114" t="str">
        <f>""</f>
        <v/>
      </c>
      <c r="H2114" t="str">
        <f t="shared" si="43"/>
        <v>BCBS PAYABLE</v>
      </c>
    </row>
    <row r="2115" spans="5:8" x14ac:dyDescent="0.25">
      <c r="E2115" t="str">
        <f>""</f>
        <v/>
      </c>
      <c r="F2115" t="str">
        <f>""</f>
        <v/>
      </c>
      <c r="H2115" t="str">
        <f t="shared" si="43"/>
        <v>BCBS PAYABLE</v>
      </c>
    </row>
    <row r="2116" spans="5:8" x14ac:dyDescent="0.25">
      <c r="E2116" t="str">
        <f>""</f>
        <v/>
      </c>
      <c r="F2116" t="str">
        <f>""</f>
        <v/>
      </c>
      <c r="H2116" t="str">
        <f t="shared" si="43"/>
        <v>BCBS PAYABLE</v>
      </c>
    </row>
    <row r="2117" spans="5:8" x14ac:dyDescent="0.25">
      <c r="E2117" t="str">
        <f>""</f>
        <v/>
      </c>
      <c r="F2117" t="str">
        <f>""</f>
        <v/>
      </c>
      <c r="H2117" t="str">
        <f t="shared" si="43"/>
        <v>BCBS PAYABLE</v>
      </c>
    </row>
    <row r="2118" spans="5:8" x14ac:dyDescent="0.25">
      <c r="E2118" t="str">
        <f>""</f>
        <v/>
      </c>
      <c r="F2118" t="str">
        <f>""</f>
        <v/>
      </c>
      <c r="H2118" t="str">
        <f t="shared" si="43"/>
        <v>BCBS PAYABLE</v>
      </c>
    </row>
    <row r="2119" spans="5:8" x14ac:dyDescent="0.25">
      <c r="E2119" t="str">
        <f>""</f>
        <v/>
      </c>
      <c r="F2119" t="str">
        <f>""</f>
        <v/>
      </c>
      <c r="H2119" t="str">
        <f t="shared" si="43"/>
        <v>BCBS PAYABLE</v>
      </c>
    </row>
    <row r="2120" spans="5:8" x14ac:dyDescent="0.25">
      <c r="E2120" t="str">
        <f>""</f>
        <v/>
      </c>
      <c r="F2120" t="str">
        <f>""</f>
        <v/>
      </c>
      <c r="H2120" t="str">
        <f t="shared" si="43"/>
        <v>BCBS PAYABLE</v>
      </c>
    </row>
    <row r="2121" spans="5:8" x14ac:dyDescent="0.25">
      <c r="E2121" t="str">
        <f>""</f>
        <v/>
      </c>
      <c r="F2121" t="str">
        <f>""</f>
        <v/>
      </c>
      <c r="H2121" t="str">
        <f t="shared" si="43"/>
        <v>BCBS PAYABLE</v>
      </c>
    </row>
    <row r="2122" spans="5:8" x14ac:dyDescent="0.25">
      <c r="E2122" t="str">
        <f>""</f>
        <v/>
      </c>
      <c r="F2122" t="str">
        <f>""</f>
        <v/>
      </c>
      <c r="H2122" t="str">
        <f t="shared" si="43"/>
        <v>BCBS PAYABLE</v>
      </c>
    </row>
    <row r="2123" spans="5:8" x14ac:dyDescent="0.25">
      <c r="E2123" t="str">
        <f>""</f>
        <v/>
      </c>
      <c r="F2123" t="str">
        <f>""</f>
        <v/>
      </c>
      <c r="H2123" t="str">
        <f t="shared" si="43"/>
        <v>BCBS PAYABLE</v>
      </c>
    </row>
    <row r="2124" spans="5:8" x14ac:dyDescent="0.25">
      <c r="E2124" t="str">
        <f>""</f>
        <v/>
      </c>
      <c r="F2124" t="str">
        <f>""</f>
        <v/>
      </c>
      <c r="H2124" t="str">
        <f t="shared" si="43"/>
        <v>BCBS PAYABLE</v>
      </c>
    </row>
    <row r="2125" spans="5:8" x14ac:dyDescent="0.25">
      <c r="E2125" t="str">
        <f>""</f>
        <v/>
      </c>
      <c r="F2125" t="str">
        <f>""</f>
        <v/>
      </c>
      <c r="H2125" t="str">
        <f t="shared" si="43"/>
        <v>BCBS PAYABLE</v>
      </c>
    </row>
    <row r="2126" spans="5:8" x14ac:dyDescent="0.25">
      <c r="E2126" t="str">
        <f>""</f>
        <v/>
      </c>
      <c r="F2126" t="str">
        <f>""</f>
        <v/>
      </c>
      <c r="H2126" t="str">
        <f t="shared" si="43"/>
        <v>BCBS PAYABLE</v>
      </c>
    </row>
    <row r="2127" spans="5:8" x14ac:dyDescent="0.25">
      <c r="E2127" t="str">
        <f>""</f>
        <v/>
      </c>
      <c r="F2127" t="str">
        <f>""</f>
        <v/>
      </c>
      <c r="H2127" t="str">
        <f t="shared" si="43"/>
        <v>BCBS PAYABLE</v>
      </c>
    </row>
    <row r="2128" spans="5:8" x14ac:dyDescent="0.25">
      <c r="E2128" t="str">
        <f>"2EO202011240270"</f>
        <v>2EO202011240270</v>
      </c>
      <c r="F2128" t="str">
        <f>"BCBS PAYABLE"</f>
        <v>BCBS PAYABLE</v>
      </c>
      <c r="G2128" s="1">
        <v>3076.47</v>
      </c>
      <c r="H2128" t="str">
        <f t="shared" si="43"/>
        <v>BCBS PAYABLE</v>
      </c>
    </row>
    <row r="2129" spans="5:8" x14ac:dyDescent="0.25">
      <c r="E2129" t="str">
        <f>"2ES202011100003"</f>
        <v>2ES202011100003</v>
      </c>
      <c r="F2129" t="str">
        <f>"BCBS PAYABLE"</f>
        <v>BCBS PAYABLE</v>
      </c>
      <c r="G2129" s="1">
        <v>16308.9</v>
      </c>
      <c r="H2129" t="str">
        <f t="shared" si="43"/>
        <v>BCBS PAYABLE</v>
      </c>
    </row>
    <row r="2130" spans="5:8" x14ac:dyDescent="0.25">
      <c r="E2130" t="str">
        <f>""</f>
        <v/>
      </c>
      <c r="F2130" t="str">
        <f>""</f>
        <v/>
      </c>
      <c r="H2130" t="str">
        <f t="shared" si="43"/>
        <v>BCBS PAYABLE</v>
      </c>
    </row>
    <row r="2131" spans="5:8" x14ac:dyDescent="0.25">
      <c r="E2131" t="str">
        <f>""</f>
        <v/>
      </c>
      <c r="F2131" t="str">
        <f>""</f>
        <v/>
      </c>
      <c r="H2131" t="str">
        <f t="shared" si="43"/>
        <v>BCBS PAYABLE</v>
      </c>
    </row>
    <row r="2132" spans="5:8" x14ac:dyDescent="0.25">
      <c r="E2132" t="str">
        <f>""</f>
        <v/>
      </c>
      <c r="F2132" t="str">
        <f>""</f>
        <v/>
      </c>
      <c r="H2132" t="str">
        <f t="shared" si="43"/>
        <v>BCBS PAYABLE</v>
      </c>
    </row>
    <row r="2133" spans="5:8" x14ac:dyDescent="0.25">
      <c r="E2133" t="str">
        <f>""</f>
        <v/>
      </c>
      <c r="F2133" t="str">
        <f>""</f>
        <v/>
      </c>
      <c r="H2133" t="str">
        <f t="shared" si="43"/>
        <v>BCBS PAYABLE</v>
      </c>
    </row>
    <row r="2134" spans="5:8" x14ac:dyDescent="0.25">
      <c r="E2134" t="str">
        <f>""</f>
        <v/>
      </c>
      <c r="F2134" t="str">
        <f>""</f>
        <v/>
      </c>
      <c r="H2134" t="str">
        <f t="shared" si="43"/>
        <v>BCBS PAYABLE</v>
      </c>
    </row>
    <row r="2135" spans="5:8" x14ac:dyDescent="0.25">
      <c r="E2135" t="str">
        <f>""</f>
        <v/>
      </c>
      <c r="F2135" t="str">
        <f>""</f>
        <v/>
      </c>
      <c r="H2135" t="str">
        <f t="shared" si="43"/>
        <v>BCBS PAYABLE</v>
      </c>
    </row>
    <row r="2136" spans="5:8" x14ac:dyDescent="0.25">
      <c r="E2136" t="str">
        <f>""</f>
        <v/>
      </c>
      <c r="F2136" t="str">
        <f>""</f>
        <v/>
      </c>
      <c r="H2136" t="str">
        <f t="shared" si="43"/>
        <v>BCBS PAYABLE</v>
      </c>
    </row>
    <row r="2137" spans="5:8" x14ac:dyDescent="0.25">
      <c r="E2137" t="str">
        <f>""</f>
        <v/>
      </c>
      <c r="F2137" t="str">
        <f>""</f>
        <v/>
      </c>
      <c r="H2137" t="str">
        <f t="shared" si="43"/>
        <v>BCBS PAYABLE</v>
      </c>
    </row>
    <row r="2138" spans="5:8" x14ac:dyDescent="0.25">
      <c r="E2138" t="str">
        <f>""</f>
        <v/>
      </c>
      <c r="F2138" t="str">
        <f>""</f>
        <v/>
      </c>
      <c r="H2138" t="str">
        <f t="shared" si="43"/>
        <v>BCBS PAYABLE</v>
      </c>
    </row>
    <row r="2139" spans="5:8" x14ac:dyDescent="0.25">
      <c r="E2139" t="str">
        <f>""</f>
        <v/>
      </c>
      <c r="F2139" t="str">
        <f>""</f>
        <v/>
      </c>
      <c r="H2139" t="str">
        <f t="shared" si="43"/>
        <v>BCBS PAYABLE</v>
      </c>
    </row>
    <row r="2140" spans="5:8" x14ac:dyDescent="0.25">
      <c r="E2140" t="str">
        <f>""</f>
        <v/>
      </c>
      <c r="F2140" t="str">
        <f>""</f>
        <v/>
      </c>
      <c r="H2140" t="str">
        <f t="shared" si="43"/>
        <v>BCBS PAYABLE</v>
      </c>
    </row>
    <row r="2141" spans="5:8" x14ac:dyDescent="0.25">
      <c r="E2141" t="str">
        <f>""</f>
        <v/>
      </c>
      <c r="F2141" t="str">
        <f>""</f>
        <v/>
      </c>
      <c r="H2141" t="str">
        <f t="shared" si="43"/>
        <v>BCBS PAYABLE</v>
      </c>
    </row>
    <row r="2142" spans="5:8" x14ac:dyDescent="0.25">
      <c r="E2142" t="str">
        <f>""</f>
        <v/>
      </c>
      <c r="F2142" t="str">
        <f>""</f>
        <v/>
      </c>
      <c r="H2142" t="str">
        <f t="shared" si="43"/>
        <v>BCBS PAYABLE</v>
      </c>
    </row>
    <row r="2143" spans="5:8" x14ac:dyDescent="0.25">
      <c r="E2143" t="str">
        <f>""</f>
        <v/>
      </c>
      <c r="F2143" t="str">
        <f>""</f>
        <v/>
      </c>
      <c r="H2143" t="str">
        <f t="shared" si="43"/>
        <v>BCBS PAYABLE</v>
      </c>
    </row>
    <row r="2144" spans="5:8" x14ac:dyDescent="0.25">
      <c r="E2144" t="str">
        <f>""</f>
        <v/>
      </c>
      <c r="F2144" t="str">
        <f>""</f>
        <v/>
      </c>
      <c r="H2144" t="str">
        <f t="shared" si="43"/>
        <v>BCBS PAYABLE</v>
      </c>
    </row>
    <row r="2145" spans="5:8" x14ac:dyDescent="0.25">
      <c r="E2145" t="str">
        <f>"2ES202011240269"</f>
        <v>2ES202011240269</v>
      </c>
      <c r="F2145" t="str">
        <f>"BCBS PAYABLE"</f>
        <v>BCBS PAYABLE</v>
      </c>
      <c r="G2145" s="1">
        <v>16308.9</v>
      </c>
      <c r="H2145" t="str">
        <f t="shared" si="43"/>
        <v>BCBS PAYABLE</v>
      </c>
    </row>
    <row r="2146" spans="5:8" x14ac:dyDescent="0.25">
      <c r="E2146" t="str">
        <f>""</f>
        <v/>
      </c>
      <c r="F2146" t="str">
        <f>""</f>
        <v/>
      </c>
      <c r="H2146" t="str">
        <f t="shared" si="43"/>
        <v>BCBS PAYABLE</v>
      </c>
    </row>
    <row r="2147" spans="5:8" x14ac:dyDescent="0.25">
      <c r="E2147" t="str">
        <f>""</f>
        <v/>
      </c>
      <c r="F2147" t="str">
        <f>""</f>
        <v/>
      </c>
      <c r="H2147" t="str">
        <f t="shared" si="43"/>
        <v>BCBS PAYABLE</v>
      </c>
    </row>
    <row r="2148" spans="5:8" x14ac:dyDescent="0.25">
      <c r="E2148" t="str">
        <f>""</f>
        <v/>
      </c>
      <c r="F2148" t="str">
        <f>""</f>
        <v/>
      </c>
      <c r="H2148" t="str">
        <f t="shared" si="43"/>
        <v>BCBS PAYABLE</v>
      </c>
    </row>
    <row r="2149" spans="5:8" x14ac:dyDescent="0.25">
      <c r="E2149" t="str">
        <f>""</f>
        <v/>
      </c>
      <c r="F2149" t="str">
        <f>""</f>
        <v/>
      </c>
      <c r="H2149" t="str">
        <f t="shared" si="43"/>
        <v>BCBS PAYABLE</v>
      </c>
    </row>
    <row r="2150" spans="5:8" x14ac:dyDescent="0.25">
      <c r="E2150" t="str">
        <f>""</f>
        <v/>
      </c>
      <c r="F2150" t="str">
        <f>""</f>
        <v/>
      </c>
      <c r="H2150" t="str">
        <f t="shared" si="43"/>
        <v>BCBS PAYABLE</v>
      </c>
    </row>
    <row r="2151" spans="5:8" x14ac:dyDescent="0.25">
      <c r="E2151" t="str">
        <f>""</f>
        <v/>
      </c>
      <c r="F2151" t="str">
        <f>""</f>
        <v/>
      </c>
      <c r="H2151" t="str">
        <f t="shared" ref="H2151:H2160" si="44">"BCBS PAYABLE"</f>
        <v>BCBS PAYABLE</v>
      </c>
    </row>
    <row r="2152" spans="5:8" x14ac:dyDescent="0.25">
      <c r="E2152" t="str">
        <f>""</f>
        <v/>
      </c>
      <c r="F2152" t="str">
        <f>""</f>
        <v/>
      </c>
      <c r="H2152" t="str">
        <f t="shared" si="44"/>
        <v>BCBS PAYABLE</v>
      </c>
    </row>
    <row r="2153" spans="5:8" x14ac:dyDescent="0.25">
      <c r="E2153" t="str">
        <f>""</f>
        <v/>
      </c>
      <c r="F2153" t="str">
        <f>""</f>
        <v/>
      </c>
      <c r="H2153" t="str">
        <f t="shared" si="44"/>
        <v>BCBS PAYABLE</v>
      </c>
    </row>
    <row r="2154" spans="5:8" x14ac:dyDescent="0.25">
      <c r="E2154" t="str">
        <f>""</f>
        <v/>
      </c>
      <c r="F2154" t="str">
        <f>""</f>
        <v/>
      </c>
      <c r="H2154" t="str">
        <f t="shared" si="44"/>
        <v>BCBS PAYABLE</v>
      </c>
    </row>
    <row r="2155" spans="5:8" x14ac:dyDescent="0.25">
      <c r="E2155" t="str">
        <f>""</f>
        <v/>
      </c>
      <c r="F2155" t="str">
        <f>""</f>
        <v/>
      </c>
      <c r="H2155" t="str">
        <f t="shared" si="44"/>
        <v>BCBS PAYABLE</v>
      </c>
    </row>
    <row r="2156" spans="5:8" x14ac:dyDescent="0.25">
      <c r="E2156" t="str">
        <f>""</f>
        <v/>
      </c>
      <c r="F2156" t="str">
        <f>""</f>
        <v/>
      </c>
      <c r="H2156" t="str">
        <f t="shared" si="44"/>
        <v>BCBS PAYABLE</v>
      </c>
    </row>
    <row r="2157" spans="5:8" x14ac:dyDescent="0.25">
      <c r="E2157" t="str">
        <f>""</f>
        <v/>
      </c>
      <c r="F2157" t="str">
        <f>""</f>
        <v/>
      </c>
      <c r="H2157" t="str">
        <f t="shared" si="44"/>
        <v>BCBS PAYABLE</v>
      </c>
    </row>
    <row r="2158" spans="5:8" x14ac:dyDescent="0.25">
      <c r="E2158" t="str">
        <f>""</f>
        <v/>
      </c>
      <c r="F2158" t="str">
        <f>""</f>
        <v/>
      </c>
      <c r="H2158" t="str">
        <f t="shared" si="44"/>
        <v>BCBS PAYABLE</v>
      </c>
    </row>
    <row r="2159" spans="5:8" x14ac:dyDescent="0.25">
      <c r="E2159" t="str">
        <f>""</f>
        <v/>
      </c>
      <c r="F2159" t="str">
        <f>""</f>
        <v/>
      </c>
      <c r="H2159" t="str">
        <f t="shared" si="44"/>
        <v>BCBS PAYABLE</v>
      </c>
    </row>
    <row r="2160" spans="5:8" x14ac:dyDescent="0.25">
      <c r="E2160" t="str">
        <f>""</f>
        <v/>
      </c>
      <c r="F2160" t="str">
        <f>""</f>
        <v/>
      </c>
      <c r="H2160" t="str">
        <f t="shared" si="44"/>
        <v>BCBS PAYABLE</v>
      </c>
    </row>
    <row r="2161" spans="1:8" x14ac:dyDescent="0.25">
      <c r="A2161" t="s">
        <v>399</v>
      </c>
      <c r="B2161">
        <v>766</v>
      </c>
      <c r="C2161" s="1">
        <v>11004.73</v>
      </c>
      <c r="D2161" s="5">
        <v>44148</v>
      </c>
      <c r="E2161" t="str">
        <f>"FSA202011100003"</f>
        <v>FSA202011100003</v>
      </c>
      <c r="F2161" t="str">
        <f>"TASC FSA"</f>
        <v>TASC FSA</v>
      </c>
      <c r="G2161" s="1">
        <v>7146.76</v>
      </c>
      <c r="H2161" t="str">
        <f>"TASC FSA"</f>
        <v>TASC FSA</v>
      </c>
    </row>
    <row r="2162" spans="1:8" x14ac:dyDescent="0.25">
      <c r="E2162" t="str">
        <f>"FSA202011100004"</f>
        <v>FSA202011100004</v>
      </c>
      <c r="F2162" t="str">
        <f>"TASC FSA"</f>
        <v>TASC FSA</v>
      </c>
      <c r="G2162" s="1">
        <v>443.32</v>
      </c>
      <c r="H2162" t="str">
        <f>"TASC FSA"</f>
        <v>TASC FSA</v>
      </c>
    </row>
    <row r="2163" spans="1:8" x14ac:dyDescent="0.25">
      <c r="E2163" t="str">
        <f>"FSC202011100003"</f>
        <v>FSC202011100003</v>
      </c>
      <c r="F2163" t="str">
        <f>"TASC DEPENDENT CARE"</f>
        <v>TASC DEPENDENT CARE</v>
      </c>
      <c r="G2163" s="1">
        <v>50</v>
      </c>
      <c r="H2163" t="str">
        <f>"TASC DEPENDENT CARE"</f>
        <v>TASC DEPENDENT CARE</v>
      </c>
    </row>
    <row r="2164" spans="1:8" x14ac:dyDescent="0.25">
      <c r="E2164" t="str">
        <f>"FSF202011100003"</f>
        <v>FSF202011100003</v>
      </c>
      <c r="F2164" t="str">
        <f>"TASC - FSA  FEES"</f>
        <v>TASC - FSA  FEES</v>
      </c>
      <c r="G2164" s="1">
        <v>241.2</v>
      </c>
      <c r="H2164" t="str">
        <f t="shared" ref="H2164:H2203" si="45">"TASC - FSA  FEES"</f>
        <v>TASC - FSA  FEES</v>
      </c>
    </row>
    <row r="2165" spans="1:8" x14ac:dyDescent="0.25">
      <c r="E2165" t="str">
        <f>""</f>
        <v/>
      </c>
      <c r="F2165" t="str">
        <f>""</f>
        <v/>
      </c>
      <c r="H2165" t="str">
        <f t="shared" si="45"/>
        <v>TASC - FSA  FEES</v>
      </c>
    </row>
    <row r="2166" spans="1:8" x14ac:dyDescent="0.25">
      <c r="E2166" t="str">
        <f>""</f>
        <v/>
      </c>
      <c r="F2166" t="str">
        <f>""</f>
        <v/>
      </c>
      <c r="H2166" t="str">
        <f t="shared" si="45"/>
        <v>TASC - FSA  FEES</v>
      </c>
    </row>
    <row r="2167" spans="1:8" x14ac:dyDescent="0.25">
      <c r="E2167" t="str">
        <f>""</f>
        <v/>
      </c>
      <c r="F2167" t="str">
        <f>""</f>
        <v/>
      </c>
      <c r="H2167" t="str">
        <f t="shared" si="45"/>
        <v>TASC - FSA  FEES</v>
      </c>
    </row>
    <row r="2168" spans="1:8" x14ac:dyDescent="0.25">
      <c r="E2168" t="str">
        <f>""</f>
        <v/>
      </c>
      <c r="F2168" t="str">
        <f>""</f>
        <v/>
      </c>
      <c r="H2168" t="str">
        <f t="shared" si="45"/>
        <v>TASC - FSA  FEES</v>
      </c>
    </row>
    <row r="2169" spans="1:8" x14ac:dyDescent="0.25">
      <c r="E2169" t="str">
        <f>""</f>
        <v/>
      </c>
      <c r="F2169" t="str">
        <f>""</f>
        <v/>
      </c>
      <c r="H2169" t="str">
        <f t="shared" si="45"/>
        <v>TASC - FSA  FEES</v>
      </c>
    </row>
    <row r="2170" spans="1:8" x14ac:dyDescent="0.25">
      <c r="E2170" t="str">
        <f>""</f>
        <v/>
      </c>
      <c r="F2170" t="str">
        <f>""</f>
        <v/>
      </c>
      <c r="H2170" t="str">
        <f t="shared" si="45"/>
        <v>TASC - FSA  FEES</v>
      </c>
    </row>
    <row r="2171" spans="1:8" x14ac:dyDescent="0.25">
      <c r="E2171" t="str">
        <f>""</f>
        <v/>
      </c>
      <c r="F2171" t="str">
        <f>""</f>
        <v/>
      </c>
      <c r="H2171" t="str">
        <f t="shared" si="45"/>
        <v>TASC - FSA  FEES</v>
      </c>
    </row>
    <row r="2172" spans="1:8" x14ac:dyDescent="0.25">
      <c r="E2172" t="str">
        <f>""</f>
        <v/>
      </c>
      <c r="F2172" t="str">
        <f>""</f>
        <v/>
      </c>
      <c r="H2172" t="str">
        <f t="shared" si="45"/>
        <v>TASC - FSA  FEES</v>
      </c>
    </row>
    <row r="2173" spans="1:8" x14ac:dyDescent="0.25">
      <c r="E2173" t="str">
        <f>""</f>
        <v/>
      </c>
      <c r="F2173" t="str">
        <f>""</f>
        <v/>
      </c>
      <c r="H2173" t="str">
        <f t="shared" si="45"/>
        <v>TASC - FSA  FEES</v>
      </c>
    </row>
    <row r="2174" spans="1:8" x14ac:dyDescent="0.25">
      <c r="E2174" t="str">
        <f>""</f>
        <v/>
      </c>
      <c r="F2174" t="str">
        <f>""</f>
        <v/>
      </c>
      <c r="H2174" t="str">
        <f t="shared" si="45"/>
        <v>TASC - FSA  FEES</v>
      </c>
    </row>
    <row r="2175" spans="1:8" x14ac:dyDescent="0.25">
      <c r="E2175" t="str">
        <f>""</f>
        <v/>
      </c>
      <c r="F2175" t="str">
        <f>""</f>
        <v/>
      </c>
      <c r="H2175" t="str">
        <f t="shared" si="45"/>
        <v>TASC - FSA  FEES</v>
      </c>
    </row>
    <row r="2176" spans="1:8" x14ac:dyDescent="0.25">
      <c r="E2176" t="str">
        <f>""</f>
        <v/>
      </c>
      <c r="F2176" t="str">
        <f>""</f>
        <v/>
      </c>
      <c r="H2176" t="str">
        <f t="shared" si="45"/>
        <v>TASC - FSA  FEES</v>
      </c>
    </row>
    <row r="2177" spans="5:8" x14ac:dyDescent="0.25">
      <c r="E2177" t="str">
        <f>""</f>
        <v/>
      </c>
      <c r="F2177" t="str">
        <f>""</f>
        <v/>
      </c>
      <c r="H2177" t="str">
        <f t="shared" si="45"/>
        <v>TASC - FSA  FEES</v>
      </c>
    </row>
    <row r="2178" spans="5:8" x14ac:dyDescent="0.25">
      <c r="E2178" t="str">
        <f>""</f>
        <v/>
      </c>
      <c r="F2178" t="str">
        <f>""</f>
        <v/>
      </c>
      <c r="H2178" t="str">
        <f t="shared" si="45"/>
        <v>TASC - FSA  FEES</v>
      </c>
    </row>
    <row r="2179" spans="5:8" x14ac:dyDescent="0.25">
      <c r="E2179" t="str">
        <f>""</f>
        <v/>
      </c>
      <c r="F2179" t="str">
        <f>""</f>
        <v/>
      </c>
      <c r="H2179" t="str">
        <f t="shared" si="45"/>
        <v>TASC - FSA  FEES</v>
      </c>
    </row>
    <row r="2180" spans="5:8" x14ac:dyDescent="0.25">
      <c r="E2180" t="str">
        <f>""</f>
        <v/>
      </c>
      <c r="F2180" t="str">
        <f>""</f>
        <v/>
      </c>
      <c r="H2180" t="str">
        <f t="shared" si="45"/>
        <v>TASC - FSA  FEES</v>
      </c>
    </row>
    <row r="2181" spans="5:8" x14ac:dyDescent="0.25">
      <c r="E2181" t="str">
        <f>""</f>
        <v/>
      </c>
      <c r="F2181" t="str">
        <f>""</f>
        <v/>
      </c>
      <c r="H2181" t="str">
        <f t="shared" si="45"/>
        <v>TASC - FSA  FEES</v>
      </c>
    </row>
    <row r="2182" spans="5:8" x14ac:dyDescent="0.25">
      <c r="E2182" t="str">
        <f>""</f>
        <v/>
      </c>
      <c r="F2182" t="str">
        <f>""</f>
        <v/>
      </c>
      <c r="H2182" t="str">
        <f t="shared" si="45"/>
        <v>TASC - FSA  FEES</v>
      </c>
    </row>
    <row r="2183" spans="5:8" x14ac:dyDescent="0.25">
      <c r="E2183" t="str">
        <f>""</f>
        <v/>
      </c>
      <c r="F2183" t="str">
        <f>""</f>
        <v/>
      </c>
      <c r="H2183" t="str">
        <f t="shared" si="45"/>
        <v>TASC - FSA  FEES</v>
      </c>
    </row>
    <row r="2184" spans="5:8" x14ac:dyDescent="0.25">
      <c r="E2184" t="str">
        <f>""</f>
        <v/>
      </c>
      <c r="F2184" t="str">
        <f>""</f>
        <v/>
      </c>
      <c r="H2184" t="str">
        <f t="shared" si="45"/>
        <v>TASC - FSA  FEES</v>
      </c>
    </row>
    <row r="2185" spans="5:8" x14ac:dyDescent="0.25">
      <c r="E2185" t="str">
        <f>""</f>
        <v/>
      </c>
      <c r="F2185" t="str">
        <f>""</f>
        <v/>
      </c>
      <c r="H2185" t="str">
        <f t="shared" si="45"/>
        <v>TASC - FSA  FEES</v>
      </c>
    </row>
    <row r="2186" spans="5:8" x14ac:dyDescent="0.25">
      <c r="E2186" t="str">
        <f>""</f>
        <v/>
      </c>
      <c r="F2186" t="str">
        <f>""</f>
        <v/>
      </c>
      <c r="H2186" t="str">
        <f t="shared" si="45"/>
        <v>TASC - FSA  FEES</v>
      </c>
    </row>
    <row r="2187" spans="5:8" x14ac:dyDescent="0.25">
      <c r="E2187" t="str">
        <f>""</f>
        <v/>
      </c>
      <c r="F2187" t="str">
        <f>""</f>
        <v/>
      </c>
      <c r="H2187" t="str">
        <f t="shared" si="45"/>
        <v>TASC - FSA  FEES</v>
      </c>
    </row>
    <row r="2188" spans="5:8" x14ac:dyDescent="0.25">
      <c r="E2188" t="str">
        <f>""</f>
        <v/>
      </c>
      <c r="F2188" t="str">
        <f>""</f>
        <v/>
      </c>
      <c r="H2188" t="str">
        <f t="shared" si="45"/>
        <v>TASC - FSA  FEES</v>
      </c>
    </row>
    <row r="2189" spans="5:8" x14ac:dyDescent="0.25">
      <c r="E2189" t="str">
        <f>""</f>
        <v/>
      </c>
      <c r="F2189" t="str">
        <f>""</f>
        <v/>
      </c>
      <c r="H2189" t="str">
        <f t="shared" si="45"/>
        <v>TASC - FSA  FEES</v>
      </c>
    </row>
    <row r="2190" spans="5:8" x14ac:dyDescent="0.25">
      <c r="E2190" t="str">
        <f>""</f>
        <v/>
      </c>
      <c r="F2190" t="str">
        <f>""</f>
        <v/>
      </c>
      <c r="H2190" t="str">
        <f t="shared" si="45"/>
        <v>TASC - FSA  FEES</v>
      </c>
    </row>
    <row r="2191" spans="5:8" x14ac:dyDescent="0.25">
      <c r="E2191" t="str">
        <f>""</f>
        <v/>
      </c>
      <c r="F2191" t="str">
        <f>""</f>
        <v/>
      </c>
      <c r="H2191" t="str">
        <f t="shared" si="45"/>
        <v>TASC - FSA  FEES</v>
      </c>
    </row>
    <row r="2192" spans="5:8" x14ac:dyDescent="0.25">
      <c r="E2192" t="str">
        <f>""</f>
        <v/>
      </c>
      <c r="F2192" t="str">
        <f>""</f>
        <v/>
      </c>
      <c r="H2192" t="str">
        <f t="shared" si="45"/>
        <v>TASC - FSA  FEES</v>
      </c>
    </row>
    <row r="2193" spans="5:8" x14ac:dyDescent="0.25">
      <c r="E2193" t="str">
        <f>""</f>
        <v/>
      </c>
      <c r="F2193" t="str">
        <f>""</f>
        <v/>
      </c>
      <c r="H2193" t="str">
        <f t="shared" si="45"/>
        <v>TASC - FSA  FEES</v>
      </c>
    </row>
    <row r="2194" spans="5:8" x14ac:dyDescent="0.25">
      <c r="E2194" t="str">
        <f>""</f>
        <v/>
      </c>
      <c r="F2194" t="str">
        <f>""</f>
        <v/>
      </c>
      <c r="H2194" t="str">
        <f t="shared" si="45"/>
        <v>TASC - FSA  FEES</v>
      </c>
    </row>
    <row r="2195" spans="5:8" x14ac:dyDescent="0.25">
      <c r="E2195" t="str">
        <f>""</f>
        <v/>
      </c>
      <c r="F2195" t="str">
        <f>""</f>
        <v/>
      </c>
      <c r="H2195" t="str">
        <f t="shared" si="45"/>
        <v>TASC - FSA  FEES</v>
      </c>
    </row>
    <row r="2196" spans="5:8" x14ac:dyDescent="0.25">
      <c r="E2196" t="str">
        <f>""</f>
        <v/>
      </c>
      <c r="F2196" t="str">
        <f>""</f>
        <v/>
      </c>
      <c r="H2196" t="str">
        <f t="shared" si="45"/>
        <v>TASC - FSA  FEES</v>
      </c>
    </row>
    <row r="2197" spans="5:8" x14ac:dyDescent="0.25">
      <c r="E2197" t="str">
        <f>""</f>
        <v/>
      </c>
      <c r="F2197" t="str">
        <f>""</f>
        <v/>
      </c>
      <c r="H2197" t="str">
        <f t="shared" si="45"/>
        <v>TASC - FSA  FEES</v>
      </c>
    </row>
    <row r="2198" spans="5:8" x14ac:dyDescent="0.25">
      <c r="E2198" t="str">
        <f>""</f>
        <v/>
      </c>
      <c r="F2198" t="str">
        <f>""</f>
        <v/>
      </c>
      <c r="H2198" t="str">
        <f t="shared" si="45"/>
        <v>TASC - FSA  FEES</v>
      </c>
    </row>
    <row r="2199" spans="5:8" x14ac:dyDescent="0.25">
      <c r="E2199" t="str">
        <f>""</f>
        <v/>
      </c>
      <c r="F2199" t="str">
        <f>""</f>
        <v/>
      </c>
      <c r="H2199" t="str">
        <f t="shared" si="45"/>
        <v>TASC - FSA  FEES</v>
      </c>
    </row>
    <row r="2200" spans="5:8" x14ac:dyDescent="0.25">
      <c r="E2200" t="str">
        <f>""</f>
        <v/>
      </c>
      <c r="F2200" t="str">
        <f>""</f>
        <v/>
      </c>
      <c r="H2200" t="str">
        <f t="shared" si="45"/>
        <v>TASC - FSA  FEES</v>
      </c>
    </row>
    <row r="2201" spans="5:8" x14ac:dyDescent="0.25">
      <c r="E2201" t="str">
        <f>""</f>
        <v/>
      </c>
      <c r="F2201" t="str">
        <f>""</f>
        <v/>
      </c>
      <c r="H2201" t="str">
        <f t="shared" si="45"/>
        <v>TASC - FSA  FEES</v>
      </c>
    </row>
    <row r="2202" spans="5:8" x14ac:dyDescent="0.25">
      <c r="E2202" t="str">
        <f>""</f>
        <v/>
      </c>
      <c r="F2202" t="str">
        <f>""</f>
        <v/>
      </c>
      <c r="H2202" t="str">
        <f t="shared" si="45"/>
        <v>TASC - FSA  FEES</v>
      </c>
    </row>
    <row r="2203" spans="5:8" x14ac:dyDescent="0.25">
      <c r="E2203" t="str">
        <f>"FSF202011100004"</f>
        <v>FSF202011100004</v>
      </c>
      <c r="F2203" t="str">
        <f>"TASC - FSA  FEES"</f>
        <v>TASC - FSA  FEES</v>
      </c>
      <c r="G2203" s="1">
        <v>12.6</v>
      </c>
      <c r="H2203" t="str">
        <f t="shared" si="45"/>
        <v>TASC - FSA  FEES</v>
      </c>
    </row>
    <row r="2204" spans="5:8" x14ac:dyDescent="0.25">
      <c r="E2204" t="str">
        <f>"HRA202011100003"</f>
        <v>HRA202011100003</v>
      </c>
      <c r="F2204" t="str">
        <f>"TASC HRA"</f>
        <v>TASC HRA</v>
      </c>
      <c r="G2204" s="1">
        <v>2291.85</v>
      </c>
      <c r="H2204" t="str">
        <f t="shared" ref="H2204:H2209" si="46">"TASC HRA"</f>
        <v>TASC HRA</v>
      </c>
    </row>
    <row r="2205" spans="5:8" x14ac:dyDescent="0.25">
      <c r="E2205" t="str">
        <f>""</f>
        <v/>
      </c>
      <c r="F2205" t="str">
        <f>""</f>
        <v/>
      </c>
      <c r="H2205" t="str">
        <f t="shared" si="46"/>
        <v>TASC HRA</v>
      </c>
    </row>
    <row r="2206" spans="5:8" x14ac:dyDescent="0.25">
      <c r="E2206" t="str">
        <f>""</f>
        <v/>
      </c>
      <c r="F2206" t="str">
        <f>""</f>
        <v/>
      </c>
      <c r="H2206" t="str">
        <f t="shared" si="46"/>
        <v>TASC HRA</v>
      </c>
    </row>
    <row r="2207" spans="5:8" x14ac:dyDescent="0.25">
      <c r="E2207" t="str">
        <f>""</f>
        <v/>
      </c>
      <c r="F2207" t="str">
        <f>""</f>
        <v/>
      </c>
      <c r="H2207" t="str">
        <f t="shared" si="46"/>
        <v>TASC HRA</v>
      </c>
    </row>
    <row r="2208" spans="5:8" x14ac:dyDescent="0.25">
      <c r="E2208" t="str">
        <f>""</f>
        <v/>
      </c>
      <c r="F2208" t="str">
        <f>""</f>
        <v/>
      </c>
      <c r="H2208" t="str">
        <f t="shared" si="46"/>
        <v>TASC HRA</v>
      </c>
    </row>
    <row r="2209" spans="5:8" x14ac:dyDescent="0.25">
      <c r="E2209" t="str">
        <f>""</f>
        <v/>
      </c>
      <c r="F2209" t="str">
        <f>""</f>
        <v/>
      </c>
      <c r="H2209" t="str">
        <f t="shared" si="46"/>
        <v>TASC HRA</v>
      </c>
    </row>
    <row r="2210" spans="5:8" x14ac:dyDescent="0.25">
      <c r="E2210" t="str">
        <f>"HRF202011100003"</f>
        <v>HRF202011100003</v>
      </c>
      <c r="F2210" t="str">
        <f>"TASC - HRA FEES"</f>
        <v>TASC - HRA FEES</v>
      </c>
      <c r="G2210" s="1">
        <v>792</v>
      </c>
      <c r="H2210" t="str">
        <f t="shared" ref="H2210:H2241" si="47">"TASC - HRA FEES"</f>
        <v>TASC - HRA FEES</v>
      </c>
    </row>
    <row r="2211" spans="5:8" x14ac:dyDescent="0.25">
      <c r="E2211" t="str">
        <f>""</f>
        <v/>
      </c>
      <c r="F2211" t="str">
        <f>""</f>
        <v/>
      </c>
      <c r="H2211" t="str">
        <f t="shared" si="47"/>
        <v>TASC - HRA FEES</v>
      </c>
    </row>
    <row r="2212" spans="5:8" x14ac:dyDescent="0.25">
      <c r="E2212" t="str">
        <f>""</f>
        <v/>
      </c>
      <c r="F2212" t="str">
        <f>""</f>
        <v/>
      </c>
      <c r="H2212" t="str">
        <f t="shared" si="47"/>
        <v>TASC - HRA FEES</v>
      </c>
    </row>
    <row r="2213" spans="5:8" x14ac:dyDescent="0.25">
      <c r="E2213" t="str">
        <f>""</f>
        <v/>
      </c>
      <c r="F2213" t="str">
        <f>""</f>
        <v/>
      </c>
      <c r="H2213" t="str">
        <f t="shared" si="47"/>
        <v>TASC - HRA FEES</v>
      </c>
    </row>
    <row r="2214" spans="5:8" x14ac:dyDescent="0.25">
      <c r="E2214" t="str">
        <f>""</f>
        <v/>
      </c>
      <c r="F2214" t="str">
        <f>""</f>
        <v/>
      </c>
      <c r="H2214" t="str">
        <f t="shared" si="47"/>
        <v>TASC - HRA FEES</v>
      </c>
    </row>
    <row r="2215" spans="5:8" x14ac:dyDescent="0.25">
      <c r="E2215" t="str">
        <f>""</f>
        <v/>
      </c>
      <c r="F2215" t="str">
        <f>""</f>
        <v/>
      </c>
      <c r="H2215" t="str">
        <f t="shared" si="47"/>
        <v>TASC - HRA FEES</v>
      </c>
    </row>
    <row r="2216" spans="5:8" x14ac:dyDescent="0.25">
      <c r="E2216" t="str">
        <f>""</f>
        <v/>
      </c>
      <c r="F2216" t="str">
        <f>""</f>
        <v/>
      </c>
      <c r="H2216" t="str">
        <f t="shared" si="47"/>
        <v>TASC - HRA FEES</v>
      </c>
    </row>
    <row r="2217" spans="5:8" x14ac:dyDescent="0.25">
      <c r="E2217" t="str">
        <f>""</f>
        <v/>
      </c>
      <c r="F2217" t="str">
        <f>""</f>
        <v/>
      </c>
      <c r="H2217" t="str">
        <f t="shared" si="47"/>
        <v>TASC - HRA FEES</v>
      </c>
    </row>
    <row r="2218" spans="5:8" x14ac:dyDescent="0.25">
      <c r="E2218" t="str">
        <f>""</f>
        <v/>
      </c>
      <c r="F2218" t="str">
        <f>""</f>
        <v/>
      </c>
      <c r="H2218" t="str">
        <f t="shared" si="47"/>
        <v>TASC - HRA FEES</v>
      </c>
    </row>
    <row r="2219" spans="5:8" x14ac:dyDescent="0.25">
      <c r="E2219" t="str">
        <f>""</f>
        <v/>
      </c>
      <c r="F2219" t="str">
        <f>""</f>
        <v/>
      </c>
      <c r="H2219" t="str">
        <f t="shared" si="47"/>
        <v>TASC - HRA FEES</v>
      </c>
    </row>
    <row r="2220" spans="5:8" x14ac:dyDescent="0.25">
      <c r="E2220" t="str">
        <f>""</f>
        <v/>
      </c>
      <c r="F2220" t="str">
        <f>""</f>
        <v/>
      </c>
      <c r="H2220" t="str">
        <f t="shared" si="47"/>
        <v>TASC - HRA FEES</v>
      </c>
    </row>
    <row r="2221" spans="5:8" x14ac:dyDescent="0.25">
      <c r="E2221" t="str">
        <f>""</f>
        <v/>
      </c>
      <c r="F2221" t="str">
        <f>""</f>
        <v/>
      </c>
      <c r="H2221" t="str">
        <f t="shared" si="47"/>
        <v>TASC - HRA FEES</v>
      </c>
    </row>
    <row r="2222" spans="5:8" x14ac:dyDescent="0.25">
      <c r="E2222" t="str">
        <f>""</f>
        <v/>
      </c>
      <c r="F2222" t="str">
        <f>""</f>
        <v/>
      </c>
      <c r="H2222" t="str">
        <f t="shared" si="47"/>
        <v>TASC - HRA FEES</v>
      </c>
    </row>
    <row r="2223" spans="5:8" x14ac:dyDescent="0.25">
      <c r="E2223" t="str">
        <f>""</f>
        <v/>
      </c>
      <c r="F2223" t="str">
        <f>""</f>
        <v/>
      </c>
      <c r="H2223" t="str">
        <f t="shared" si="47"/>
        <v>TASC - HRA FEES</v>
      </c>
    </row>
    <row r="2224" spans="5:8" x14ac:dyDescent="0.25">
      <c r="E2224" t="str">
        <f>""</f>
        <v/>
      </c>
      <c r="F2224" t="str">
        <f>""</f>
        <v/>
      </c>
      <c r="H2224" t="str">
        <f t="shared" si="47"/>
        <v>TASC - HRA FEES</v>
      </c>
    </row>
    <row r="2225" spans="5:8" x14ac:dyDescent="0.25">
      <c r="E2225" t="str">
        <f>""</f>
        <v/>
      </c>
      <c r="F2225" t="str">
        <f>""</f>
        <v/>
      </c>
      <c r="H2225" t="str">
        <f t="shared" si="47"/>
        <v>TASC - HRA FEES</v>
      </c>
    </row>
    <row r="2226" spans="5:8" x14ac:dyDescent="0.25">
      <c r="E2226" t="str">
        <f>""</f>
        <v/>
      </c>
      <c r="F2226" t="str">
        <f>""</f>
        <v/>
      </c>
      <c r="H2226" t="str">
        <f t="shared" si="47"/>
        <v>TASC - HRA FEES</v>
      </c>
    </row>
    <row r="2227" spans="5:8" x14ac:dyDescent="0.25">
      <c r="E2227" t="str">
        <f>""</f>
        <v/>
      </c>
      <c r="F2227" t="str">
        <f>""</f>
        <v/>
      </c>
      <c r="H2227" t="str">
        <f t="shared" si="47"/>
        <v>TASC - HRA FEES</v>
      </c>
    </row>
    <row r="2228" spans="5:8" x14ac:dyDescent="0.25">
      <c r="E2228" t="str">
        <f>""</f>
        <v/>
      </c>
      <c r="F2228" t="str">
        <f>""</f>
        <v/>
      </c>
      <c r="H2228" t="str">
        <f t="shared" si="47"/>
        <v>TASC - HRA FEES</v>
      </c>
    </row>
    <row r="2229" spans="5:8" x14ac:dyDescent="0.25">
      <c r="E2229" t="str">
        <f>""</f>
        <v/>
      </c>
      <c r="F2229" t="str">
        <f>""</f>
        <v/>
      </c>
      <c r="H2229" t="str">
        <f t="shared" si="47"/>
        <v>TASC - HRA FEES</v>
      </c>
    </row>
    <row r="2230" spans="5:8" x14ac:dyDescent="0.25">
      <c r="E2230" t="str">
        <f>""</f>
        <v/>
      </c>
      <c r="F2230" t="str">
        <f>""</f>
        <v/>
      </c>
      <c r="H2230" t="str">
        <f t="shared" si="47"/>
        <v>TASC - HRA FEES</v>
      </c>
    </row>
    <row r="2231" spans="5:8" x14ac:dyDescent="0.25">
      <c r="E2231" t="str">
        <f>""</f>
        <v/>
      </c>
      <c r="F2231" t="str">
        <f>""</f>
        <v/>
      </c>
      <c r="H2231" t="str">
        <f t="shared" si="47"/>
        <v>TASC - HRA FEES</v>
      </c>
    </row>
    <row r="2232" spans="5:8" x14ac:dyDescent="0.25">
      <c r="E2232" t="str">
        <f>""</f>
        <v/>
      </c>
      <c r="F2232" t="str">
        <f>""</f>
        <v/>
      </c>
      <c r="H2232" t="str">
        <f t="shared" si="47"/>
        <v>TASC - HRA FEES</v>
      </c>
    </row>
    <row r="2233" spans="5:8" x14ac:dyDescent="0.25">
      <c r="E2233" t="str">
        <f>""</f>
        <v/>
      </c>
      <c r="F2233" t="str">
        <f>""</f>
        <v/>
      </c>
      <c r="H2233" t="str">
        <f t="shared" si="47"/>
        <v>TASC - HRA FEES</v>
      </c>
    </row>
    <row r="2234" spans="5:8" x14ac:dyDescent="0.25">
      <c r="E2234" t="str">
        <f>""</f>
        <v/>
      </c>
      <c r="F2234" t="str">
        <f>""</f>
        <v/>
      </c>
      <c r="H2234" t="str">
        <f t="shared" si="47"/>
        <v>TASC - HRA FEES</v>
      </c>
    </row>
    <row r="2235" spans="5:8" x14ac:dyDescent="0.25">
      <c r="E2235" t="str">
        <f>""</f>
        <v/>
      </c>
      <c r="F2235" t="str">
        <f>""</f>
        <v/>
      </c>
      <c r="H2235" t="str">
        <f t="shared" si="47"/>
        <v>TASC - HRA FEES</v>
      </c>
    </row>
    <row r="2236" spans="5:8" x14ac:dyDescent="0.25">
      <c r="E2236" t="str">
        <f>""</f>
        <v/>
      </c>
      <c r="F2236" t="str">
        <f>""</f>
        <v/>
      </c>
      <c r="H2236" t="str">
        <f t="shared" si="47"/>
        <v>TASC - HRA FEES</v>
      </c>
    </row>
    <row r="2237" spans="5:8" x14ac:dyDescent="0.25">
      <c r="E2237" t="str">
        <f>""</f>
        <v/>
      </c>
      <c r="F2237" t="str">
        <f>""</f>
        <v/>
      </c>
      <c r="H2237" t="str">
        <f t="shared" si="47"/>
        <v>TASC - HRA FEES</v>
      </c>
    </row>
    <row r="2238" spans="5:8" x14ac:dyDescent="0.25">
      <c r="E2238" t="str">
        <f>""</f>
        <v/>
      </c>
      <c r="F2238" t="str">
        <f>""</f>
        <v/>
      </c>
      <c r="H2238" t="str">
        <f t="shared" si="47"/>
        <v>TASC - HRA FEES</v>
      </c>
    </row>
    <row r="2239" spans="5:8" x14ac:dyDescent="0.25">
      <c r="E2239" t="str">
        <f>""</f>
        <v/>
      </c>
      <c r="F2239" t="str">
        <f>""</f>
        <v/>
      </c>
      <c r="H2239" t="str">
        <f t="shared" si="47"/>
        <v>TASC - HRA FEES</v>
      </c>
    </row>
    <row r="2240" spans="5:8" x14ac:dyDescent="0.25">
      <c r="E2240" t="str">
        <f>""</f>
        <v/>
      </c>
      <c r="F2240" t="str">
        <f>""</f>
        <v/>
      </c>
      <c r="H2240" t="str">
        <f t="shared" si="47"/>
        <v>TASC - HRA FEES</v>
      </c>
    </row>
    <row r="2241" spans="5:8" x14ac:dyDescent="0.25">
      <c r="E2241" t="str">
        <f>""</f>
        <v/>
      </c>
      <c r="F2241" t="str">
        <f>""</f>
        <v/>
      </c>
      <c r="H2241" t="str">
        <f t="shared" si="47"/>
        <v>TASC - HRA FEES</v>
      </c>
    </row>
    <row r="2242" spans="5:8" x14ac:dyDescent="0.25">
      <c r="E2242" t="str">
        <f>""</f>
        <v/>
      </c>
      <c r="F2242" t="str">
        <f>""</f>
        <v/>
      </c>
      <c r="H2242" t="str">
        <f t="shared" ref="H2242:H2261" si="48">"TASC - HRA FEES"</f>
        <v>TASC - HRA FEES</v>
      </c>
    </row>
    <row r="2243" spans="5:8" x14ac:dyDescent="0.25">
      <c r="E2243" t="str">
        <f>""</f>
        <v/>
      </c>
      <c r="F2243" t="str">
        <f>""</f>
        <v/>
      </c>
      <c r="H2243" t="str">
        <f t="shared" si="48"/>
        <v>TASC - HRA FEES</v>
      </c>
    </row>
    <row r="2244" spans="5:8" x14ac:dyDescent="0.25">
      <c r="E2244" t="str">
        <f>""</f>
        <v/>
      </c>
      <c r="F2244" t="str">
        <f>""</f>
        <v/>
      </c>
      <c r="H2244" t="str">
        <f t="shared" si="48"/>
        <v>TASC - HRA FEES</v>
      </c>
    </row>
    <row r="2245" spans="5:8" x14ac:dyDescent="0.25">
      <c r="E2245" t="str">
        <f>""</f>
        <v/>
      </c>
      <c r="F2245" t="str">
        <f>""</f>
        <v/>
      </c>
      <c r="H2245" t="str">
        <f t="shared" si="48"/>
        <v>TASC - HRA FEES</v>
      </c>
    </row>
    <row r="2246" spans="5:8" x14ac:dyDescent="0.25">
      <c r="E2246" t="str">
        <f>""</f>
        <v/>
      </c>
      <c r="F2246" t="str">
        <f>""</f>
        <v/>
      </c>
      <c r="H2246" t="str">
        <f t="shared" si="48"/>
        <v>TASC - HRA FEES</v>
      </c>
    </row>
    <row r="2247" spans="5:8" x14ac:dyDescent="0.25">
      <c r="E2247" t="str">
        <f>""</f>
        <v/>
      </c>
      <c r="F2247" t="str">
        <f>""</f>
        <v/>
      </c>
      <c r="H2247" t="str">
        <f t="shared" si="48"/>
        <v>TASC - HRA FEES</v>
      </c>
    </row>
    <row r="2248" spans="5:8" x14ac:dyDescent="0.25">
      <c r="E2248" t="str">
        <f>""</f>
        <v/>
      </c>
      <c r="F2248" t="str">
        <f>""</f>
        <v/>
      </c>
      <c r="H2248" t="str">
        <f t="shared" si="48"/>
        <v>TASC - HRA FEES</v>
      </c>
    </row>
    <row r="2249" spans="5:8" x14ac:dyDescent="0.25">
      <c r="E2249" t="str">
        <f>""</f>
        <v/>
      </c>
      <c r="F2249" t="str">
        <f>""</f>
        <v/>
      </c>
      <c r="H2249" t="str">
        <f t="shared" si="48"/>
        <v>TASC - HRA FEES</v>
      </c>
    </row>
    <row r="2250" spans="5:8" x14ac:dyDescent="0.25">
      <c r="E2250" t="str">
        <f>""</f>
        <v/>
      </c>
      <c r="F2250" t="str">
        <f>""</f>
        <v/>
      </c>
      <c r="H2250" t="str">
        <f t="shared" si="48"/>
        <v>TASC - HRA FEES</v>
      </c>
    </row>
    <row r="2251" spans="5:8" x14ac:dyDescent="0.25">
      <c r="E2251" t="str">
        <f>""</f>
        <v/>
      </c>
      <c r="F2251" t="str">
        <f>""</f>
        <v/>
      </c>
      <c r="H2251" t="str">
        <f t="shared" si="48"/>
        <v>TASC - HRA FEES</v>
      </c>
    </row>
    <row r="2252" spans="5:8" x14ac:dyDescent="0.25">
      <c r="E2252" t="str">
        <f>""</f>
        <v/>
      </c>
      <c r="F2252" t="str">
        <f>""</f>
        <v/>
      </c>
      <c r="H2252" t="str">
        <f t="shared" si="48"/>
        <v>TASC - HRA FEES</v>
      </c>
    </row>
    <row r="2253" spans="5:8" x14ac:dyDescent="0.25">
      <c r="E2253" t="str">
        <f>""</f>
        <v/>
      </c>
      <c r="F2253" t="str">
        <f>""</f>
        <v/>
      </c>
      <c r="H2253" t="str">
        <f t="shared" si="48"/>
        <v>TASC - HRA FEES</v>
      </c>
    </row>
    <row r="2254" spans="5:8" x14ac:dyDescent="0.25">
      <c r="E2254" t="str">
        <f>""</f>
        <v/>
      </c>
      <c r="F2254" t="str">
        <f>""</f>
        <v/>
      </c>
      <c r="H2254" t="str">
        <f t="shared" si="48"/>
        <v>TASC - HRA FEES</v>
      </c>
    </row>
    <row r="2255" spans="5:8" x14ac:dyDescent="0.25">
      <c r="E2255" t="str">
        <f>""</f>
        <v/>
      </c>
      <c r="F2255" t="str">
        <f>""</f>
        <v/>
      </c>
      <c r="H2255" t="str">
        <f t="shared" si="48"/>
        <v>TASC - HRA FEES</v>
      </c>
    </row>
    <row r="2256" spans="5:8" x14ac:dyDescent="0.25">
      <c r="E2256" t="str">
        <f>""</f>
        <v/>
      </c>
      <c r="F2256" t="str">
        <f>""</f>
        <v/>
      </c>
      <c r="H2256" t="str">
        <f t="shared" si="48"/>
        <v>TASC - HRA FEES</v>
      </c>
    </row>
    <row r="2257" spans="1:8" x14ac:dyDescent="0.25">
      <c r="E2257" t="str">
        <f>""</f>
        <v/>
      </c>
      <c r="F2257" t="str">
        <f>""</f>
        <v/>
      </c>
      <c r="H2257" t="str">
        <f t="shared" si="48"/>
        <v>TASC - HRA FEES</v>
      </c>
    </row>
    <row r="2258" spans="1:8" x14ac:dyDescent="0.25">
      <c r="E2258" t="str">
        <f>""</f>
        <v/>
      </c>
      <c r="F2258" t="str">
        <f>""</f>
        <v/>
      </c>
      <c r="H2258" t="str">
        <f t="shared" si="48"/>
        <v>TASC - HRA FEES</v>
      </c>
    </row>
    <row r="2259" spans="1:8" x14ac:dyDescent="0.25">
      <c r="E2259" t="str">
        <f>""</f>
        <v/>
      </c>
      <c r="F2259" t="str">
        <f>""</f>
        <v/>
      </c>
      <c r="H2259" t="str">
        <f t="shared" si="48"/>
        <v>TASC - HRA FEES</v>
      </c>
    </row>
    <row r="2260" spans="1:8" x14ac:dyDescent="0.25">
      <c r="E2260" t="str">
        <f>""</f>
        <v/>
      </c>
      <c r="F2260" t="str">
        <f>""</f>
        <v/>
      </c>
      <c r="H2260" t="str">
        <f t="shared" si="48"/>
        <v>TASC - HRA FEES</v>
      </c>
    </row>
    <row r="2261" spans="1:8" x14ac:dyDescent="0.25">
      <c r="E2261" t="str">
        <f>"HRF202011100004"</f>
        <v>HRF202011100004</v>
      </c>
      <c r="F2261" t="str">
        <f>"TASC - HRA FEES"</f>
        <v>TASC - HRA FEES</v>
      </c>
      <c r="G2261" s="1">
        <v>27</v>
      </c>
      <c r="H2261" t="str">
        <f t="shared" si="48"/>
        <v>TASC - HRA FEES</v>
      </c>
    </row>
    <row r="2262" spans="1:8" x14ac:dyDescent="0.25">
      <c r="A2262" t="s">
        <v>399</v>
      </c>
      <c r="B2262">
        <v>781</v>
      </c>
      <c r="C2262" s="1">
        <v>8712.8799999999992</v>
      </c>
      <c r="D2262" s="5">
        <v>44160</v>
      </c>
      <c r="E2262" t="str">
        <f>"FSA202011240269"</f>
        <v>FSA202011240269</v>
      </c>
      <c r="F2262" t="str">
        <f>"TASC FSA"</f>
        <v>TASC FSA</v>
      </c>
      <c r="G2262" s="1">
        <v>7146.76</v>
      </c>
      <c r="H2262" t="str">
        <f>"TASC FSA"</f>
        <v>TASC FSA</v>
      </c>
    </row>
    <row r="2263" spans="1:8" x14ac:dyDescent="0.25">
      <c r="E2263" t="str">
        <f>"FSA202011240270"</f>
        <v>FSA202011240270</v>
      </c>
      <c r="F2263" t="str">
        <f>"TASC FSA"</f>
        <v>TASC FSA</v>
      </c>
      <c r="G2263" s="1">
        <v>443.32</v>
      </c>
      <c r="H2263" t="str">
        <f>"TASC FSA"</f>
        <v>TASC FSA</v>
      </c>
    </row>
    <row r="2264" spans="1:8" x14ac:dyDescent="0.25">
      <c r="E2264" t="str">
        <f>"FSC202011240269"</f>
        <v>FSC202011240269</v>
      </c>
      <c r="F2264" t="str">
        <f>"TASC DEPENDENT CARE"</f>
        <v>TASC DEPENDENT CARE</v>
      </c>
      <c r="G2264" s="1">
        <v>50</v>
      </c>
      <c r="H2264" t="str">
        <f>"TASC DEPENDENT CARE"</f>
        <v>TASC DEPENDENT CARE</v>
      </c>
    </row>
    <row r="2265" spans="1:8" x14ac:dyDescent="0.25">
      <c r="E2265" t="str">
        <f>"FSF202011240269"</f>
        <v>FSF202011240269</v>
      </c>
      <c r="F2265" t="str">
        <f>"TASC - FSA  FEES"</f>
        <v>TASC - FSA  FEES</v>
      </c>
      <c r="G2265" s="1">
        <v>241.2</v>
      </c>
      <c r="H2265" t="str">
        <f t="shared" ref="H2265:H2304" si="49">"TASC - FSA  FEES"</f>
        <v>TASC - FSA  FEES</v>
      </c>
    </row>
    <row r="2266" spans="1:8" x14ac:dyDescent="0.25">
      <c r="E2266" t="str">
        <f>""</f>
        <v/>
      </c>
      <c r="F2266" t="str">
        <f>""</f>
        <v/>
      </c>
      <c r="H2266" t="str">
        <f t="shared" si="49"/>
        <v>TASC - FSA  FEES</v>
      </c>
    </row>
    <row r="2267" spans="1:8" x14ac:dyDescent="0.25">
      <c r="E2267" t="str">
        <f>""</f>
        <v/>
      </c>
      <c r="F2267" t="str">
        <f>""</f>
        <v/>
      </c>
      <c r="H2267" t="str">
        <f t="shared" si="49"/>
        <v>TASC - FSA  FEES</v>
      </c>
    </row>
    <row r="2268" spans="1:8" x14ac:dyDescent="0.25">
      <c r="E2268" t="str">
        <f>""</f>
        <v/>
      </c>
      <c r="F2268" t="str">
        <f>""</f>
        <v/>
      </c>
      <c r="H2268" t="str">
        <f t="shared" si="49"/>
        <v>TASC - FSA  FEES</v>
      </c>
    </row>
    <row r="2269" spans="1:8" x14ac:dyDescent="0.25">
      <c r="E2269" t="str">
        <f>""</f>
        <v/>
      </c>
      <c r="F2269" t="str">
        <f>""</f>
        <v/>
      </c>
      <c r="H2269" t="str">
        <f t="shared" si="49"/>
        <v>TASC - FSA  FEES</v>
      </c>
    </row>
    <row r="2270" spans="1:8" x14ac:dyDescent="0.25">
      <c r="E2270" t="str">
        <f>""</f>
        <v/>
      </c>
      <c r="F2270" t="str">
        <f>""</f>
        <v/>
      </c>
      <c r="H2270" t="str">
        <f t="shared" si="49"/>
        <v>TASC - FSA  FEES</v>
      </c>
    </row>
    <row r="2271" spans="1:8" x14ac:dyDescent="0.25">
      <c r="E2271" t="str">
        <f>""</f>
        <v/>
      </c>
      <c r="F2271" t="str">
        <f>""</f>
        <v/>
      </c>
      <c r="H2271" t="str">
        <f t="shared" si="49"/>
        <v>TASC - FSA  FEES</v>
      </c>
    </row>
    <row r="2272" spans="1:8" x14ac:dyDescent="0.25">
      <c r="E2272" t="str">
        <f>""</f>
        <v/>
      </c>
      <c r="F2272" t="str">
        <f>""</f>
        <v/>
      </c>
      <c r="H2272" t="str">
        <f t="shared" si="49"/>
        <v>TASC - FSA  FEES</v>
      </c>
    </row>
    <row r="2273" spans="5:8" x14ac:dyDescent="0.25">
      <c r="E2273" t="str">
        <f>""</f>
        <v/>
      </c>
      <c r="F2273" t="str">
        <f>""</f>
        <v/>
      </c>
      <c r="H2273" t="str">
        <f t="shared" si="49"/>
        <v>TASC - FSA  FEES</v>
      </c>
    </row>
    <row r="2274" spans="5:8" x14ac:dyDescent="0.25">
      <c r="E2274" t="str">
        <f>""</f>
        <v/>
      </c>
      <c r="F2274" t="str">
        <f>""</f>
        <v/>
      </c>
      <c r="H2274" t="str">
        <f t="shared" si="49"/>
        <v>TASC - FSA  FEES</v>
      </c>
    </row>
    <row r="2275" spans="5:8" x14ac:dyDescent="0.25">
      <c r="E2275" t="str">
        <f>""</f>
        <v/>
      </c>
      <c r="F2275" t="str">
        <f>""</f>
        <v/>
      </c>
      <c r="H2275" t="str">
        <f t="shared" si="49"/>
        <v>TASC - FSA  FEES</v>
      </c>
    </row>
    <row r="2276" spans="5:8" x14ac:dyDescent="0.25">
      <c r="E2276" t="str">
        <f>""</f>
        <v/>
      </c>
      <c r="F2276" t="str">
        <f>""</f>
        <v/>
      </c>
      <c r="H2276" t="str">
        <f t="shared" si="49"/>
        <v>TASC - FSA  FEES</v>
      </c>
    </row>
    <row r="2277" spans="5:8" x14ac:dyDescent="0.25">
      <c r="E2277" t="str">
        <f>""</f>
        <v/>
      </c>
      <c r="F2277" t="str">
        <f>""</f>
        <v/>
      </c>
      <c r="H2277" t="str">
        <f t="shared" si="49"/>
        <v>TASC - FSA  FEES</v>
      </c>
    </row>
    <row r="2278" spans="5:8" x14ac:dyDescent="0.25">
      <c r="E2278" t="str">
        <f>""</f>
        <v/>
      </c>
      <c r="F2278" t="str">
        <f>""</f>
        <v/>
      </c>
      <c r="H2278" t="str">
        <f t="shared" si="49"/>
        <v>TASC - FSA  FEES</v>
      </c>
    </row>
    <row r="2279" spans="5:8" x14ac:dyDescent="0.25">
      <c r="E2279" t="str">
        <f>""</f>
        <v/>
      </c>
      <c r="F2279" t="str">
        <f>""</f>
        <v/>
      </c>
      <c r="H2279" t="str">
        <f t="shared" si="49"/>
        <v>TASC - FSA  FEES</v>
      </c>
    </row>
    <row r="2280" spans="5:8" x14ac:dyDescent="0.25">
      <c r="E2280" t="str">
        <f>""</f>
        <v/>
      </c>
      <c r="F2280" t="str">
        <f>""</f>
        <v/>
      </c>
      <c r="H2280" t="str">
        <f t="shared" si="49"/>
        <v>TASC - FSA  FEES</v>
      </c>
    </row>
    <row r="2281" spans="5:8" x14ac:dyDescent="0.25">
      <c r="E2281" t="str">
        <f>""</f>
        <v/>
      </c>
      <c r="F2281" t="str">
        <f>""</f>
        <v/>
      </c>
      <c r="H2281" t="str">
        <f t="shared" si="49"/>
        <v>TASC - FSA  FEES</v>
      </c>
    </row>
    <row r="2282" spans="5:8" x14ac:dyDescent="0.25">
      <c r="E2282" t="str">
        <f>""</f>
        <v/>
      </c>
      <c r="F2282" t="str">
        <f>""</f>
        <v/>
      </c>
      <c r="H2282" t="str">
        <f t="shared" si="49"/>
        <v>TASC - FSA  FEES</v>
      </c>
    </row>
    <row r="2283" spans="5:8" x14ac:dyDescent="0.25">
      <c r="E2283" t="str">
        <f>""</f>
        <v/>
      </c>
      <c r="F2283" t="str">
        <f>""</f>
        <v/>
      </c>
      <c r="H2283" t="str">
        <f t="shared" si="49"/>
        <v>TASC - FSA  FEES</v>
      </c>
    </row>
    <row r="2284" spans="5:8" x14ac:dyDescent="0.25">
      <c r="E2284" t="str">
        <f>""</f>
        <v/>
      </c>
      <c r="F2284" t="str">
        <f>""</f>
        <v/>
      </c>
      <c r="H2284" t="str">
        <f t="shared" si="49"/>
        <v>TASC - FSA  FEES</v>
      </c>
    </row>
    <row r="2285" spans="5:8" x14ac:dyDescent="0.25">
      <c r="E2285" t="str">
        <f>""</f>
        <v/>
      </c>
      <c r="F2285" t="str">
        <f>""</f>
        <v/>
      </c>
      <c r="H2285" t="str">
        <f t="shared" si="49"/>
        <v>TASC - FSA  FEES</v>
      </c>
    </row>
    <row r="2286" spans="5:8" x14ac:dyDescent="0.25">
      <c r="E2286" t="str">
        <f>""</f>
        <v/>
      </c>
      <c r="F2286" t="str">
        <f>""</f>
        <v/>
      </c>
      <c r="H2286" t="str">
        <f t="shared" si="49"/>
        <v>TASC - FSA  FEES</v>
      </c>
    </row>
    <row r="2287" spans="5:8" x14ac:dyDescent="0.25">
      <c r="E2287" t="str">
        <f>""</f>
        <v/>
      </c>
      <c r="F2287" t="str">
        <f>""</f>
        <v/>
      </c>
      <c r="H2287" t="str">
        <f t="shared" si="49"/>
        <v>TASC - FSA  FEES</v>
      </c>
    </row>
    <row r="2288" spans="5:8" x14ac:dyDescent="0.25">
      <c r="E2288" t="str">
        <f>""</f>
        <v/>
      </c>
      <c r="F2288" t="str">
        <f>""</f>
        <v/>
      </c>
      <c r="H2288" t="str">
        <f t="shared" si="49"/>
        <v>TASC - FSA  FEES</v>
      </c>
    </row>
    <row r="2289" spans="5:8" x14ac:dyDescent="0.25">
      <c r="E2289" t="str">
        <f>""</f>
        <v/>
      </c>
      <c r="F2289" t="str">
        <f>""</f>
        <v/>
      </c>
      <c r="H2289" t="str">
        <f t="shared" si="49"/>
        <v>TASC - FSA  FEES</v>
      </c>
    </row>
    <row r="2290" spans="5:8" x14ac:dyDescent="0.25">
      <c r="E2290" t="str">
        <f>""</f>
        <v/>
      </c>
      <c r="F2290" t="str">
        <f>""</f>
        <v/>
      </c>
      <c r="H2290" t="str">
        <f t="shared" si="49"/>
        <v>TASC - FSA  FEES</v>
      </c>
    </row>
    <row r="2291" spans="5:8" x14ac:dyDescent="0.25">
      <c r="E2291" t="str">
        <f>""</f>
        <v/>
      </c>
      <c r="F2291" t="str">
        <f>""</f>
        <v/>
      </c>
      <c r="H2291" t="str">
        <f t="shared" si="49"/>
        <v>TASC - FSA  FEES</v>
      </c>
    </row>
    <row r="2292" spans="5:8" x14ac:dyDescent="0.25">
      <c r="E2292" t="str">
        <f>""</f>
        <v/>
      </c>
      <c r="F2292" t="str">
        <f>""</f>
        <v/>
      </c>
      <c r="H2292" t="str">
        <f t="shared" si="49"/>
        <v>TASC - FSA  FEES</v>
      </c>
    </row>
    <row r="2293" spans="5:8" x14ac:dyDescent="0.25">
      <c r="E2293" t="str">
        <f>""</f>
        <v/>
      </c>
      <c r="F2293" t="str">
        <f>""</f>
        <v/>
      </c>
      <c r="H2293" t="str">
        <f t="shared" si="49"/>
        <v>TASC - FSA  FEES</v>
      </c>
    </row>
    <row r="2294" spans="5:8" x14ac:dyDescent="0.25">
      <c r="E2294" t="str">
        <f>""</f>
        <v/>
      </c>
      <c r="F2294" t="str">
        <f>""</f>
        <v/>
      </c>
      <c r="H2294" t="str">
        <f t="shared" si="49"/>
        <v>TASC - FSA  FEES</v>
      </c>
    </row>
    <row r="2295" spans="5:8" x14ac:dyDescent="0.25">
      <c r="E2295" t="str">
        <f>""</f>
        <v/>
      </c>
      <c r="F2295" t="str">
        <f>""</f>
        <v/>
      </c>
      <c r="H2295" t="str">
        <f t="shared" si="49"/>
        <v>TASC - FSA  FEES</v>
      </c>
    </row>
    <row r="2296" spans="5:8" x14ac:dyDescent="0.25">
      <c r="E2296" t="str">
        <f>""</f>
        <v/>
      </c>
      <c r="F2296" t="str">
        <f>""</f>
        <v/>
      </c>
      <c r="H2296" t="str">
        <f t="shared" si="49"/>
        <v>TASC - FSA  FEES</v>
      </c>
    </row>
    <row r="2297" spans="5:8" x14ac:dyDescent="0.25">
      <c r="E2297" t="str">
        <f>""</f>
        <v/>
      </c>
      <c r="F2297" t="str">
        <f>""</f>
        <v/>
      </c>
      <c r="H2297" t="str">
        <f t="shared" si="49"/>
        <v>TASC - FSA  FEES</v>
      </c>
    </row>
    <row r="2298" spans="5:8" x14ac:dyDescent="0.25">
      <c r="E2298" t="str">
        <f>""</f>
        <v/>
      </c>
      <c r="F2298" t="str">
        <f>""</f>
        <v/>
      </c>
      <c r="H2298" t="str">
        <f t="shared" si="49"/>
        <v>TASC - FSA  FEES</v>
      </c>
    </row>
    <row r="2299" spans="5:8" x14ac:dyDescent="0.25">
      <c r="E2299" t="str">
        <f>""</f>
        <v/>
      </c>
      <c r="F2299" t="str">
        <f>""</f>
        <v/>
      </c>
      <c r="H2299" t="str">
        <f t="shared" si="49"/>
        <v>TASC - FSA  FEES</v>
      </c>
    </row>
    <row r="2300" spans="5:8" x14ac:dyDescent="0.25">
      <c r="E2300" t="str">
        <f>""</f>
        <v/>
      </c>
      <c r="F2300" t="str">
        <f>""</f>
        <v/>
      </c>
      <c r="H2300" t="str">
        <f t="shared" si="49"/>
        <v>TASC - FSA  FEES</v>
      </c>
    </row>
    <row r="2301" spans="5:8" x14ac:dyDescent="0.25">
      <c r="E2301" t="str">
        <f>""</f>
        <v/>
      </c>
      <c r="F2301" t="str">
        <f>""</f>
        <v/>
      </c>
      <c r="H2301" t="str">
        <f t="shared" si="49"/>
        <v>TASC - FSA  FEES</v>
      </c>
    </row>
    <row r="2302" spans="5:8" x14ac:dyDescent="0.25">
      <c r="E2302" t="str">
        <f>""</f>
        <v/>
      </c>
      <c r="F2302" t="str">
        <f>""</f>
        <v/>
      </c>
      <c r="H2302" t="str">
        <f t="shared" si="49"/>
        <v>TASC - FSA  FEES</v>
      </c>
    </row>
    <row r="2303" spans="5:8" x14ac:dyDescent="0.25">
      <c r="E2303" t="str">
        <f>""</f>
        <v/>
      </c>
      <c r="F2303" t="str">
        <f>""</f>
        <v/>
      </c>
      <c r="H2303" t="str">
        <f t="shared" si="49"/>
        <v>TASC - FSA  FEES</v>
      </c>
    </row>
    <row r="2304" spans="5:8" x14ac:dyDescent="0.25">
      <c r="E2304" t="str">
        <f>"FSF202011240270"</f>
        <v>FSF202011240270</v>
      </c>
      <c r="F2304" t="str">
        <f>"TASC - FSA  FEES"</f>
        <v>TASC - FSA  FEES</v>
      </c>
      <c r="G2304" s="1">
        <v>12.6</v>
      </c>
      <c r="H2304" t="str">
        <f t="shared" si="49"/>
        <v>TASC - FSA  FEES</v>
      </c>
    </row>
    <row r="2305" spans="5:8" x14ac:dyDescent="0.25">
      <c r="E2305" t="str">
        <f>"HRF202011240269"</f>
        <v>HRF202011240269</v>
      </c>
      <c r="F2305" t="str">
        <f>"TASC - HRA FEES"</f>
        <v>TASC - HRA FEES</v>
      </c>
      <c r="G2305" s="1">
        <v>792</v>
      </c>
      <c r="H2305" t="str">
        <f t="shared" ref="H2305:H2336" si="50">"TASC - HRA FEES"</f>
        <v>TASC - HRA FEES</v>
      </c>
    </row>
    <row r="2306" spans="5:8" x14ac:dyDescent="0.25">
      <c r="E2306" t="str">
        <f>""</f>
        <v/>
      </c>
      <c r="F2306" t="str">
        <f>""</f>
        <v/>
      </c>
      <c r="H2306" t="str">
        <f t="shared" si="50"/>
        <v>TASC - HRA FEES</v>
      </c>
    </row>
    <row r="2307" spans="5:8" x14ac:dyDescent="0.25">
      <c r="E2307" t="str">
        <f>""</f>
        <v/>
      </c>
      <c r="F2307" t="str">
        <f>""</f>
        <v/>
      </c>
      <c r="H2307" t="str">
        <f t="shared" si="50"/>
        <v>TASC - HRA FEES</v>
      </c>
    </row>
    <row r="2308" spans="5:8" x14ac:dyDescent="0.25">
      <c r="E2308" t="str">
        <f>""</f>
        <v/>
      </c>
      <c r="F2308" t="str">
        <f>""</f>
        <v/>
      </c>
      <c r="H2308" t="str">
        <f t="shared" si="50"/>
        <v>TASC - HRA FEES</v>
      </c>
    </row>
    <row r="2309" spans="5:8" x14ac:dyDescent="0.25">
      <c r="E2309" t="str">
        <f>""</f>
        <v/>
      </c>
      <c r="F2309" t="str">
        <f>""</f>
        <v/>
      </c>
      <c r="H2309" t="str">
        <f t="shared" si="50"/>
        <v>TASC - HRA FEES</v>
      </c>
    </row>
    <row r="2310" spans="5:8" x14ac:dyDescent="0.25">
      <c r="E2310" t="str">
        <f>""</f>
        <v/>
      </c>
      <c r="F2310" t="str">
        <f>""</f>
        <v/>
      </c>
      <c r="H2310" t="str">
        <f t="shared" si="50"/>
        <v>TASC - HRA FEES</v>
      </c>
    </row>
    <row r="2311" spans="5:8" x14ac:dyDescent="0.25">
      <c r="E2311" t="str">
        <f>""</f>
        <v/>
      </c>
      <c r="F2311" t="str">
        <f>""</f>
        <v/>
      </c>
      <c r="H2311" t="str">
        <f t="shared" si="50"/>
        <v>TASC - HRA FEES</v>
      </c>
    </row>
    <row r="2312" spans="5:8" x14ac:dyDescent="0.25">
      <c r="E2312" t="str">
        <f>""</f>
        <v/>
      </c>
      <c r="F2312" t="str">
        <f>""</f>
        <v/>
      </c>
      <c r="H2312" t="str">
        <f t="shared" si="50"/>
        <v>TASC - HRA FEES</v>
      </c>
    </row>
    <row r="2313" spans="5:8" x14ac:dyDescent="0.25">
      <c r="E2313" t="str">
        <f>""</f>
        <v/>
      </c>
      <c r="F2313" t="str">
        <f>""</f>
        <v/>
      </c>
      <c r="H2313" t="str">
        <f t="shared" si="50"/>
        <v>TASC - HRA FEES</v>
      </c>
    </row>
    <row r="2314" spans="5:8" x14ac:dyDescent="0.25">
      <c r="E2314" t="str">
        <f>""</f>
        <v/>
      </c>
      <c r="F2314" t="str">
        <f>""</f>
        <v/>
      </c>
      <c r="H2314" t="str">
        <f t="shared" si="50"/>
        <v>TASC - HRA FEES</v>
      </c>
    </row>
    <row r="2315" spans="5:8" x14ac:dyDescent="0.25">
      <c r="E2315" t="str">
        <f>""</f>
        <v/>
      </c>
      <c r="F2315" t="str">
        <f>""</f>
        <v/>
      </c>
      <c r="H2315" t="str">
        <f t="shared" si="50"/>
        <v>TASC - HRA FEES</v>
      </c>
    </row>
    <row r="2316" spans="5:8" x14ac:dyDescent="0.25">
      <c r="E2316" t="str">
        <f>""</f>
        <v/>
      </c>
      <c r="F2316" t="str">
        <f>""</f>
        <v/>
      </c>
      <c r="H2316" t="str">
        <f t="shared" si="50"/>
        <v>TASC - HRA FEES</v>
      </c>
    </row>
    <row r="2317" spans="5:8" x14ac:dyDescent="0.25">
      <c r="E2317" t="str">
        <f>""</f>
        <v/>
      </c>
      <c r="F2317" t="str">
        <f>""</f>
        <v/>
      </c>
      <c r="H2317" t="str">
        <f t="shared" si="50"/>
        <v>TASC - HRA FEES</v>
      </c>
    </row>
    <row r="2318" spans="5:8" x14ac:dyDescent="0.25">
      <c r="E2318" t="str">
        <f>""</f>
        <v/>
      </c>
      <c r="F2318" t="str">
        <f>""</f>
        <v/>
      </c>
      <c r="H2318" t="str">
        <f t="shared" si="50"/>
        <v>TASC - HRA FEES</v>
      </c>
    </row>
    <row r="2319" spans="5:8" x14ac:dyDescent="0.25">
      <c r="E2319" t="str">
        <f>""</f>
        <v/>
      </c>
      <c r="F2319" t="str">
        <f>""</f>
        <v/>
      </c>
      <c r="H2319" t="str">
        <f t="shared" si="50"/>
        <v>TASC - HRA FEES</v>
      </c>
    </row>
    <row r="2320" spans="5:8" x14ac:dyDescent="0.25">
      <c r="E2320" t="str">
        <f>""</f>
        <v/>
      </c>
      <c r="F2320" t="str">
        <f>""</f>
        <v/>
      </c>
      <c r="H2320" t="str">
        <f t="shared" si="50"/>
        <v>TASC - HRA FEES</v>
      </c>
    </row>
    <row r="2321" spans="5:8" x14ac:dyDescent="0.25">
      <c r="E2321" t="str">
        <f>""</f>
        <v/>
      </c>
      <c r="F2321" t="str">
        <f>""</f>
        <v/>
      </c>
      <c r="H2321" t="str">
        <f t="shared" si="50"/>
        <v>TASC - HRA FEES</v>
      </c>
    </row>
    <row r="2322" spans="5:8" x14ac:dyDescent="0.25">
      <c r="E2322" t="str">
        <f>""</f>
        <v/>
      </c>
      <c r="F2322" t="str">
        <f>""</f>
        <v/>
      </c>
      <c r="H2322" t="str">
        <f t="shared" si="50"/>
        <v>TASC - HRA FEES</v>
      </c>
    </row>
    <row r="2323" spans="5:8" x14ac:dyDescent="0.25">
      <c r="E2323" t="str">
        <f>""</f>
        <v/>
      </c>
      <c r="F2323" t="str">
        <f>""</f>
        <v/>
      </c>
      <c r="H2323" t="str">
        <f t="shared" si="50"/>
        <v>TASC - HRA FEES</v>
      </c>
    </row>
    <row r="2324" spans="5:8" x14ac:dyDescent="0.25">
      <c r="E2324" t="str">
        <f>""</f>
        <v/>
      </c>
      <c r="F2324" t="str">
        <f>""</f>
        <v/>
      </c>
      <c r="H2324" t="str">
        <f t="shared" si="50"/>
        <v>TASC - HRA FEES</v>
      </c>
    </row>
    <row r="2325" spans="5:8" x14ac:dyDescent="0.25">
      <c r="E2325" t="str">
        <f>""</f>
        <v/>
      </c>
      <c r="F2325" t="str">
        <f>""</f>
        <v/>
      </c>
      <c r="H2325" t="str">
        <f t="shared" si="50"/>
        <v>TASC - HRA FEES</v>
      </c>
    </row>
    <row r="2326" spans="5:8" x14ac:dyDescent="0.25">
      <c r="E2326" t="str">
        <f>""</f>
        <v/>
      </c>
      <c r="F2326" t="str">
        <f>""</f>
        <v/>
      </c>
      <c r="H2326" t="str">
        <f t="shared" si="50"/>
        <v>TASC - HRA FEES</v>
      </c>
    </row>
    <row r="2327" spans="5:8" x14ac:dyDescent="0.25">
      <c r="E2327" t="str">
        <f>""</f>
        <v/>
      </c>
      <c r="F2327" t="str">
        <f>""</f>
        <v/>
      </c>
      <c r="H2327" t="str">
        <f t="shared" si="50"/>
        <v>TASC - HRA FEES</v>
      </c>
    </row>
    <row r="2328" spans="5:8" x14ac:dyDescent="0.25">
      <c r="E2328" t="str">
        <f>""</f>
        <v/>
      </c>
      <c r="F2328" t="str">
        <f>""</f>
        <v/>
      </c>
      <c r="H2328" t="str">
        <f t="shared" si="50"/>
        <v>TASC - HRA FEES</v>
      </c>
    </row>
    <row r="2329" spans="5:8" x14ac:dyDescent="0.25">
      <c r="E2329" t="str">
        <f>""</f>
        <v/>
      </c>
      <c r="F2329" t="str">
        <f>""</f>
        <v/>
      </c>
      <c r="H2329" t="str">
        <f t="shared" si="50"/>
        <v>TASC - HRA FEES</v>
      </c>
    </row>
    <row r="2330" spans="5:8" x14ac:dyDescent="0.25">
      <c r="E2330" t="str">
        <f>""</f>
        <v/>
      </c>
      <c r="F2330" t="str">
        <f>""</f>
        <v/>
      </c>
      <c r="H2330" t="str">
        <f t="shared" si="50"/>
        <v>TASC - HRA FEES</v>
      </c>
    </row>
    <row r="2331" spans="5:8" x14ac:dyDescent="0.25">
      <c r="E2331" t="str">
        <f>""</f>
        <v/>
      </c>
      <c r="F2331" t="str">
        <f>""</f>
        <v/>
      </c>
      <c r="H2331" t="str">
        <f t="shared" si="50"/>
        <v>TASC - HRA FEES</v>
      </c>
    </row>
    <row r="2332" spans="5:8" x14ac:dyDescent="0.25">
      <c r="E2332" t="str">
        <f>""</f>
        <v/>
      </c>
      <c r="F2332" t="str">
        <f>""</f>
        <v/>
      </c>
      <c r="H2332" t="str">
        <f t="shared" si="50"/>
        <v>TASC - HRA FEES</v>
      </c>
    </row>
    <row r="2333" spans="5:8" x14ac:dyDescent="0.25">
      <c r="E2333" t="str">
        <f>""</f>
        <v/>
      </c>
      <c r="F2333" t="str">
        <f>""</f>
        <v/>
      </c>
      <c r="H2333" t="str">
        <f t="shared" si="50"/>
        <v>TASC - HRA FEES</v>
      </c>
    </row>
    <row r="2334" spans="5:8" x14ac:dyDescent="0.25">
      <c r="E2334" t="str">
        <f>""</f>
        <v/>
      </c>
      <c r="F2334" t="str">
        <f>""</f>
        <v/>
      </c>
      <c r="H2334" t="str">
        <f t="shared" si="50"/>
        <v>TASC - HRA FEES</v>
      </c>
    </row>
    <row r="2335" spans="5:8" x14ac:dyDescent="0.25">
      <c r="E2335" t="str">
        <f>""</f>
        <v/>
      </c>
      <c r="F2335" t="str">
        <f>""</f>
        <v/>
      </c>
      <c r="H2335" t="str">
        <f t="shared" si="50"/>
        <v>TASC - HRA FEES</v>
      </c>
    </row>
    <row r="2336" spans="5:8" x14ac:dyDescent="0.25">
      <c r="E2336" t="str">
        <f>""</f>
        <v/>
      </c>
      <c r="F2336" t="str">
        <f>""</f>
        <v/>
      </c>
      <c r="H2336" t="str">
        <f t="shared" si="50"/>
        <v>TASC - HRA FEES</v>
      </c>
    </row>
    <row r="2337" spans="5:8" x14ac:dyDescent="0.25">
      <c r="E2337" t="str">
        <f>""</f>
        <v/>
      </c>
      <c r="F2337" t="str">
        <f>""</f>
        <v/>
      </c>
      <c r="H2337" t="str">
        <f t="shared" ref="H2337:H2356" si="51">"TASC - HRA FEES"</f>
        <v>TASC - HRA FEES</v>
      </c>
    </row>
    <row r="2338" spans="5:8" x14ac:dyDescent="0.25">
      <c r="E2338" t="str">
        <f>""</f>
        <v/>
      </c>
      <c r="F2338" t="str">
        <f>""</f>
        <v/>
      </c>
      <c r="H2338" t="str">
        <f t="shared" si="51"/>
        <v>TASC - HRA FEES</v>
      </c>
    </row>
    <row r="2339" spans="5:8" x14ac:dyDescent="0.25">
      <c r="E2339" t="str">
        <f>""</f>
        <v/>
      </c>
      <c r="F2339" t="str">
        <f>""</f>
        <v/>
      </c>
      <c r="H2339" t="str">
        <f t="shared" si="51"/>
        <v>TASC - HRA FEES</v>
      </c>
    </row>
    <row r="2340" spans="5:8" x14ac:dyDescent="0.25">
      <c r="E2340" t="str">
        <f>""</f>
        <v/>
      </c>
      <c r="F2340" t="str">
        <f>""</f>
        <v/>
      </c>
      <c r="H2340" t="str">
        <f t="shared" si="51"/>
        <v>TASC - HRA FEES</v>
      </c>
    </row>
    <row r="2341" spans="5:8" x14ac:dyDescent="0.25">
      <c r="E2341" t="str">
        <f>""</f>
        <v/>
      </c>
      <c r="F2341" t="str">
        <f>""</f>
        <v/>
      </c>
      <c r="H2341" t="str">
        <f t="shared" si="51"/>
        <v>TASC - HRA FEES</v>
      </c>
    </row>
    <row r="2342" spans="5:8" x14ac:dyDescent="0.25">
      <c r="E2342" t="str">
        <f>""</f>
        <v/>
      </c>
      <c r="F2342" t="str">
        <f>""</f>
        <v/>
      </c>
      <c r="H2342" t="str">
        <f t="shared" si="51"/>
        <v>TASC - HRA FEES</v>
      </c>
    </row>
    <row r="2343" spans="5:8" x14ac:dyDescent="0.25">
      <c r="E2343" t="str">
        <f>""</f>
        <v/>
      </c>
      <c r="F2343" t="str">
        <f>""</f>
        <v/>
      </c>
      <c r="H2343" t="str">
        <f t="shared" si="51"/>
        <v>TASC - HRA FEES</v>
      </c>
    </row>
    <row r="2344" spans="5:8" x14ac:dyDescent="0.25">
      <c r="E2344" t="str">
        <f>""</f>
        <v/>
      </c>
      <c r="F2344" t="str">
        <f>""</f>
        <v/>
      </c>
      <c r="H2344" t="str">
        <f t="shared" si="51"/>
        <v>TASC - HRA FEES</v>
      </c>
    </row>
    <row r="2345" spans="5:8" x14ac:dyDescent="0.25">
      <c r="E2345" t="str">
        <f>""</f>
        <v/>
      </c>
      <c r="F2345" t="str">
        <f>""</f>
        <v/>
      </c>
      <c r="H2345" t="str">
        <f t="shared" si="51"/>
        <v>TASC - HRA FEES</v>
      </c>
    </row>
    <row r="2346" spans="5:8" x14ac:dyDescent="0.25">
      <c r="E2346" t="str">
        <f>""</f>
        <v/>
      </c>
      <c r="F2346" t="str">
        <f>""</f>
        <v/>
      </c>
      <c r="H2346" t="str">
        <f t="shared" si="51"/>
        <v>TASC - HRA FEES</v>
      </c>
    </row>
    <row r="2347" spans="5:8" x14ac:dyDescent="0.25">
      <c r="E2347" t="str">
        <f>""</f>
        <v/>
      </c>
      <c r="F2347" t="str">
        <f>""</f>
        <v/>
      </c>
      <c r="H2347" t="str">
        <f t="shared" si="51"/>
        <v>TASC - HRA FEES</v>
      </c>
    </row>
    <row r="2348" spans="5:8" x14ac:dyDescent="0.25">
      <c r="E2348" t="str">
        <f>""</f>
        <v/>
      </c>
      <c r="F2348" t="str">
        <f>""</f>
        <v/>
      </c>
      <c r="H2348" t="str">
        <f t="shared" si="51"/>
        <v>TASC - HRA FEES</v>
      </c>
    </row>
    <row r="2349" spans="5:8" x14ac:dyDescent="0.25">
      <c r="E2349" t="str">
        <f>""</f>
        <v/>
      </c>
      <c r="F2349" t="str">
        <f>""</f>
        <v/>
      </c>
      <c r="H2349" t="str">
        <f t="shared" si="51"/>
        <v>TASC - HRA FEES</v>
      </c>
    </row>
    <row r="2350" spans="5:8" x14ac:dyDescent="0.25">
      <c r="E2350" t="str">
        <f>""</f>
        <v/>
      </c>
      <c r="F2350" t="str">
        <f>""</f>
        <v/>
      </c>
      <c r="H2350" t="str">
        <f t="shared" si="51"/>
        <v>TASC - HRA FEES</v>
      </c>
    </row>
    <row r="2351" spans="5:8" x14ac:dyDescent="0.25">
      <c r="E2351" t="str">
        <f>""</f>
        <v/>
      </c>
      <c r="F2351" t="str">
        <f>""</f>
        <v/>
      </c>
      <c r="H2351" t="str">
        <f t="shared" si="51"/>
        <v>TASC - HRA FEES</v>
      </c>
    </row>
    <row r="2352" spans="5:8" x14ac:dyDescent="0.25">
      <c r="E2352" t="str">
        <f>""</f>
        <v/>
      </c>
      <c r="F2352" t="str">
        <f>""</f>
        <v/>
      </c>
      <c r="H2352" t="str">
        <f t="shared" si="51"/>
        <v>TASC - HRA FEES</v>
      </c>
    </row>
    <row r="2353" spans="1:8" x14ac:dyDescent="0.25">
      <c r="E2353" t="str">
        <f>""</f>
        <v/>
      </c>
      <c r="F2353" t="str">
        <f>""</f>
        <v/>
      </c>
      <c r="H2353" t="str">
        <f t="shared" si="51"/>
        <v>TASC - HRA FEES</v>
      </c>
    </row>
    <row r="2354" spans="1:8" x14ac:dyDescent="0.25">
      <c r="E2354" t="str">
        <f>""</f>
        <v/>
      </c>
      <c r="F2354" t="str">
        <f>""</f>
        <v/>
      </c>
      <c r="H2354" t="str">
        <f t="shared" si="51"/>
        <v>TASC - HRA FEES</v>
      </c>
    </row>
    <row r="2355" spans="1:8" x14ac:dyDescent="0.25">
      <c r="E2355" t="str">
        <f>""</f>
        <v/>
      </c>
      <c r="F2355" t="str">
        <f>""</f>
        <v/>
      </c>
      <c r="H2355" t="str">
        <f t="shared" si="51"/>
        <v>TASC - HRA FEES</v>
      </c>
    </row>
    <row r="2356" spans="1:8" x14ac:dyDescent="0.25">
      <c r="E2356" t="str">
        <f>"HRF202011240270"</f>
        <v>HRF202011240270</v>
      </c>
      <c r="F2356" t="str">
        <f>"TASC - HRA FEES"</f>
        <v>TASC - HRA FEES</v>
      </c>
      <c r="G2356" s="1">
        <v>27</v>
      </c>
      <c r="H2356" t="str">
        <f t="shared" si="51"/>
        <v>TASC - HRA FEES</v>
      </c>
    </row>
    <row r="2357" spans="1:8" x14ac:dyDescent="0.25">
      <c r="A2357" t="s">
        <v>400</v>
      </c>
      <c r="B2357">
        <v>765</v>
      </c>
      <c r="C2357" s="1">
        <v>4364.71</v>
      </c>
      <c r="D2357" s="5">
        <v>44148</v>
      </c>
      <c r="E2357" t="str">
        <f>"C2 202011100004"</f>
        <v>C2 202011100004</v>
      </c>
      <c r="F2357" t="str">
        <f>"0012982132CCL7445"</f>
        <v>0012982132CCL7445</v>
      </c>
      <c r="G2357" s="1">
        <v>692.31</v>
      </c>
      <c r="H2357" t="str">
        <f>"0012982132CCL7445"</f>
        <v>0012982132CCL7445</v>
      </c>
    </row>
    <row r="2358" spans="1:8" x14ac:dyDescent="0.25">
      <c r="E2358" t="str">
        <f>"C20202011100003"</f>
        <v>C20202011100003</v>
      </c>
      <c r="F2358" t="str">
        <f>"001003981107-12252"</f>
        <v>001003981107-12252</v>
      </c>
      <c r="G2358" s="1">
        <v>115.39</v>
      </c>
      <c r="H2358" t="str">
        <f>"001003981107-12252"</f>
        <v>001003981107-12252</v>
      </c>
    </row>
    <row r="2359" spans="1:8" x14ac:dyDescent="0.25">
      <c r="E2359" t="str">
        <f>"C42202011100003"</f>
        <v>C42202011100003</v>
      </c>
      <c r="F2359" t="str">
        <f>"001236769211-14410"</f>
        <v>001236769211-14410</v>
      </c>
      <c r="G2359" s="1">
        <v>230.31</v>
      </c>
      <c r="H2359" t="str">
        <f>"001236769211-14410"</f>
        <v>001236769211-14410</v>
      </c>
    </row>
    <row r="2360" spans="1:8" x14ac:dyDescent="0.25">
      <c r="E2360" t="str">
        <f>"C46202011100003"</f>
        <v>C46202011100003</v>
      </c>
      <c r="F2360" t="str">
        <f>"CAUSE# 11-14911"</f>
        <v>CAUSE# 11-14911</v>
      </c>
      <c r="G2360" s="1">
        <v>238.62</v>
      </c>
      <c r="H2360" t="str">
        <f>"CAUSE# 11-14911"</f>
        <v>CAUSE# 11-14911</v>
      </c>
    </row>
    <row r="2361" spans="1:8" x14ac:dyDescent="0.25">
      <c r="E2361" t="str">
        <f>"C60202011100003"</f>
        <v>C60202011100003</v>
      </c>
      <c r="F2361" t="str">
        <f>"00130730762012V300"</f>
        <v>00130730762012V300</v>
      </c>
      <c r="G2361" s="1">
        <v>399.32</v>
      </c>
      <c r="H2361" t="str">
        <f>"00130730762012V300"</f>
        <v>00130730762012V300</v>
      </c>
    </row>
    <row r="2362" spans="1:8" x14ac:dyDescent="0.25">
      <c r="E2362" t="str">
        <f>"C62202011100003"</f>
        <v>C62202011100003</v>
      </c>
      <c r="F2362" t="str">
        <f>"# 0012128865"</f>
        <v># 0012128865</v>
      </c>
      <c r="G2362" s="1">
        <v>243.23</v>
      </c>
      <c r="H2362" t="str">
        <f>"# 0012128865"</f>
        <v># 0012128865</v>
      </c>
    </row>
    <row r="2363" spans="1:8" x14ac:dyDescent="0.25">
      <c r="E2363" t="str">
        <f>"C66202011100003"</f>
        <v>C66202011100003</v>
      </c>
      <c r="F2363" t="str">
        <f>"# 0012871801"</f>
        <v># 0012871801</v>
      </c>
      <c r="G2363" s="1">
        <v>90</v>
      </c>
      <c r="H2363" t="str">
        <f>"# 0012871801"</f>
        <v># 0012871801</v>
      </c>
    </row>
    <row r="2364" spans="1:8" x14ac:dyDescent="0.25">
      <c r="E2364" t="str">
        <f>"C67202011100003"</f>
        <v>C67202011100003</v>
      </c>
      <c r="F2364" t="str">
        <f>"13154657"</f>
        <v>13154657</v>
      </c>
      <c r="G2364" s="1">
        <v>101.99</v>
      </c>
      <c r="H2364" t="str">
        <f>"13154657"</f>
        <v>13154657</v>
      </c>
    </row>
    <row r="2365" spans="1:8" x14ac:dyDescent="0.25">
      <c r="E2365" t="str">
        <f>"C69202011100003"</f>
        <v>C69202011100003</v>
      </c>
      <c r="F2365" t="str">
        <f>"0012046911423672"</f>
        <v>0012046911423672</v>
      </c>
      <c r="G2365" s="1">
        <v>187.38</v>
      </c>
      <c r="H2365" t="str">
        <f>"0012046911423672"</f>
        <v>0012046911423672</v>
      </c>
    </row>
    <row r="2366" spans="1:8" x14ac:dyDescent="0.25">
      <c r="E2366" t="str">
        <f>"C71202011100003"</f>
        <v>C71202011100003</v>
      </c>
      <c r="F2366" t="str">
        <f>"00137390532018V215"</f>
        <v>00137390532018V215</v>
      </c>
      <c r="G2366" s="1">
        <v>264</v>
      </c>
      <c r="H2366" t="str">
        <f>"00137390532018V215"</f>
        <v>00137390532018V215</v>
      </c>
    </row>
    <row r="2367" spans="1:8" x14ac:dyDescent="0.25">
      <c r="E2367" t="str">
        <f>"C72202011100003"</f>
        <v>C72202011100003</v>
      </c>
      <c r="F2367" t="str">
        <f>"0012797601C20130529B"</f>
        <v>0012797601C20130529B</v>
      </c>
      <c r="G2367" s="1">
        <v>241.85</v>
      </c>
      <c r="H2367" t="str">
        <f>"0012797601C20130529B"</f>
        <v>0012797601C20130529B</v>
      </c>
    </row>
    <row r="2368" spans="1:8" x14ac:dyDescent="0.25">
      <c r="E2368" t="str">
        <f>"C78202011100003"</f>
        <v>C78202011100003</v>
      </c>
      <c r="F2368" t="str">
        <f>"00105115972005106221"</f>
        <v>00105115972005106221</v>
      </c>
      <c r="G2368" s="1">
        <v>144.68</v>
      </c>
      <c r="H2368" t="str">
        <f>"00105115972005106221"</f>
        <v>00105115972005106221</v>
      </c>
    </row>
    <row r="2369" spans="1:8" x14ac:dyDescent="0.25">
      <c r="E2369" t="str">
        <f>"C83202011100003"</f>
        <v>C83202011100003</v>
      </c>
      <c r="F2369" t="str">
        <f>"0013096953150533"</f>
        <v>0013096953150533</v>
      </c>
      <c r="G2369" s="1">
        <v>346.15</v>
      </c>
      <c r="H2369" t="str">
        <f>"0013096953150533"</f>
        <v>0013096953150533</v>
      </c>
    </row>
    <row r="2370" spans="1:8" x14ac:dyDescent="0.25">
      <c r="E2370" t="str">
        <f>"C84202011100003"</f>
        <v>C84202011100003</v>
      </c>
      <c r="F2370" t="str">
        <f>"00128499834232566"</f>
        <v>00128499834232566</v>
      </c>
      <c r="G2370" s="1">
        <v>439.94</v>
      </c>
      <c r="H2370" t="str">
        <f>"00128499834232566"</f>
        <v>00128499834232566</v>
      </c>
    </row>
    <row r="2371" spans="1:8" x14ac:dyDescent="0.25">
      <c r="E2371" t="str">
        <f>"C85202011100003"</f>
        <v>C85202011100003</v>
      </c>
      <c r="F2371" t="str">
        <f>"0012469425201770874"</f>
        <v>0012469425201770874</v>
      </c>
      <c r="G2371" s="1">
        <v>138.46</v>
      </c>
      <c r="H2371" t="str">
        <f>"0012469425201770874"</f>
        <v>0012469425201770874</v>
      </c>
    </row>
    <row r="2372" spans="1:8" x14ac:dyDescent="0.25">
      <c r="E2372" t="str">
        <f>"C86202011100003"</f>
        <v>C86202011100003</v>
      </c>
      <c r="F2372" t="str">
        <f>"0013854015101285F"</f>
        <v>0013854015101285F</v>
      </c>
      <c r="G2372" s="1">
        <v>241.85</v>
      </c>
      <c r="H2372" t="str">
        <f>"0013854015101285F"</f>
        <v>0013854015101285F</v>
      </c>
    </row>
    <row r="2373" spans="1:8" x14ac:dyDescent="0.25">
      <c r="E2373" t="str">
        <f>"C87202011100003"</f>
        <v>C87202011100003</v>
      </c>
      <c r="F2373" t="str">
        <f>"0012963634L130019CVB"</f>
        <v>0012963634L130019CVB</v>
      </c>
      <c r="G2373" s="1">
        <v>249.23</v>
      </c>
      <c r="H2373" t="str">
        <f>"0012963634L130019CVB"</f>
        <v>0012963634L130019CVB</v>
      </c>
    </row>
    <row r="2374" spans="1:8" x14ac:dyDescent="0.25">
      <c r="A2374" t="s">
        <v>400</v>
      </c>
      <c r="B2374">
        <v>780</v>
      </c>
      <c r="C2374" s="1">
        <v>4494.3999999999996</v>
      </c>
      <c r="D2374" s="5">
        <v>44160</v>
      </c>
      <c r="E2374" t="str">
        <f>"C2 202011240270"</f>
        <v>C2 202011240270</v>
      </c>
      <c r="F2374" t="str">
        <f>"0012982132CCL7445"</f>
        <v>0012982132CCL7445</v>
      </c>
      <c r="G2374" s="1">
        <v>692.31</v>
      </c>
      <c r="H2374" t="str">
        <f>"0012982132CCL7445"</f>
        <v>0012982132CCL7445</v>
      </c>
    </row>
    <row r="2375" spans="1:8" x14ac:dyDescent="0.25">
      <c r="E2375" t="str">
        <f>"C20202011240269"</f>
        <v>C20202011240269</v>
      </c>
      <c r="F2375" t="str">
        <f>"001003981107-12252"</f>
        <v>001003981107-12252</v>
      </c>
      <c r="G2375" s="1">
        <v>115.39</v>
      </c>
      <c r="H2375" t="str">
        <f>"001003981107-12252"</f>
        <v>001003981107-12252</v>
      </c>
    </row>
    <row r="2376" spans="1:8" x14ac:dyDescent="0.25">
      <c r="E2376" t="str">
        <f>"C42202011240269"</f>
        <v>C42202011240269</v>
      </c>
      <c r="F2376" t="str">
        <f>"001236769211-14410"</f>
        <v>001236769211-14410</v>
      </c>
      <c r="G2376" s="1">
        <v>230.31</v>
      </c>
      <c r="H2376" t="str">
        <f>"001236769211-14410"</f>
        <v>001236769211-14410</v>
      </c>
    </row>
    <row r="2377" spans="1:8" x14ac:dyDescent="0.25">
      <c r="E2377" t="str">
        <f>"C46202011240269"</f>
        <v>C46202011240269</v>
      </c>
      <c r="F2377" t="str">
        <f>"CAUSE# 11-14911"</f>
        <v>CAUSE# 11-14911</v>
      </c>
      <c r="G2377" s="1">
        <v>238.62</v>
      </c>
      <c r="H2377" t="str">
        <f>"CAUSE# 11-14911"</f>
        <v>CAUSE# 11-14911</v>
      </c>
    </row>
    <row r="2378" spans="1:8" x14ac:dyDescent="0.25">
      <c r="E2378" t="str">
        <f>"C60202011240269"</f>
        <v>C60202011240269</v>
      </c>
      <c r="F2378" t="str">
        <f>"00130730762012V300"</f>
        <v>00130730762012V300</v>
      </c>
      <c r="G2378" s="1">
        <v>399.32</v>
      </c>
      <c r="H2378" t="str">
        <f>"00130730762012V300"</f>
        <v>00130730762012V300</v>
      </c>
    </row>
    <row r="2379" spans="1:8" x14ac:dyDescent="0.25">
      <c r="E2379" t="str">
        <f>"C62202011240269"</f>
        <v>C62202011240269</v>
      </c>
      <c r="F2379" t="str">
        <f>"# 0012128865"</f>
        <v># 0012128865</v>
      </c>
      <c r="G2379" s="1">
        <v>243.23</v>
      </c>
      <c r="H2379" t="str">
        <f>"# 0012128865"</f>
        <v># 0012128865</v>
      </c>
    </row>
    <row r="2380" spans="1:8" x14ac:dyDescent="0.25">
      <c r="E2380" t="str">
        <f>"C66202011240269"</f>
        <v>C66202011240269</v>
      </c>
      <c r="F2380" t="str">
        <f>"# 0012871801"</f>
        <v># 0012871801</v>
      </c>
      <c r="G2380" s="1">
        <v>90</v>
      </c>
      <c r="H2380" t="str">
        <f>"# 0012871801"</f>
        <v># 0012871801</v>
      </c>
    </row>
    <row r="2381" spans="1:8" x14ac:dyDescent="0.25">
      <c r="E2381" t="str">
        <f>"C67202011240269"</f>
        <v>C67202011240269</v>
      </c>
      <c r="F2381" t="str">
        <f>"13154657"</f>
        <v>13154657</v>
      </c>
      <c r="G2381" s="1">
        <v>101.99</v>
      </c>
      <c r="H2381" t="str">
        <f>"13154657"</f>
        <v>13154657</v>
      </c>
    </row>
    <row r="2382" spans="1:8" x14ac:dyDescent="0.25">
      <c r="E2382" t="str">
        <f>"C69202011240269"</f>
        <v>C69202011240269</v>
      </c>
      <c r="F2382" t="str">
        <f>"0012046911423672"</f>
        <v>0012046911423672</v>
      </c>
      <c r="G2382" s="1">
        <v>187.38</v>
      </c>
      <c r="H2382" t="str">
        <f>"0012046911423672"</f>
        <v>0012046911423672</v>
      </c>
    </row>
    <row r="2383" spans="1:8" x14ac:dyDescent="0.25">
      <c r="E2383" t="str">
        <f>"C71202011240269"</f>
        <v>C71202011240269</v>
      </c>
      <c r="F2383" t="str">
        <f>"00137390532018V215"</f>
        <v>00137390532018V215</v>
      </c>
      <c r="G2383" s="1">
        <v>264</v>
      </c>
      <c r="H2383" t="str">
        <f>"00137390532018V215"</f>
        <v>00137390532018V215</v>
      </c>
    </row>
    <row r="2384" spans="1:8" x14ac:dyDescent="0.25">
      <c r="E2384" t="str">
        <f>"C72202011240269"</f>
        <v>C72202011240269</v>
      </c>
      <c r="F2384" t="str">
        <f>"0012797601C20130529B"</f>
        <v>0012797601C20130529B</v>
      </c>
      <c r="G2384" s="1">
        <v>241.85</v>
      </c>
      <c r="H2384" t="str">
        <f>"0012797601C20130529B"</f>
        <v>0012797601C20130529B</v>
      </c>
    </row>
    <row r="2385" spans="1:8" x14ac:dyDescent="0.25">
      <c r="E2385" t="str">
        <f>"C78202011240269"</f>
        <v>C78202011240269</v>
      </c>
      <c r="F2385" t="str">
        <f>"00105115972005106221"</f>
        <v>00105115972005106221</v>
      </c>
      <c r="G2385" s="1">
        <v>144.68</v>
      </c>
      <c r="H2385" t="str">
        <f>"00105115972005106221"</f>
        <v>00105115972005106221</v>
      </c>
    </row>
    <row r="2386" spans="1:8" x14ac:dyDescent="0.25">
      <c r="E2386" t="str">
        <f>"C83202011240269"</f>
        <v>C83202011240269</v>
      </c>
      <c r="F2386" t="str">
        <f>"0013096953150533"</f>
        <v>0013096953150533</v>
      </c>
      <c r="G2386" s="1">
        <v>346.15</v>
      </c>
      <c r="H2386" t="str">
        <f>"0013096953150533"</f>
        <v>0013096953150533</v>
      </c>
    </row>
    <row r="2387" spans="1:8" x14ac:dyDescent="0.25">
      <c r="E2387" t="str">
        <f>"C84202011240269"</f>
        <v>C84202011240269</v>
      </c>
      <c r="F2387" t="str">
        <f>"00128499834232566"</f>
        <v>00128499834232566</v>
      </c>
      <c r="G2387" s="1">
        <v>439.94</v>
      </c>
      <c r="H2387" t="str">
        <f>"00128499834232566"</f>
        <v>00128499834232566</v>
      </c>
    </row>
    <row r="2388" spans="1:8" x14ac:dyDescent="0.25">
      <c r="E2388" t="str">
        <f>"C85202011240269"</f>
        <v>C85202011240269</v>
      </c>
      <c r="F2388" t="str">
        <f>"0012469425201770874"</f>
        <v>0012469425201770874</v>
      </c>
      <c r="G2388" s="1">
        <v>138.46</v>
      </c>
      <c r="H2388" t="str">
        <f>"0012469425201770874"</f>
        <v>0012469425201770874</v>
      </c>
    </row>
    <row r="2389" spans="1:8" x14ac:dyDescent="0.25">
      <c r="E2389" t="str">
        <f>"C86202011240269"</f>
        <v>C86202011240269</v>
      </c>
      <c r="F2389" t="str">
        <f>"0013854015101285F"</f>
        <v>0013854015101285F</v>
      </c>
      <c r="G2389" s="1">
        <v>241.85</v>
      </c>
      <c r="H2389" t="str">
        <f>"0013854015101285F"</f>
        <v>0013854015101285F</v>
      </c>
    </row>
    <row r="2390" spans="1:8" x14ac:dyDescent="0.25">
      <c r="E2390" t="str">
        <f>"C87202011240269"</f>
        <v>C87202011240269</v>
      </c>
      <c r="F2390" t="str">
        <f>"0012963634L130019CVB"</f>
        <v>0012963634L130019CVB</v>
      </c>
      <c r="G2390" s="1">
        <v>249.23</v>
      </c>
      <c r="H2390" t="str">
        <f>"0012963634L130019CVB"</f>
        <v>0012963634L130019CVB</v>
      </c>
    </row>
    <row r="2391" spans="1:8" x14ac:dyDescent="0.25">
      <c r="E2391" t="str">
        <f>"C89202011240269"</f>
        <v>C89202011240269</v>
      </c>
      <c r="F2391" t="str">
        <f>"00127760434232477"</f>
        <v>00127760434232477</v>
      </c>
      <c r="G2391" s="1">
        <v>129.69</v>
      </c>
      <c r="H2391" t="str">
        <f>"00127760434232477"</f>
        <v>00127760434232477</v>
      </c>
    </row>
    <row r="2392" spans="1:8" x14ac:dyDescent="0.25">
      <c r="A2392" t="s">
        <v>401</v>
      </c>
      <c r="B2392">
        <v>782</v>
      </c>
      <c r="C2392" s="1">
        <v>488594.81</v>
      </c>
      <c r="D2392" s="5">
        <v>44160</v>
      </c>
      <c r="E2392" t="str">
        <f>"RET202011100003"</f>
        <v>RET202011100003</v>
      </c>
      <c r="F2392" t="str">
        <f>"TEXAS COUNTY &amp; DISTRICT RET"</f>
        <v>TEXAS COUNTY &amp; DISTRICT RET</v>
      </c>
      <c r="G2392" s="1">
        <v>175558.83</v>
      </c>
      <c r="H2392" t="str">
        <f t="shared" ref="H2392:H2423" si="52">"TEXAS COUNTY &amp; DISTRICT RET"</f>
        <v>TEXAS COUNTY &amp; DISTRICT RET</v>
      </c>
    </row>
    <row r="2393" spans="1:8" x14ac:dyDescent="0.25">
      <c r="E2393" t="str">
        <f>""</f>
        <v/>
      </c>
      <c r="F2393" t="str">
        <f>""</f>
        <v/>
      </c>
      <c r="H2393" t="str">
        <f t="shared" si="52"/>
        <v>TEXAS COUNTY &amp; DISTRICT RET</v>
      </c>
    </row>
    <row r="2394" spans="1:8" x14ac:dyDescent="0.25">
      <c r="E2394" t="str">
        <f>""</f>
        <v/>
      </c>
      <c r="F2394" t="str">
        <f>""</f>
        <v/>
      </c>
      <c r="H2394" t="str">
        <f t="shared" si="52"/>
        <v>TEXAS COUNTY &amp; DISTRICT RET</v>
      </c>
    </row>
    <row r="2395" spans="1:8" x14ac:dyDescent="0.25">
      <c r="E2395" t="str">
        <f>""</f>
        <v/>
      </c>
      <c r="F2395" t="str">
        <f>""</f>
        <v/>
      </c>
      <c r="H2395" t="str">
        <f t="shared" si="52"/>
        <v>TEXAS COUNTY &amp; DISTRICT RET</v>
      </c>
    </row>
    <row r="2396" spans="1:8" x14ac:dyDescent="0.25">
      <c r="E2396" t="str">
        <f>""</f>
        <v/>
      </c>
      <c r="F2396" t="str">
        <f>""</f>
        <v/>
      </c>
      <c r="H2396" t="str">
        <f t="shared" si="52"/>
        <v>TEXAS COUNTY &amp; DISTRICT RET</v>
      </c>
    </row>
    <row r="2397" spans="1:8" x14ac:dyDescent="0.25">
      <c r="E2397" t="str">
        <f>""</f>
        <v/>
      </c>
      <c r="F2397" t="str">
        <f>""</f>
        <v/>
      </c>
      <c r="H2397" t="str">
        <f t="shared" si="52"/>
        <v>TEXAS COUNTY &amp; DISTRICT RET</v>
      </c>
    </row>
    <row r="2398" spans="1:8" x14ac:dyDescent="0.25">
      <c r="E2398" t="str">
        <f>""</f>
        <v/>
      </c>
      <c r="F2398" t="str">
        <f>""</f>
        <v/>
      </c>
      <c r="H2398" t="str">
        <f t="shared" si="52"/>
        <v>TEXAS COUNTY &amp; DISTRICT RET</v>
      </c>
    </row>
    <row r="2399" spans="1:8" x14ac:dyDescent="0.25">
      <c r="E2399" t="str">
        <f>""</f>
        <v/>
      </c>
      <c r="F2399" t="str">
        <f>""</f>
        <v/>
      </c>
      <c r="H2399" t="str">
        <f t="shared" si="52"/>
        <v>TEXAS COUNTY &amp; DISTRICT RET</v>
      </c>
    </row>
    <row r="2400" spans="1:8" x14ac:dyDescent="0.25">
      <c r="E2400" t="str">
        <f>""</f>
        <v/>
      </c>
      <c r="F2400" t="str">
        <f>""</f>
        <v/>
      </c>
      <c r="H2400" t="str">
        <f t="shared" si="52"/>
        <v>TEXAS COUNTY &amp; DISTRICT RET</v>
      </c>
    </row>
    <row r="2401" spans="5:8" x14ac:dyDescent="0.25">
      <c r="E2401" t="str">
        <f>""</f>
        <v/>
      </c>
      <c r="F2401" t="str">
        <f>""</f>
        <v/>
      </c>
      <c r="H2401" t="str">
        <f t="shared" si="52"/>
        <v>TEXAS COUNTY &amp; DISTRICT RET</v>
      </c>
    </row>
    <row r="2402" spans="5:8" x14ac:dyDescent="0.25">
      <c r="E2402" t="str">
        <f>""</f>
        <v/>
      </c>
      <c r="F2402" t="str">
        <f>""</f>
        <v/>
      </c>
      <c r="H2402" t="str">
        <f t="shared" si="52"/>
        <v>TEXAS COUNTY &amp; DISTRICT RET</v>
      </c>
    </row>
    <row r="2403" spans="5:8" x14ac:dyDescent="0.25">
      <c r="E2403" t="str">
        <f>""</f>
        <v/>
      </c>
      <c r="F2403" t="str">
        <f>""</f>
        <v/>
      </c>
      <c r="H2403" t="str">
        <f t="shared" si="52"/>
        <v>TEXAS COUNTY &amp; DISTRICT RET</v>
      </c>
    </row>
    <row r="2404" spans="5:8" x14ac:dyDescent="0.25">
      <c r="E2404" t="str">
        <f>""</f>
        <v/>
      </c>
      <c r="F2404" t="str">
        <f>""</f>
        <v/>
      </c>
      <c r="H2404" t="str">
        <f t="shared" si="52"/>
        <v>TEXAS COUNTY &amp; DISTRICT RET</v>
      </c>
    </row>
    <row r="2405" spans="5:8" x14ac:dyDescent="0.25">
      <c r="E2405" t="str">
        <f>""</f>
        <v/>
      </c>
      <c r="F2405" t="str">
        <f>""</f>
        <v/>
      </c>
      <c r="H2405" t="str">
        <f t="shared" si="52"/>
        <v>TEXAS COUNTY &amp; DISTRICT RET</v>
      </c>
    </row>
    <row r="2406" spans="5:8" x14ac:dyDescent="0.25">
      <c r="E2406" t="str">
        <f>""</f>
        <v/>
      </c>
      <c r="F2406" t="str">
        <f>""</f>
        <v/>
      </c>
      <c r="H2406" t="str">
        <f t="shared" si="52"/>
        <v>TEXAS COUNTY &amp; DISTRICT RET</v>
      </c>
    </row>
    <row r="2407" spans="5:8" x14ac:dyDescent="0.25">
      <c r="E2407" t="str">
        <f>""</f>
        <v/>
      </c>
      <c r="F2407" t="str">
        <f>""</f>
        <v/>
      </c>
      <c r="H2407" t="str">
        <f t="shared" si="52"/>
        <v>TEXAS COUNTY &amp; DISTRICT RET</v>
      </c>
    </row>
    <row r="2408" spans="5:8" x14ac:dyDescent="0.25">
      <c r="E2408" t="str">
        <f>""</f>
        <v/>
      </c>
      <c r="F2408" t="str">
        <f>""</f>
        <v/>
      </c>
      <c r="H2408" t="str">
        <f t="shared" si="52"/>
        <v>TEXAS COUNTY &amp; DISTRICT RET</v>
      </c>
    </row>
    <row r="2409" spans="5:8" x14ac:dyDescent="0.25">
      <c r="E2409" t="str">
        <f>""</f>
        <v/>
      </c>
      <c r="F2409" t="str">
        <f>""</f>
        <v/>
      </c>
      <c r="H2409" t="str">
        <f t="shared" si="52"/>
        <v>TEXAS COUNTY &amp; DISTRICT RET</v>
      </c>
    </row>
    <row r="2410" spans="5:8" x14ac:dyDescent="0.25">
      <c r="E2410" t="str">
        <f>""</f>
        <v/>
      </c>
      <c r="F2410" t="str">
        <f>""</f>
        <v/>
      </c>
      <c r="H2410" t="str">
        <f t="shared" si="52"/>
        <v>TEXAS COUNTY &amp; DISTRICT RET</v>
      </c>
    </row>
    <row r="2411" spans="5:8" x14ac:dyDescent="0.25">
      <c r="E2411" t="str">
        <f>""</f>
        <v/>
      </c>
      <c r="F2411" t="str">
        <f>""</f>
        <v/>
      </c>
      <c r="H2411" t="str">
        <f t="shared" si="52"/>
        <v>TEXAS COUNTY &amp; DISTRICT RET</v>
      </c>
    </row>
    <row r="2412" spans="5:8" x14ac:dyDescent="0.25">
      <c r="E2412" t="str">
        <f>""</f>
        <v/>
      </c>
      <c r="F2412" t="str">
        <f>""</f>
        <v/>
      </c>
      <c r="H2412" t="str">
        <f t="shared" si="52"/>
        <v>TEXAS COUNTY &amp; DISTRICT RET</v>
      </c>
    </row>
    <row r="2413" spans="5:8" x14ac:dyDescent="0.25">
      <c r="E2413" t="str">
        <f>""</f>
        <v/>
      </c>
      <c r="F2413" t="str">
        <f>""</f>
        <v/>
      </c>
      <c r="H2413" t="str">
        <f t="shared" si="52"/>
        <v>TEXAS COUNTY &amp; DISTRICT RET</v>
      </c>
    </row>
    <row r="2414" spans="5:8" x14ac:dyDescent="0.25">
      <c r="E2414" t="str">
        <f>""</f>
        <v/>
      </c>
      <c r="F2414" t="str">
        <f>""</f>
        <v/>
      </c>
      <c r="H2414" t="str">
        <f t="shared" si="52"/>
        <v>TEXAS COUNTY &amp; DISTRICT RET</v>
      </c>
    </row>
    <row r="2415" spans="5:8" x14ac:dyDescent="0.25">
      <c r="E2415" t="str">
        <f>""</f>
        <v/>
      </c>
      <c r="F2415" t="str">
        <f>""</f>
        <v/>
      </c>
      <c r="H2415" t="str">
        <f t="shared" si="52"/>
        <v>TEXAS COUNTY &amp; DISTRICT RET</v>
      </c>
    </row>
    <row r="2416" spans="5:8" x14ac:dyDescent="0.25">
      <c r="E2416" t="str">
        <f>""</f>
        <v/>
      </c>
      <c r="F2416" t="str">
        <f>""</f>
        <v/>
      </c>
      <c r="H2416" t="str">
        <f t="shared" si="52"/>
        <v>TEXAS COUNTY &amp; DISTRICT RET</v>
      </c>
    </row>
    <row r="2417" spans="5:8" x14ac:dyDescent="0.25">
      <c r="E2417" t="str">
        <f>""</f>
        <v/>
      </c>
      <c r="F2417" t="str">
        <f>""</f>
        <v/>
      </c>
      <c r="H2417" t="str">
        <f t="shared" si="52"/>
        <v>TEXAS COUNTY &amp; DISTRICT RET</v>
      </c>
    </row>
    <row r="2418" spans="5:8" x14ac:dyDescent="0.25">
      <c r="E2418" t="str">
        <f>""</f>
        <v/>
      </c>
      <c r="F2418" t="str">
        <f>""</f>
        <v/>
      </c>
      <c r="H2418" t="str">
        <f t="shared" si="52"/>
        <v>TEXAS COUNTY &amp; DISTRICT RET</v>
      </c>
    </row>
    <row r="2419" spans="5:8" x14ac:dyDescent="0.25">
      <c r="E2419" t="str">
        <f>""</f>
        <v/>
      </c>
      <c r="F2419" t="str">
        <f>""</f>
        <v/>
      </c>
      <c r="H2419" t="str">
        <f t="shared" si="52"/>
        <v>TEXAS COUNTY &amp; DISTRICT RET</v>
      </c>
    </row>
    <row r="2420" spans="5:8" x14ac:dyDescent="0.25">
      <c r="E2420" t="str">
        <f>""</f>
        <v/>
      </c>
      <c r="F2420" t="str">
        <f>""</f>
        <v/>
      </c>
      <c r="H2420" t="str">
        <f t="shared" si="52"/>
        <v>TEXAS COUNTY &amp; DISTRICT RET</v>
      </c>
    </row>
    <row r="2421" spans="5:8" x14ac:dyDescent="0.25">
      <c r="E2421" t="str">
        <f>""</f>
        <v/>
      </c>
      <c r="F2421" t="str">
        <f>""</f>
        <v/>
      </c>
      <c r="H2421" t="str">
        <f t="shared" si="52"/>
        <v>TEXAS COUNTY &amp; DISTRICT RET</v>
      </c>
    </row>
    <row r="2422" spans="5:8" x14ac:dyDescent="0.25">
      <c r="E2422" t="str">
        <f>""</f>
        <v/>
      </c>
      <c r="F2422" t="str">
        <f>""</f>
        <v/>
      </c>
      <c r="H2422" t="str">
        <f t="shared" si="52"/>
        <v>TEXAS COUNTY &amp; DISTRICT RET</v>
      </c>
    </row>
    <row r="2423" spans="5:8" x14ac:dyDescent="0.25">
      <c r="E2423" t="str">
        <f>""</f>
        <v/>
      </c>
      <c r="F2423" t="str">
        <f>""</f>
        <v/>
      </c>
      <c r="H2423" t="str">
        <f t="shared" si="52"/>
        <v>TEXAS COUNTY &amp; DISTRICT RET</v>
      </c>
    </row>
    <row r="2424" spans="5:8" x14ac:dyDescent="0.25">
      <c r="E2424" t="str">
        <f>""</f>
        <v/>
      </c>
      <c r="F2424" t="str">
        <f>""</f>
        <v/>
      </c>
      <c r="H2424" t="str">
        <f t="shared" ref="H2424:H2443" si="53">"TEXAS COUNTY &amp; DISTRICT RET"</f>
        <v>TEXAS COUNTY &amp; DISTRICT RET</v>
      </c>
    </row>
    <row r="2425" spans="5:8" x14ac:dyDescent="0.25">
      <c r="E2425" t="str">
        <f>""</f>
        <v/>
      </c>
      <c r="F2425" t="str">
        <f>""</f>
        <v/>
      </c>
      <c r="H2425" t="str">
        <f t="shared" si="53"/>
        <v>TEXAS COUNTY &amp; DISTRICT RET</v>
      </c>
    </row>
    <row r="2426" spans="5:8" x14ac:dyDescent="0.25">
      <c r="E2426" t="str">
        <f>""</f>
        <v/>
      </c>
      <c r="F2426" t="str">
        <f>""</f>
        <v/>
      </c>
      <c r="H2426" t="str">
        <f t="shared" si="53"/>
        <v>TEXAS COUNTY &amp; DISTRICT RET</v>
      </c>
    </row>
    <row r="2427" spans="5:8" x14ac:dyDescent="0.25">
      <c r="E2427" t="str">
        <f>""</f>
        <v/>
      </c>
      <c r="F2427" t="str">
        <f>""</f>
        <v/>
      </c>
      <c r="H2427" t="str">
        <f t="shared" si="53"/>
        <v>TEXAS COUNTY &amp; DISTRICT RET</v>
      </c>
    </row>
    <row r="2428" spans="5:8" x14ac:dyDescent="0.25">
      <c r="E2428" t="str">
        <f>""</f>
        <v/>
      </c>
      <c r="F2428" t="str">
        <f>""</f>
        <v/>
      </c>
      <c r="H2428" t="str">
        <f t="shared" si="53"/>
        <v>TEXAS COUNTY &amp; DISTRICT RET</v>
      </c>
    </row>
    <row r="2429" spans="5:8" x14ac:dyDescent="0.25">
      <c r="E2429" t="str">
        <f>""</f>
        <v/>
      </c>
      <c r="F2429" t="str">
        <f>""</f>
        <v/>
      </c>
      <c r="H2429" t="str">
        <f t="shared" si="53"/>
        <v>TEXAS COUNTY &amp; DISTRICT RET</v>
      </c>
    </row>
    <row r="2430" spans="5:8" x14ac:dyDescent="0.25">
      <c r="E2430" t="str">
        <f>""</f>
        <v/>
      </c>
      <c r="F2430" t="str">
        <f>""</f>
        <v/>
      </c>
      <c r="H2430" t="str">
        <f t="shared" si="53"/>
        <v>TEXAS COUNTY &amp; DISTRICT RET</v>
      </c>
    </row>
    <row r="2431" spans="5:8" x14ac:dyDescent="0.25">
      <c r="E2431" t="str">
        <f>""</f>
        <v/>
      </c>
      <c r="F2431" t="str">
        <f>""</f>
        <v/>
      </c>
      <c r="H2431" t="str">
        <f t="shared" si="53"/>
        <v>TEXAS COUNTY &amp; DISTRICT RET</v>
      </c>
    </row>
    <row r="2432" spans="5:8" x14ac:dyDescent="0.25">
      <c r="E2432" t="str">
        <f>""</f>
        <v/>
      </c>
      <c r="F2432" t="str">
        <f>""</f>
        <v/>
      </c>
      <c r="H2432" t="str">
        <f t="shared" si="53"/>
        <v>TEXAS COUNTY &amp; DISTRICT RET</v>
      </c>
    </row>
    <row r="2433" spans="5:8" x14ac:dyDescent="0.25">
      <c r="E2433" t="str">
        <f>""</f>
        <v/>
      </c>
      <c r="F2433" t="str">
        <f>""</f>
        <v/>
      </c>
      <c r="H2433" t="str">
        <f t="shared" si="53"/>
        <v>TEXAS COUNTY &amp; DISTRICT RET</v>
      </c>
    </row>
    <row r="2434" spans="5:8" x14ac:dyDescent="0.25">
      <c r="E2434" t="str">
        <f>""</f>
        <v/>
      </c>
      <c r="F2434" t="str">
        <f>""</f>
        <v/>
      </c>
      <c r="H2434" t="str">
        <f t="shared" si="53"/>
        <v>TEXAS COUNTY &amp; DISTRICT RET</v>
      </c>
    </row>
    <row r="2435" spans="5:8" x14ac:dyDescent="0.25">
      <c r="E2435" t="str">
        <f>""</f>
        <v/>
      </c>
      <c r="F2435" t="str">
        <f>""</f>
        <v/>
      </c>
      <c r="H2435" t="str">
        <f t="shared" si="53"/>
        <v>TEXAS COUNTY &amp; DISTRICT RET</v>
      </c>
    </row>
    <row r="2436" spans="5:8" x14ac:dyDescent="0.25">
      <c r="E2436" t="str">
        <f>""</f>
        <v/>
      </c>
      <c r="F2436" t="str">
        <f>""</f>
        <v/>
      </c>
      <c r="H2436" t="str">
        <f t="shared" si="53"/>
        <v>TEXAS COUNTY &amp; DISTRICT RET</v>
      </c>
    </row>
    <row r="2437" spans="5:8" x14ac:dyDescent="0.25">
      <c r="E2437" t="str">
        <f>""</f>
        <v/>
      </c>
      <c r="F2437" t="str">
        <f>""</f>
        <v/>
      </c>
      <c r="H2437" t="str">
        <f t="shared" si="53"/>
        <v>TEXAS COUNTY &amp; DISTRICT RET</v>
      </c>
    </row>
    <row r="2438" spans="5:8" x14ac:dyDescent="0.25">
      <c r="E2438" t="str">
        <f>""</f>
        <v/>
      </c>
      <c r="F2438" t="str">
        <f>""</f>
        <v/>
      </c>
      <c r="H2438" t="str">
        <f t="shared" si="53"/>
        <v>TEXAS COUNTY &amp; DISTRICT RET</v>
      </c>
    </row>
    <row r="2439" spans="5:8" x14ac:dyDescent="0.25">
      <c r="E2439" t="str">
        <f>""</f>
        <v/>
      </c>
      <c r="F2439" t="str">
        <f>""</f>
        <v/>
      </c>
      <c r="H2439" t="str">
        <f t="shared" si="53"/>
        <v>TEXAS COUNTY &amp; DISTRICT RET</v>
      </c>
    </row>
    <row r="2440" spans="5:8" x14ac:dyDescent="0.25">
      <c r="E2440" t="str">
        <f>""</f>
        <v/>
      </c>
      <c r="F2440" t="str">
        <f>""</f>
        <v/>
      </c>
      <c r="H2440" t="str">
        <f t="shared" si="53"/>
        <v>TEXAS COUNTY &amp; DISTRICT RET</v>
      </c>
    </row>
    <row r="2441" spans="5:8" x14ac:dyDescent="0.25">
      <c r="E2441" t="str">
        <f>""</f>
        <v/>
      </c>
      <c r="F2441" t="str">
        <f>""</f>
        <v/>
      </c>
      <c r="H2441" t="str">
        <f t="shared" si="53"/>
        <v>TEXAS COUNTY &amp; DISTRICT RET</v>
      </c>
    </row>
    <row r="2442" spans="5:8" x14ac:dyDescent="0.25">
      <c r="E2442" t="str">
        <f>""</f>
        <v/>
      </c>
      <c r="F2442" t="str">
        <f>""</f>
        <v/>
      </c>
      <c r="H2442" t="str">
        <f t="shared" si="53"/>
        <v>TEXAS COUNTY &amp; DISTRICT RET</v>
      </c>
    </row>
    <row r="2443" spans="5:8" x14ac:dyDescent="0.25">
      <c r="E2443" t="str">
        <f>""</f>
        <v/>
      </c>
      <c r="F2443" t="str">
        <f>""</f>
        <v/>
      </c>
      <c r="H2443" t="str">
        <f t="shared" si="53"/>
        <v>TEXAS COUNTY &amp; DISTRICT RET</v>
      </c>
    </row>
    <row r="2444" spans="5:8" x14ac:dyDescent="0.25">
      <c r="E2444" t="str">
        <f>"RET202011100004"</f>
        <v>RET202011100004</v>
      </c>
      <c r="F2444" t="str">
        <f>"TEXAS COUNTY  DISTRICT RET"</f>
        <v>TEXAS COUNTY  DISTRICT RET</v>
      </c>
      <c r="G2444" s="1">
        <v>6137.15</v>
      </c>
      <c r="H2444" t="str">
        <f>"TEXAS COUNTY  DISTRICT RET"</f>
        <v>TEXAS COUNTY  DISTRICT RET</v>
      </c>
    </row>
    <row r="2445" spans="5:8" x14ac:dyDescent="0.25">
      <c r="E2445" t="str">
        <f>""</f>
        <v/>
      </c>
      <c r="F2445" t="str">
        <f>""</f>
        <v/>
      </c>
      <c r="H2445" t="str">
        <f>"TEXAS COUNTY  DISTRICT RET"</f>
        <v>TEXAS COUNTY  DISTRICT RET</v>
      </c>
    </row>
    <row r="2446" spans="5:8" x14ac:dyDescent="0.25">
      <c r="E2446" t="str">
        <f>"RET202011100005"</f>
        <v>RET202011100005</v>
      </c>
      <c r="F2446" t="str">
        <f>"TEXAS COUNTY &amp; DISTRICT RET"</f>
        <v>TEXAS COUNTY &amp; DISTRICT RET</v>
      </c>
      <c r="G2446" s="1">
        <v>7563.1</v>
      </c>
      <c r="H2446" t="str">
        <f t="shared" ref="H2446:H2493" si="54">"TEXAS COUNTY &amp; DISTRICT RET"</f>
        <v>TEXAS COUNTY &amp; DISTRICT RET</v>
      </c>
    </row>
    <row r="2447" spans="5:8" x14ac:dyDescent="0.25">
      <c r="E2447" t="str">
        <f>""</f>
        <v/>
      </c>
      <c r="F2447" t="str">
        <f>""</f>
        <v/>
      </c>
      <c r="H2447" t="str">
        <f t="shared" si="54"/>
        <v>TEXAS COUNTY &amp; DISTRICT RET</v>
      </c>
    </row>
    <row r="2448" spans="5:8" x14ac:dyDescent="0.25">
      <c r="E2448" t="str">
        <f>"RET202011160006"</f>
        <v>RET202011160006</v>
      </c>
      <c r="F2448" t="str">
        <f>"TEXAS COUNTY &amp; DISTRICT RET"</f>
        <v>TEXAS COUNTY &amp; DISTRICT RET</v>
      </c>
      <c r="G2448" s="1">
        <v>158.66</v>
      </c>
      <c r="H2448" t="str">
        <f t="shared" si="54"/>
        <v>TEXAS COUNTY &amp; DISTRICT RET</v>
      </c>
    </row>
    <row r="2449" spans="5:8" x14ac:dyDescent="0.25">
      <c r="E2449" t="str">
        <f>""</f>
        <v/>
      </c>
      <c r="F2449" t="str">
        <f>""</f>
        <v/>
      </c>
      <c r="H2449" t="str">
        <f t="shared" si="54"/>
        <v>TEXAS COUNTY &amp; DISTRICT RET</v>
      </c>
    </row>
    <row r="2450" spans="5:8" x14ac:dyDescent="0.25">
      <c r="E2450" t="str">
        <f>"RET202011170084"</f>
        <v>RET202011170084</v>
      </c>
      <c r="F2450" t="str">
        <f>"TEXAS COUNTY &amp; DISTRICT RET"</f>
        <v>TEXAS COUNTY &amp; DISTRICT RET</v>
      </c>
      <c r="G2450" s="1">
        <v>98000.34</v>
      </c>
      <c r="H2450" t="str">
        <f t="shared" si="54"/>
        <v>TEXAS COUNTY &amp; DISTRICT RET</v>
      </c>
    </row>
    <row r="2451" spans="5:8" x14ac:dyDescent="0.25">
      <c r="E2451" t="str">
        <f>""</f>
        <v/>
      </c>
      <c r="F2451" t="str">
        <f>""</f>
        <v/>
      </c>
      <c r="H2451" t="str">
        <f t="shared" si="54"/>
        <v>TEXAS COUNTY &amp; DISTRICT RET</v>
      </c>
    </row>
    <row r="2452" spans="5:8" x14ac:dyDescent="0.25">
      <c r="E2452" t="str">
        <f>""</f>
        <v/>
      </c>
      <c r="F2452" t="str">
        <f>""</f>
        <v/>
      </c>
      <c r="H2452" t="str">
        <f t="shared" si="54"/>
        <v>TEXAS COUNTY &amp; DISTRICT RET</v>
      </c>
    </row>
    <row r="2453" spans="5:8" x14ac:dyDescent="0.25">
      <c r="E2453" t="str">
        <f>""</f>
        <v/>
      </c>
      <c r="F2453" t="str">
        <f>""</f>
        <v/>
      </c>
      <c r="H2453" t="str">
        <f t="shared" si="54"/>
        <v>TEXAS COUNTY &amp; DISTRICT RET</v>
      </c>
    </row>
    <row r="2454" spans="5:8" x14ac:dyDescent="0.25">
      <c r="E2454" t="str">
        <f>""</f>
        <v/>
      </c>
      <c r="F2454" t="str">
        <f>""</f>
        <v/>
      </c>
      <c r="H2454" t="str">
        <f t="shared" si="54"/>
        <v>TEXAS COUNTY &amp; DISTRICT RET</v>
      </c>
    </row>
    <row r="2455" spans="5:8" x14ac:dyDescent="0.25">
      <c r="E2455" t="str">
        <f>""</f>
        <v/>
      </c>
      <c r="F2455" t="str">
        <f>""</f>
        <v/>
      </c>
      <c r="H2455" t="str">
        <f t="shared" si="54"/>
        <v>TEXAS COUNTY &amp; DISTRICT RET</v>
      </c>
    </row>
    <row r="2456" spans="5:8" x14ac:dyDescent="0.25">
      <c r="E2456" t="str">
        <f>""</f>
        <v/>
      </c>
      <c r="F2456" t="str">
        <f>""</f>
        <v/>
      </c>
      <c r="H2456" t="str">
        <f t="shared" si="54"/>
        <v>TEXAS COUNTY &amp; DISTRICT RET</v>
      </c>
    </row>
    <row r="2457" spans="5:8" x14ac:dyDescent="0.25">
      <c r="E2457" t="str">
        <f>""</f>
        <v/>
      </c>
      <c r="F2457" t="str">
        <f>""</f>
        <v/>
      </c>
      <c r="H2457" t="str">
        <f t="shared" si="54"/>
        <v>TEXAS COUNTY &amp; DISTRICT RET</v>
      </c>
    </row>
    <row r="2458" spans="5:8" x14ac:dyDescent="0.25">
      <c r="E2458" t="str">
        <f>""</f>
        <v/>
      </c>
      <c r="F2458" t="str">
        <f>""</f>
        <v/>
      </c>
      <c r="H2458" t="str">
        <f t="shared" si="54"/>
        <v>TEXAS COUNTY &amp; DISTRICT RET</v>
      </c>
    </row>
    <row r="2459" spans="5:8" x14ac:dyDescent="0.25">
      <c r="E2459" t="str">
        <f>""</f>
        <v/>
      </c>
      <c r="F2459" t="str">
        <f>""</f>
        <v/>
      </c>
      <c r="H2459" t="str">
        <f t="shared" si="54"/>
        <v>TEXAS COUNTY &amp; DISTRICT RET</v>
      </c>
    </row>
    <row r="2460" spans="5:8" x14ac:dyDescent="0.25">
      <c r="E2460" t="str">
        <f>""</f>
        <v/>
      </c>
      <c r="F2460" t="str">
        <f>""</f>
        <v/>
      </c>
      <c r="H2460" t="str">
        <f t="shared" si="54"/>
        <v>TEXAS COUNTY &amp; DISTRICT RET</v>
      </c>
    </row>
    <row r="2461" spans="5:8" x14ac:dyDescent="0.25">
      <c r="E2461" t="str">
        <f>""</f>
        <v/>
      </c>
      <c r="F2461" t="str">
        <f>""</f>
        <v/>
      </c>
      <c r="H2461" t="str">
        <f t="shared" si="54"/>
        <v>TEXAS COUNTY &amp; DISTRICT RET</v>
      </c>
    </row>
    <row r="2462" spans="5:8" x14ac:dyDescent="0.25">
      <c r="E2462" t="str">
        <f>""</f>
        <v/>
      </c>
      <c r="F2462" t="str">
        <f>""</f>
        <v/>
      </c>
      <c r="H2462" t="str">
        <f t="shared" si="54"/>
        <v>TEXAS COUNTY &amp; DISTRICT RET</v>
      </c>
    </row>
    <row r="2463" spans="5:8" x14ac:dyDescent="0.25">
      <c r="E2463" t="str">
        <f>""</f>
        <v/>
      </c>
      <c r="F2463" t="str">
        <f>""</f>
        <v/>
      </c>
      <c r="H2463" t="str">
        <f t="shared" si="54"/>
        <v>TEXAS COUNTY &amp; DISTRICT RET</v>
      </c>
    </row>
    <row r="2464" spans="5:8" x14ac:dyDescent="0.25">
      <c r="E2464" t="str">
        <f>""</f>
        <v/>
      </c>
      <c r="F2464" t="str">
        <f>""</f>
        <v/>
      </c>
      <c r="H2464" t="str">
        <f t="shared" si="54"/>
        <v>TEXAS COUNTY &amp; DISTRICT RET</v>
      </c>
    </row>
    <row r="2465" spans="5:8" x14ac:dyDescent="0.25">
      <c r="E2465" t="str">
        <f>""</f>
        <v/>
      </c>
      <c r="F2465" t="str">
        <f>""</f>
        <v/>
      </c>
      <c r="H2465" t="str">
        <f t="shared" si="54"/>
        <v>TEXAS COUNTY &amp; DISTRICT RET</v>
      </c>
    </row>
    <row r="2466" spans="5:8" x14ac:dyDescent="0.25">
      <c r="E2466" t="str">
        <f>""</f>
        <v/>
      </c>
      <c r="F2466" t="str">
        <f>""</f>
        <v/>
      </c>
      <c r="H2466" t="str">
        <f t="shared" si="54"/>
        <v>TEXAS COUNTY &amp; DISTRICT RET</v>
      </c>
    </row>
    <row r="2467" spans="5:8" x14ac:dyDescent="0.25">
      <c r="E2467" t="str">
        <f>""</f>
        <v/>
      </c>
      <c r="F2467" t="str">
        <f>""</f>
        <v/>
      </c>
      <c r="H2467" t="str">
        <f t="shared" si="54"/>
        <v>TEXAS COUNTY &amp; DISTRICT RET</v>
      </c>
    </row>
    <row r="2468" spans="5:8" x14ac:dyDescent="0.25">
      <c r="E2468" t="str">
        <f>""</f>
        <v/>
      </c>
      <c r="F2468" t="str">
        <f>""</f>
        <v/>
      </c>
      <c r="H2468" t="str">
        <f t="shared" si="54"/>
        <v>TEXAS COUNTY &amp; DISTRICT RET</v>
      </c>
    </row>
    <row r="2469" spans="5:8" x14ac:dyDescent="0.25">
      <c r="E2469" t="str">
        <f>""</f>
        <v/>
      </c>
      <c r="F2469" t="str">
        <f>""</f>
        <v/>
      </c>
      <c r="H2469" t="str">
        <f t="shared" si="54"/>
        <v>TEXAS COUNTY &amp; DISTRICT RET</v>
      </c>
    </row>
    <row r="2470" spans="5:8" x14ac:dyDescent="0.25">
      <c r="E2470" t="str">
        <f>""</f>
        <v/>
      </c>
      <c r="F2470" t="str">
        <f>""</f>
        <v/>
      </c>
      <c r="H2470" t="str">
        <f t="shared" si="54"/>
        <v>TEXAS COUNTY &amp; DISTRICT RET</v>
      </c>
    </row>
    <row r="2471" spans="5:8" x14ac:dyDescent="0.25">
      <c r="E2471" t="str">
        <f>""</f>
        <v/>
      </c>
      <c r="F2471" t="str">
        <f>""</f>
        <v/>
      </c>
      <c r="H2471" t="str">
        <f t="shared" si="54"/>
        <v>TEXAS COUNTY &amp; DISTRICT RET</v>
      </c>
    </row>
    <row r="2472" spans="5:8" x14ac:dyDescent="0.25">
      <c r="E2472" t="str">
        <f>""</f>
        <v/>
      </c>
      <c r="F2472" t="str">
        <f>""</f>
        <v/>
      </c>
      <c r="H2472" t="str">
        <f t="shared" si="54"/>
        <v>TEXAS COUNTY &amp; DISTRICT RET</v>
      </c>
    </row>
    <row r="2473" spans="5:8" x14ac:dyDescent="0.25">
      <c r="E2473" t="str">
        <f>""</f>
        <v/>
      </c>
      <c r="F2473" t="str">
        <f>""</f>
        <v/>
      </c>
      <c r="H2473" t="str">
        <f t="shared" si="54"/>
        <v>TEXAS COUNTY &amp; DISTRICT RET</v>
      </c>
    </row>
    <row r="2474" spans="5:8" x14ac:dyDescent="0.25">
      <c r="E2474" t="str">
        <f>""</f>
        <v/>
      </c>
      <c r="F2474" t="str">
        <f>""</f>
        <v/>
      </c>
      <c r="H2474" t="str">
        <f t="shared" si="54"/>
        <v>TEXAS COUNTY &amp; DISTRICT RET</v>
      </c>
    </row>
    <row r="2475" spans="5:8" x14ac:dyDescent="0.25">
      <c r="E2475" t="str">
        <f>""</f>
        <v/>
      </c>
      <c r="F2475" t="str">
        <f>""</f>
        <v/>
      </c>
      <c r="H2475" t="str">
        <f t="shared" si="54"/>
        <v>TEXAS COUNTY &amp; DISTRICT RET</v>
      </c>
    </row>
    <row r="2476" spans="5:8" x14ac:dyDescent="0.25">
      <c r="E2476" t="str">
        <f>""</f>
        <v/>
      </c>
      <c r="F2476" t="str">
        <f>""</f>
        <v/>
      </c>
      <c r="H2476" t="str">
        <f t="shared" si="54"/>
        <v>TEXAS COUNTY &amp; DISTRICT RET</v>
      </c>
    </row>
    <row r="2477" spans="5:8" x14ac:dyDescent="0.25">
      <c r="E2477" t="str">
        <f>""</f>
        <v/>
      </c>
      <c r="F2477" t="str">
        <f>""</f>
        <v/>
      </c>
      <c r="H2477" t="str">
        <f t="shared" si="54"/>
        <v>TEXAS COUNTY &amp; DISTRICT RET</v>
      </c>
    </row>
    <row r="2478" spans="5:8" x14ac:dyDescent="0.25">
      <c r="E2478" t="str">
        <f>""</f>
        <v/>
      </c>
      <c r="F2478" t="str">
        <f>""</f>
        <v/>
      </c>
      <c r="H2478" t="str">
        <f t="shared" si="54"/>
        <v>TEXAS COUNTY &amp; DISTRICT RET</v>
      </c>
    </row>
    <row r="2479" spans="5:8" x14ac:dyDescent="0.25">
      <c r="E2479" t="str">
        <f>""</f>
        <v/>
      </c>
      <c r="F2479" t="str">
        <f>""</f>
        <v/>
      </c>
      <c r="H2479" t="str">
        <f t="shared" si="54"/>
        <v>TEXAS COUNTY &amp; DISTRICT RET</v>
      </c>
    </row>
    <row r="2480" spans="5:8" x14ac:dyDescent="0.25">
      <c r="E2480" t="str">
        <f>""</f>
        <v/>
      </c>
      <c r="F2480" t="str">
        <f>""</f>
        <v/>
      </c>
      <c r="H2480" t="str">
        <f t="shared" si="54"/>
        <v>TEXAS COUNTY &amp; DISTRICT RET</v>
      </c>
    </row>
    <row r="2481" spans="5:8" x14ac:dyDescent="0.25">
      <c r="E2481" t="str">
        <f>""</f>
        <v/>
      </c>
      <c r="F2481" t="str">
        <f>""</f>
        <v/>
      </c>
      <c r="H2481" t="str">
        <f t="shared" si="54"/>
        <v>TEXAS COUNTY &amp; DISTRICT RET</v>
      </c>
    </row>
    <row r="2482" spans="5:8" x14ac:dyDescent="0.25">
      <c r="E2482" t="str">
        <f>""</f>
        <v/>
      </c>
      <c r="F2482" t="str">
        <f>""</f>
        <v/>
      </c>
      <c r="H2482" t="str">
        <f t="shared" si="54"/>
        <v>TEXAS COUNTY &amp; DISTRICT RET</v>
      </c>
    </row>
    <row r="2483" spans="5:8" x14ac:dyDescent="0.25">
      <c r="E2483" t="str">
        <f>""</f>
        <v/>
      </c>
      <c r="F2483" t="str">
        <f>""</f>
        <v/>
      </c>
      <c r="H2483" t="str">
        <f t="shared" si="54"/>
        <v>TEXAS COUNTY &amp; DISTRICT RET</v>
      </c>
    </row>
    <row r="2484" spans="5:8" x14ac:dyDescent="0.25">
      <c r="E2484" t="str">
        <f>""</f>
        <v/>
      </c>
      <c r="F2484" t="str">
        <f>""</f>
        <v/>
      </c>
      <c r="H2484" t="str">
        <f t="shared" si="54"/>
        <v>TEXAS COUNTY &amp; DISTRICT RET</v>
      </c>
    </row>
    <row r="2485" spans="5:8" x14ac:dyDescent="0.25">
      <c r="E2485" t="str">
        <f>""</f>
        <v/>
      </c>
      <c r="F2485" t="str">
        <f>""</f>
        <v/>
      </c>
      <c r="H2485" t="str">
        <f t="shared" si="54"/>
        <v>TEXAS COUNTY &amp; DISTRICT RET</v>
      </c>
    </row>
    <row r="2486" spans="5:8" x14ac:dyDescent="0.25">
      <c r="E2486" t="str">
        <f>""</f>
        <v/>
      </c>
      <c r="F2486" t="str">
        <f>""</f>
        <v/>
      </c>
      <c r="H2486" t="str">
        <f t="shared" si="54"/>
        <v>TEXAS COUNTY &amp; DISTRICT RET</v>
      </c>
    </row>
    <row r="2487" spans="5:8" x14ac:dyDescent="0.25">
      <c r="E2487" t="str">
        <f>""</f>
        <v/>
      </c>
      <c r="F2487" t="str">
        <f>""</f>
        <v/>
      </c>
      <c r="H2487" t="str">
        <f t="shared" si="54"/>
        <v>TEXAS COUNTY &amp; DISTRICT RET</v>
      </c>
    </row>
    <row r="2488" spans="5:8" x14ac:dyDescent="0.25">
      <c r="E2488" t="str">
        <f>""</f>
        <v/>
      </c>
      <c r="F2488" t="str">
        <f>""</f>
        <v/>
      </c>
      <c r="H2488" t="str">
        <f t="shared" si="54"/>
        <v>TEXAS COUNTY &amp; DISTRICT RET</v>
      </c>
    </row>
    <row r="2489" spans="5:8" x14ac:dyDescent="0.25">
      <c r="E2489" t="str">
        <f>""</f>
        <v/>
      </c>
      <c r="F2489" t="str">
        <f>""</f>
        <v/>
      </c>
      <c r="H2489" t="str">
        <f t="shared" si="54"/>
        <v>TEXAS COUNTY &amp; DISTRICT RET</v>
      </c>
    </row>
    <row r="2490" spans="5:8" x14ac:dyDescent="0.25">
      <c r="E2490" t="str">
        <f>""</f>
        <v/>
      </c>
      <c r="F2490" t="str">
        <f>""</f>
        <v/>
      </c>
      <c r="H2490" t="str">
        <f t="shared" si="54"/>
        <v>TEXAS COUNTY &amp; DISTRICT RET</v>
      </c>
    </row>
    <row r="2491" spans="5:8" x14ac:dyDescent="0.25">
      <c r="E2491" t="str">
        <f>""</f>
        <v/>
      </c>
      <c r="F2491" t="str">
        <f>""</f>
        <v/>
      </c>
      <c r="H2491" t="str">
        <f t="shared" si="54"/>
        <v>TEXAS COUNTY &amp; DISTRICT RET</v>
      </c>
    </row>
    <row r="2492" spans="5:8" x14ac:dyDescent="0.25">
      <c r="E2492" t="str">
        <f>""</f>
        <v/>
      </c>
      <c r="F2492" t="str">
        <f>""</f>
        <v/>
      </c>
      <c r="H2492" t="str">
        <f t="shared" si="54"/>
        <v>TEXAS COUNTY &amp; DISTRICT RET</v>
      </c>
    </row>
    <row r="2493" spans="5:8" x14ac:dyDescent="0.25">
      <c r="E2493" t="str">
        <f>""</f>
        <v/>
      </c>
      <c r="F2493" t="str">
        <f>""</f>
        <v/>
      </c>
      <c r="H2493" t="str">
        <f t="shared" si="54"/>
        <v>TEXAS COUNTY &amp; DISTRICT RET</v>
      </c>
    </row>
    <row r="2494" spans="5:8" x14ac:dyDescent="0.25">
      <c r="E2494" t="str">
        <f>"RET202011170085"</f>
        <v>RET202011170085</v>
      </c>
      <c r="F2494" t="str">
        <f>"TEXAS COUNTY  DISTRICT RET"</f>
        <v>TEXAS COUNTY  DISTRICT RET</v>
      </c>
      <c r="G2494" s="1">
        <v>5038.74</v>
      </c>
      <c r="H2494" t="str">
        <f>"TEXAS COUNTY  DISTRICT RET"</f>
        <v>TEXAS COUNTY  DISTRICT RET</v>
      </c>
    </row>
    <row r="2495" spans="5:8" x14ac:dyDescent="0.25">
      <c r="E2495" t="str">
        <f>""</f>
        <v/>
      </c>
      <c r="F2495" t="str">
        <f>""</f>
        <v/>
      </c>
      <c r="H2495" t="str">
        <f>"TEXAS COUNTY  DISTRICT RET"</f>
        <v>TEXAS COUNTY  DISTRICT RET</v>
      </c>
    </row>
    <row r="2496" spans="5:8" x14ac:dyDescent="0.25">
      <c r="E2496" t="str">
        <f>"RET202011170086"</f>
        <v>RET202011170086</v>
      </c>
      <c r="F2496" t="str">
        <f>"TEXAS COUNTY &amp; DISTRICT RET"</f>
        <v>TEXAS COUNTY &amp; DISTRICT RET</v>
      </c>
      <c r="G2496" s="1">
        <v>3587.97</v>
      </c>
      <c r="H2496" t="str">
        <f t="shared" ref="H2496:H2527" si="55">"TEXAS COUNTY &amp; DISTRICT RET"</f>
        <v>TEXAS COUNTY &amp; DISTRICT RET</v>
      </c>
    </row>
    <row r="2497" spans="5:8" x14ac:dyDescent="0.25">
      <c r="E2497" t="str">
        <f>""</f>
        <v/>
      </c>
      <c r="F2497" t="str">
        <f>""</f>
        <v/>
      </c>
      <c r="H2497" t="str">
        <f t="shared" si="55"/>
        <v>TEXAS COUNTY &amp; DISTRICT RET</v>
      </c>
    </row>
    <row r="2498" spans="5:8" x14ac:dyDescent="0.25">
      <c r="E2498" t="str">
        <f>"RET202011240269"</f>
        <v>RET202011240269</v>
      </c>
      <c r="F2498" t="str">
        <f>"TEXAS COUNTY &amp; DISTRICT RET"</f>
        <v>TEXAS COUNTY &amp; DISTRICT RET</v>
      </c>
      <c r="G2498" s="1">
        <v>179347.33</v>
      </c>
      <c r="H2498" t="str">
        <f t="shared" si="55"/>
        <v>TEXAS COUNTY &amp; DISTRICT RET</v>
      </c>
    </row>
    <row r="2499" spans="5:8" x14ac:dyDescent="0.25">
      <c r="E2499" t="str">
        <f>""</f>
        <v/>
      </c>
      <c r="F2499" t="str">
        <f>""</f>
        <v/>
      </c>
      <c r="H2499" t="str">
        <f t="shared" si="55"/>
        <v>TEXAS COUNTY &amp; DISTRICT RET</v>
      </c>
    </row>
    <row r="2500" spans="5:8" x14ac:dyDescent="0.25">
      <c r="E2500" t="str">
        <f>""</f>
        <v/>
      </c>
      <c r="F2500" t="str">
        <f>""</f>
        <v/>
      </c>
      <c r="H2500" t="str">
        <f t="shared" si="55"/>
        <v>TEXAS COUNTY &amp; DISTRICT RET</v>
      </c>
    </row>
    <row r="2501" spans="5:8" x14ac:dyDescent="0.25">
      <c r="E2501" t="str">
        <f>""</f>
        <v/>
      </c>
      <c r="F2501" t="str">
        <f>""</f>
        <v/>
      </c>
      <c r="H2501" t="str">
        <f t="shared" si="55"/>
        <v>TEXAS COUNTY &amp; DISTRICT RET</v>
      </c>
    </row>
    <row r="2502" spans="5:8" x14ac:dyDescent="0.25">
      <c r="E2502" t="str">
        <f>""</f>
        <v/>
      </c>
      <c r="F2502" t="str">
        <f>""</f>
        <v/>
      </c>
      <c r="H2502" t="str">
        <f t="shared" si="55"/>
        <v>TEXAS COUNTY &amp; DISTRICT RET</v>
      </c>
    </row>
    <row r="2503" spans="5:8" x14ac:dyDescent="0.25">
      <c r="E2503" t="str">
        <f>""</f>
        <v/>
      </c>
      <c r="F2503" t="str">
        <f>""</f>
        <v/>
      </c>
      <c r="H2503" t="str">
        <f t="shared" si="55"/>
        <v>TEXAS COUNTY &amp; DISTRICT RET</v>
      </c>
    </row>
    <row r="2504" spans="5:8" x14ac:dyDescent="0.25">
      <c r="E2504" t="str">
        <f>""</f>
        <v/>
      </c>
      <c r="F2504" t="str">
        <f>""</f>
        <v/>
      </c>
      <c r="H2504" t="str">
        <f t="shared" si="55"/>
        <v>TEXAS COUNTY &amp; DISTRICT RET</v>
      </c>
    </row>
    <row r="2505" spans="5:8" x14ac:dyDescent="0.25">
      <c r="E2505" t="str">
        <f>""</f>
        <v/>
      </c>
      <c r="F2505" t="str">
        <f>""</f>
        <v/>
      </c>
      <c r="H2505" t="str">
        <f t="shared" si="55"/>
        <v>TEXAS COUNTY &amp; DISTRICT RET</v>
      </c>
    </row>
    <row r="2506" spans="5:8" x14ac:dyDescent="0.25">
      <c r="E2506" t="str">
        <f>""</f>
        <v/>
      </c>
      <c r="F2506" t="str">
        <f>""</f>
        <v/>
      </c>
      <c r="H2506" t="str">
        <f t="shared" si="55"/>
        <v>TEXAS COUNTY &amp; DISTRICT RET</v>
      </c>
    </row>
    <row r="2507" spans="5:8" x14ac:dyDescent="0.25">
      <c r="E2507" t="str">
        <f>""</f>
        <v/>
      </c>
      <c r="F2507" t="str">
        <f>""</f>
        <v/>
      </c>
      <c r="H2507" t="str">
        <f t="shared" si="55"/>
        <v>TEXAS COUNTY &amp; DISTRICT RET</v>
      </c>
    </row>
    <row r="2508" spans="5:8" x14ac:dyDescent="0.25">
      <c r="E2508" t="str">
        <f>""</f>
        <v/>
      </c>
      <c r="F2508" t="str">
        <f>""</f>
        <v/>
      </c>
      <c r="H2508" t="str">
        <f t="shared" si="55"/>
        <v>TEXAS COUNTY &amp; DISTRICT RET</v>
      </c>
    </row>
    <row r="2509" spans="5:8" x14ac:dyDescent="0.25">
      <c r="E2509" t="str">
        <f>""</f>
        <v/>
      </c>
      <c r="F2509" t="str">
        <f>""</f>
        <v/>
      </c>
      <c r="H2509" t="str">
        <f t="shared" si="55"/>
        <v>TEXAS COUNTY &amp; DISTRICT RET</v>
      </c>
    </row>
    <row r="2510" spans="5:8" x14ac:dyDescent="0.25">
      <c r="E2510" t="str">
        <f>""</f>
        <v/>
      </c>
      <c r="F2510" t="str">
        <f>""</f>
        <v/>
      </c>
      <c r="H2510" t="str">
        <f t="shared" si="55"/>
        <v>TEXAS COUNTY &amp; DISTRICT RET</v>
      </c>
    </row>
    <row r="2511" spans="5:8" x14ac:dyDescent="0.25">
      <c r="E2511" t="str">
        <f>""</f>
        <v/>
      </c>
      <c r="F2511" t="str">
        <f>""</f>
        <v/>
      </c>
      <c r="H2511" t="str">
        <f t="shared" si="55"/>
        <v>TEXAS COUNTY &amp; DISTRICT RET</v>
      </c>
    </row>
    <row r="2512" spans="5:8" x14ac:dyDescent="0.25">
      <c r="E2512" t="str">
        <f>""</f>
        <v/>
      </c>
      <c r="F2512" t="str">
        <f>""</f>
        <v/>
      </c>
      <c r="H2512" t="str">
        <f t="shared" si="55"/>
        <v>TEXAS COUNTY &amp; DISTRICT RET</v>
      </c>
    </row>
    <row r="2513" spans="5:8" x14ac:dyDescent="0.25">
      <c r="E2513" t="str">
        <f>""</f>
        <v/>
      </c>
      <c r="F2513" t="str">
        <f>""</f>
        <v/>
      </c>
      <c r="H2513" t="str">
        <f t="shared" si="55"/>
        <v>TEXAS COUNTY &amp; DISTRICT RET</v>
      </c>
    </row>
    <row r="2514" spans="5:8" x14ac:dyDescent="0.25">
      <c r="E2514" t="str">
        <f>""</f>
        <v/>
      </c>
      <c r="F2514" t="str">
        <f>""</f>
        <v/>
      </c>
      <c r="H2514" t="str">
        <f t="shared" si="55"/>
        <v>TEXAS COUNTY &amp; DISTRICT RET</v>
      </c>
    </row>
    <row r="2515" spans="5:8" x14ac:dyDescent="0.25">
      <c r="E2515" t="str">
        <f>""</f>
        <v/>
      </c>
      <c r="F2515" t="str">
        <f>""</f>
        <v/>
      </c>
      <c r="H2515" t="str">
        <f t="shared" si="55"/>
        <v>TEXAS COUNTY &amp; DISTRICT RET</v>
      </c>
    </row>
    <row r="2516" spans="5:8" x14ac:dyDescent="0.25">
      <c r="E2516" t="str">
        <f>""</f>
        <v/>
      </c>
      <c r="F2516" t="str">
        <f>""</f>
        <v/>
      </c>
      <c r="H2516" t="str">
        <f t="shared" si="55"/>
        <v>TEXAS COUNTY &amp; DISTRICT RET</v>
      </c>
    </row>
    <row r="2517" spans="5:8" x14ac:dyDescent="0.25">
      <c r="E2517" t="str">
        <f>""</f>
        <v/>
      </c>
      <c r="F2517" t="str">
        <f>""</f>
        <v/>
      </c>
      <c r="H2517" t="str">
        <f t="shared" si="55"/>
        <v>TEXAS COUNTY &amp; DISTRICT RET</v>
      </c>
    </row>
    <row r="2518" spans="5:8" x14ac:dyDescent="0.25">
      <c r="E2518" t="str">
        <f>""</f>
        <v/>
      </c>
      <c r="F2518" t="str">
        <f>""</f>
        <v/>
      </c>
      <c r="H2518" t="str">
        <f t="shared" si="55"/>
        <v>TEXAS COUNTY &amp; DISTRICT RET</v>
      </c>
    </row>
    <row r="2519" spans="5:8" x14ac:dyDescent="0.25">
      <c r="E2519" t="str">
        <f>""</f>
        <v/>
      </c>
      <c r="F2519" t="str">
        <f>""</f>
        <v/>
      </c>
      <c r="H2519" t="str">
        <f t="shared" si="55"/>
        <v>TEXAS COUNTY &amp; DISTRICT RET</v>
      </c>
    </row>
    <row r="2520" spans="5:8" x14ac:dyDescent="0.25">
      <c r="E2520" t="str">
        <f>""</f>
        <v/>
      </c>
      <c r="F2520" t="str">
        <f>""</f>
        <v/>
      </c>
      <c r="H2520" t="str">
        <f t="shared" si="55"/>
        <v>TEXAS COUNTY &amp; DISTRICT RET</v>
      </c>
    </row>
    <row r="2521" spans="5:8" x14ac:dyDescent="0.25">
      <c r="E2521" t="str">
        <f>""</f>
        <v/>
      </c>
      <c r="F2521" t="str">
        <f>""</f>
        <v/>
      </c>
      <c r="H2521" t="str">
        <f t="shared" si="55"/>
        <v>TEXAS COUNTY &amp; DISTRICT RET</v>
      </c>
    </row>
    <row r="2522" spans="5:8" x14ac:dyDescent="0.25">
      <c r="E2522" t="str">
        <f>""</f>
        <v/>
      </c>
      <c r="F2522" t="str">
        <f>""</f>
        <v/>
      </c>
      <c r="H2522" t="str">
        <f t="shared" si="55"/>
        <v>TEXAS COUNTY &amp; DISTRICT RET</v>
      </c>
    </row>
    <row r="2523" spans="5:8" x14ac:dyDescent="0.25">
      <c r="E2523" t="str">
        <f>""</f>
        <v/>
      </c>
      <c r="F2523" t="str">
        <f>""</f>
        <v/>
      </c>
      <c r="H2523" t="str">
        <f t="shared" si="55"/>
        <v>TEXAS COUNTY &amp; DISTRICT RET</v>
      </c>
    </row>
    <row r="2524" spans="5:8" x14ac:dyDescent="0.25">
      <c r="E2524" t="str">
        <f>""</f>
        <v/>
      </c>
      <c r="F2524" t="str">
        <f>""</f>
        <v/>
      </c>
      <c r="H2524" t="str">
        <f t="shared" si="55"/>
        <v>TEXAS COUNTY &amp; DISTRICT RET</v>
      </c>
    </row>
    <row r="2525" spans="5:8" x14ac:dyDescent="0.25">
      <c r="E2525" t="str">
        <f>""</f>
        <v/>
      </c>
      <c r="F2525" t="str">
        <f>""</f>
        <v/>
      </c>
      <c r="H2525" t="str">
        <f t="shared" si="55"/>
        <v>TEXAS COUNTY &amp; DISTRICT RET</v>
      </c>
    </row>
    <row r="2526" spans="5:8" x14ac:dyDescent="0.25">
      <c r="E2526" t="str">
        <f>""</f>
        <v/>
      </c>
      <c r="F2526" t="str">
        <f>""</f>
        <v/>
      </c>
      <c r="H2526" t="str">
        <f t="shared" si="55"/>
        <v>TEXAS COUNTY &amp; DISTRICT RET</v>
      </c>
    </row>
    <row r="2527" spans="5:8" x14ac:dyDescent="0.25">
      <c r="E2527" t="str">
        <f>""</f>
        <v/>
      </c>
      <c r="F2527" t="str">
        <f>""</f>
        <v/>
      </c>
      <c r="H2527" t="str">
        <f t="shared" si="55"/>
        <v>TEXAS COUNTY &amp; DISTRICT RET</v>
      </c>
    </row>
    <row r="2528" spans="5:8" x14ac:dyDescent="0.25">
      <c r="E2528" t="str">
        <f>""</f>
        <v/>
      </c>
      <c r="F2528" t="str">
        <f>""</f>
        <v/>
      </c>
      <c r="H2528" t="str">
        <f t="shared" ref="H2528:H2549" si="56">"TEXAS COUNTY &amp; DISTRICT RET"</f>
        <v>TEXAS COUNTY &amp; DISTRICT RET</v>
      </c>
    </row>
    <row r="2529" spans="5:8" x14ac:dyDescent="0.25">
      <c r="E2529" t="str">
        <f>""</f>
        <v/>
      </c>
      <c r="F2529" t="str">
        <f>""</f>
        <v/>
      </c>
      <c r="H2529" t="str">
        <f t="shared" si="56"/>
        <v>TEXAS COUNTY &amp; DISTRICT RET</v>
      </c>
    </row>
    <row r="2530" spans="5:8" x14ac:dyDescent="0.25">
      <c r="E2530" t="str">
        <f>""</f>
        <v/>
      </c>
      <c r="F2530" t="str">
        <f>""</f>
        <v/>
      </c>
      <c r="H2530" t="str">
        <f t="shared" si="56"/>
        <v>TEXAS COUNTY &amp; DISTRICT RET</v>
      </c>
    </row>
    <row r="2531" spans="5:8" x14ac:dyDescent="0.25">
      <c r="E2531" t="str">
        <f>""</f>
        <v/>
      </c>
      <c r="F2531" t="str">
        <f>""</f>
        <v/>
      </c>
      <c r="H2531" t="str">
        <f t="shared" si="56"/>
        <v>TEXAS COUNTY &amp; DISTRICT RET</v>
      </c>
    </row>
    <row r="2532" spans="5:8" x14ac:dyDescent="0.25">
      <c r="E2532" t="str">
        <f>""</f>
        <v/>
      </c>
      <c r="F2532" t="str">
        <f>""</f>
        <v/>
      </c>
      <c r="H2532" t="str">
        <f t="shared" si="56"/>
        <v>TEXAS COUNTY &amp; DISTRICT RET</v>
      </c>
    </row>
    <row r="2533" spans="5:8" x14ac:dyDescent="0.25">
      <c r="E2533" t="str">
        <f>""</f>
        <v/>
      </c>
      <c r="F2533" t="str">
        <f>""</f>
        <v/>
      </c>
      <c r="H2533" t="str">
        <f t="shared" si="56"/>
        <v>TEXAS COUNTY &amp; DISTRICT RET</v>
      </c>
    </row>
    <row r="2534" spans="5:8" x14ac:dyDescent="0.25">
      <c r="E2534" t="str">
        <f>""</f>
        <v/>
      </c>
      <c r="F2534" t="str">
        <f>""</f>
        <v/>
      </c>
      <c r="H2534" t="str">
        <f t="shared" si="56"/>
        <v>TEXAS COUNTY &amp; DISTRICT RET</v>
      </c>
    </row>
    <row r="2535" spans="5:8" x14ac:dyDescent="0.25">
      <c r="E2535" t="str">
        <f>""</f>
        <v/>
      </c>
      <c r="F2535" t="str">
        <f>""</f>
        <v/>
      </c>
      <c r="H2535" t="str">
        <f t="shared" si="56"/>
        <v>TEXAS COUNTY &amp; DISTRICT RET</v>
      </c>
    </row>
    <row r="2536" spans="5:8" x14ac:dyDescent="0.25">
      <c r="E2536" t="str">
        <f>""</f>
        <v/>
      </c>
      <c r="F2536" t="str">
        <f>""</f>
        <v/>
      </c>
      <c r="H2536" t="str">
        <f t="shared" si="56"/>
        <v>TEXAS COUNTY &amp; DISTRICT RET</v>
      </c>
    </row>
    <row r="2537" spans="5:8" x14ac:dyDescent="0.25">
      <c r="E2537" t="str">
        <f>""</f>
        <v/>
      </c>
      <c r="F2537" t="str">
        <f>""</f>
        <v/>
      </c>
      <c r="H2537" t="str">
        <f t="shared" si="56"/>
        <v>TEXAS COUNTY &amp; DISTRICT RET</v>
      </c>
    </row>
    <row r="2538" spans="5:8" x14ac:dyDescent="0.25">
      <c r="E2538" t="str">
        <f>""</f>
        <v/>
      </c>
      <c r="F2538" t="str">
        <f>""</f>
        <v/>
      </c>
      <c r="H2538" t="str">
        <f t="shared" si="56"/>
        <v>TEXAS COUNTY &amp; DISTRICT RET</v>
      </c>
    </row>
    <row r="2539" spans="5:8" x14ac:dyDescent="0.25">
      <c r="E2539" t="str">
        <f>""</f>
        <v/>
      </c>
      <c r="F2539" t="str">
        <f>""</f>
        <v/>
      </c>
      <c r="H2539" t="str">
        <f t="shared" si="56"/>
        <v>TEXAS COUNTY &amp; DISTRICT RET</v>
      </c>
    </row>
    <row r="2540" spans="5:8" x14ac:dyDescent="0.25">
      <c r="E2540" t="str">
        <f>""</f>
        <v/>
      </c>
      <c r="F2540" t="str">
        <f>""</f>
        <v/>
      </c>
      <c r="H2540" t="str">
        <f t="shared" si="56"/>
        <v>TEXAS COUNTY &amp; DISTRICT RET</v>
      </c>
    </row>
    <row r="2541" spans="5:8" x14ac:dyDescent="0.25">
      <c r="E2541" t="str">
        <f>""</f>
        <v/>
      </c>
      <c r="F2541" t="str">
        <f>""</f>
        <v/>
      </c>
      <c r="H2541" t="str">
        <f t="shared" si="56"/>
        <v>TEXAS COUNTY &amp; DISTRICT RET</v>
      </c>
    </row>
    <row r="2542" spans="5:8" x14ac:dyDescent="0.25">
      <c r="E2542" t="str">
        <f>""</f>
        <v/>
      </c>
      <c r="F2542" t="str">
        <f>""</f>
        <v/>
      </c>
      <c r="H2542" t="str">
        <f t="shared" si="56"/>
        <v>TEXAS COUNTY &amp; DISTRICT RET</v>
      </c>
    </row>
    <row r="2543" spans="5:8" x14ac:dyDescent="0.25">
      <c r="E2543" t="str">
        <f>""</f>
        <v/>
      </c>
      <c r="F2543" t="str">
        <f>""</f>
        <v/>
      </c>
      <c r="H2543" t="str">
        <f t="shared" si="56"/>
        <v>TEXAS COUNTY &amp; DISTRICT RET</v>
      </c>
    </row>
    <row r="2544" spans="5:8" x14ac:dyDescent="0.25">
      <c r="E2544" t="str">
        <f>""</f>
        <v/>
      </c>
      <c r="F2544" t="str">
        <f>""</f>
        <v/>
      </c>
      <c r="H2544" t="str">
        <f t="shared" si="56"/>
        <v>TEXAS COUNTY &amp; DISTRICT RET</v>
      </c>
    </row>
    <row r="2545" spans="1:8" x14ac:dyDescent="0.25">
      <c r="E2545" t="str">
        <f>""</f>
        <v/>
      </c>
      <c r="F2545" t="str">
        <f>""</f>
        <v/>
      </c>
      <c r="H2545" t="str">
        <f t="shared" si="56"/>
        <v>TEXAS COUNTY &amp; DISTRICT RET</v>
      </c>
    </row>
    <row r="2546" spans="1:8" x14ac:dyDescent="0.25">
      <c r="E2546" t="str">
        <f>""</f>
        <v/>
      </c>
      <c r="F2546" t="str">
        <f>""</f>
        <v/>
      </c>
      <c r="H2546" t="str">
        <f t="shared" si="56"/>
        <v>TEXAS COUNTY &amp; DISTRICT RET</v>
      </c>
    </row>
    <row r="2547" spans="1:8" x14ac:dyDescent="0.25">
      <c r="E2547" t="str">
        <f>""</f>
        <v/>
      </c>
      <c r="F2547" t="str">
        <f>""</f>
        <v/>
      </c>
      <c r="H2547" t="str">
        <f t="shared" si="56"/>
        <v>TEXAS COUNTY &amp; DISTRICT RET</v>
      </c>
    </row>
    <row r="2548" spans="1:8" x14ac:dyDescent="0.25">
      <c r="E2548" t="str">
        <f>""</f>
        <v/>
      </c>
      <c r="F2548" t="str">
        <f>""</f>
        <v/>
      </c>
      <c r="H2548" t="str">
        <f t="shared" si="56"/>
        <v>TEXAS COUNTY &amp; DISTRICT RET</v>
      </c>
    </row>
    <row r="2549" spans="1:8" x14ac:dyDescent="0.25">
      <c r="E2549" t="str">
        <f>""</f>
        <v/>
      </c>
      <c r="F2549" t="str">
        <f>""</f>
        <v/>
      </c>
      <c r="H2549" t="str">
        <f t="shared" si="56"/>
        <v>TEXAS COUNTY &amp; DISTRICT RET</v>
      </c>
    </row>
    <row r="2550" spans="1:8" x14ac:dyDescent="0.25">
      <c r="E2550" t="str">
        <f>"RET202011240270"</f>
        <v>RET202011240270</v>
      </c>
      <c r="F2550" t="str">
        <f>"TEXAS COUNTY  DISTRICT RET"</f>
        <v>TEXAS COUNTY  DISTRICT RET</v>
      </c>
      <c r="G2550" s="1">
        <v>6128.02</v>
      </c>
      <c r="H2550" t="str">
        <f>"TEXAS COUNTY  DISTRICT RET"</f>
        <v>TEXAS COUNTY  DISTRICT RET</v>
      </c>
    </row>
    <row r="2551" spans="1:8" x14ac:dyDescent="0.25">
      <c r="E2551" t="str">
        <f>""</f>
        <v/>
      </c>
      <c r="F2551" t="str">
        <f>""</f>
        <v/>
      </c>
      <c r="H2551" t="str">
        <f>"TEXAS COUNTY  DISTRICT RET"</f>
        <v>TEXAS COUNTY  DISTRICT RET</v>
      </c>
    </row>
    <row r="2552" spans="1:8" x14ac:dyDescent="0.25">
      <c r="E2552" t="str">
        <f>"RET202011240271"</f>
        <v>RET202011240271</v>
      </c>
      <c r="F2552" t="str">
        <f>"TEXAS COUNTY &amp; DISTRICT RET"</f>
        <v>TEXAS COUNTY &amp; DISTRICT RET</v>
      </c>
      <c r="G2552" s="1">
        <v>7074.67</v>
      </c>
      <c r="H2552" t="str">
        <f>"TEXAS COUNTY &amp; DISTRICT RET"</f>
        <v>TEXAS COUNTY &amp; DISTRICT RET</v>
      </c>
    </row>
    <row r="2553" spans="1:8" x14ac:dyDescent="0.25">
      <c r="E2553" t="str">
        <f>""</f>
        <v/>
      </c>
      <c r="F2553" t="str">
        <f>""</f>
        <v/>
      </c>
      <c r="H2553" t="str">
        <f>"TEXAS COUNTY &amp; DISTRICT RET"</f>
        <v>TEXAS COUNTY &amp; DISTRICT RET</v>
      </c>
    </row>
    <row r="2554" spans="1:8" x14ac:dyDescent="0.25">
      <c r="A2554" t="s">
        <v>402</v>
      </c>
      <c r="B2554">
        <v>48209</v>
      </c>
      <c r="C2554" s="1">
        <v>1496</v>
      </c>
      <c r="D2554" s="5">
        <v>44160</v>
      </c>
      <c r="E2554" t="str">
        <f>"LEG202011100003"</f>
        <v>LEG202011100003</v>
      </c>
      <c r="F2554" t="str">
        <f>"TEXAS LEGAL PROTECTION PLAN"</f>
        <v>TEXAS LEGAL PROTECTION PLAN</v>
      </c>
      <c r="G2554" s="1">
        <v>252</v>
      </c>
      <c r="H2554" t="str">
        <f>"TEXAS LEGAL PROTECTION PLAN"</f>
        <v>TEXAS LEGAL PROTECTION PLAN</v>
      </c>
    </row>
    <row r="2555" spans="1:8" x14ac:dyDescent="0.25">
      <c r="E2555" t="str">
        <f>"LEG202011240269"</f>
        <v>LEG202011240269</v>
      </c>
      <c r="F2555" t="str">
        <f>"TEXAS LEGAL PROTECTION PLAN"</f>
        <v>TEXAS LEGAL PROTECTION PLAN</v>
      </c>
      <c r="G2555" s="1">
        <v>252</v>
      </c>
      <c r="H2555" t="str">
        <f>"TEXAS LEGAL PROTECTION PLAN"</f>
        <v>TEXAS LEGAL PROTECTION PLAN</v>
      </c>
    </row>
    <row r="2556" spans="1:8" x14ac:dyDescent="0.25">
      <c r="E2556" t="str">
        <f>"LGF202011100003"</f>
        <v>LGF202011100003</v>
      </c>
      <c r="F2556" t="str">
        <f>"TEXAS LEGAL PROTECTION PLAN"</f>
        <v>TEXAS LEGAL PROTECTION PLAN</v>
      </c>
      <c r="G2556" s="1">
        <v>496</v>
      </c>
      <c r="H2556" t="str">
        <f>"TEXAS LEGAL PROTECTION PLAN"</f>
        <v>TEXAS LEGAL PROTECTION PLAN</v>
      </c>
    </row>
    <row r="2557" spans="1:8" x14ac:dyDescent="0.25">
      <c r="E2557" t="str">
        <f>"LGF202011240269"</f>
        <v>LGF202011240269</v>
      </c>
      <c r="F2557" t="str">
        <f>"TEXAS LEGAL PROTECTION PLAN"</f>
        <v>TEXAS LEGAL PROTECTION PLAN</v>
      </c>
      <c r="G2557" s="1">
        <v>496</v>
      </c>
      <c r="H2557" t="str">
        <f>"TEXAS LEGAL PROTECTION PLAN"</f>
        <v>TEXAS LEGAL PROTECTION PLAN</v>
      </c>
    </row>
    <row r="2558" spans="1:8" x14ac:dyDescent="0.25">
      <c r="A2558" t="s">
        <v>403</v>
      </c>
      <c r="B2558">
        <v>787</v>
      </c>
      <c r="C2558" s="1">
        <v>85</v>
      </c>
      <c r="D2558" s="5">
        <v>44159</v>
      </c>
      <c r="E2558" t="str">
        <f>"202011240276"</f>
        <v>202011240276</v>
      </c>
      <c r="F2558" t="str">
        <f>"ACCT#72-5613 / 11032020"</f>
        <v>ACCT#72-5613 / 11032020</v>
      </c>
      <c r="G2558" s="1">
        <v>85</v>
      </c>
      <c r="H2558" t="str">
        <f t="shared" ref="H2558:H2585" si="57">"ACCT#72-5613 / 11032020"</f>
        <v>ACCT#72-5613 / 11032020</v>
      </c>
    </row>
    <row r="2559" spans="1:8" x14ac:dyDescent="0.25">
      <c r="A2559" t="s">
        <v>404</v>
      </c>
      <c r="B2559">
        <v>790</v>
      </c>
      <c r="C2559" s="1">
        <v>447.21</v>
      </c>
      <c r="D2559" s="5">
        <v>44159</v>
      </c>
      <c r="E2559" t="str">
        <f>"202011240279"</f>
        <v>202011240279</v>
      </c>
      <c r="F2559" t="str">
        <f>"ACCT#72-5613 / 11032020"</f>
        <v>ACCT#72-5613 / 11032020</v>
      </c>
      <c r="G2559" s="1">
        <v>447.21</v>
      </c>
      <c r="H2559" t="str">
        <f t="shared" si="57"/>
        <v>ACCT#72-5613 / 11032020</v>
      </c>
    </row>
    <row r="2560" spans="1:8" x14ac:dyDescent="0.25">
      <c r="E2560" t="str">
        <f>""</f>
        <v/>
      </c>
      <c r="F2560" t="str">
        <f>""</f>
        <v/>
      </c>
      <c r="H2560" t="str">
        <f t="shared" si="57"/>
        <v>ACCT#72-5613 / 11032020</v>
      </c>
    </row>
    <row r="2561" spans="1:8" x14ac:dyDescent="0.25">
      <c r="E2561" t="str">
        <f>""</f>
        <v/>
      </c>
      <c r="F2561" t="str">
        <f>""</f>
        <v/>
      </c>
      <c r="H2561" t="str">
        <f t="shared" si="57"/>
        <v>ACCT#72-5613 / 11032020</v>
      </c>
    </row>
    <row r="2562" spans="1:8" x14ac:dyDescent="0.25">
      <c r="A2562" t="s">
        <v>405</v>
      </c>
      <c r="B2562">
        <v>788</v>
      </c>
      <c r="C2562" s="1">
        <v>779.93</v>
      </c>
      <c r="D2562" s="5">
        <v>44159</v>
      </c>
      <c r="E2562" t="str">
        <f>"202011240277"</f>
        <v>202011240277</v>
      </c>
      <c r="F2562" t="str">
        <f>"ACCT#72-5613 / 11032020"</f>
        <v>ACCT#72-5613 / 11032020</v>
      </c>
      <c r="G2562" s="1">
        <v>779.93</v>
      </c>
      <c r="H2562" t="str">
        <f t="shared" si="57"/>
        <v>ACCT#72-5613 / 11032020</v>
      </c>
    </row>
    <row r="2563" spans="1:8" x14ac:dyDescent="0.25">
      <c r="A2563" t="s">
        <v>115</v>
      </c>
      <c r="B2563">
        <v>795</v>
      </c>
      <c r="C2563" s="1">
        <v>357.5</v>
      </c>
      <c r="D2563" s="5">
        <v>44159</v>
      </c>
      <c r="E2563" t="str">
        <f>"202011240284"</f>
        <v>202011240284</v>
      </c>
      <c r="F2563" t="str">
        <f>"ACCT#72-5613 / 11032020"</f>
        <v>ACCT#72-5613 / 11032020</v>
      </c>
      <c r="G2563" s="1">
        <v>357.5</v>
      </c>
      <c r="H2563" t="str">
        <f t="shared" si="57"/>
        <v>ACCT#72-5613 / 11032020</v>
      </c>
    </row>
    <row r="2564" spans="1:8" x14ac:dyDescent="0.25">
      <c r="E2564" t="str">
        <f>""</f>
        <v/>
      </c>
      <c r="F2564" t="str">
        <f>""</f>
        <v/>
      </c>
      <c r="H2564" t="str">
        <f t="shared" si="57"/>
        <v>ACCT#72-5613 / 11032020</v>
      </c>
    </row>
    <row r="2565" spans="1:8" x14ac:dyDescent="0.25">
      <c r="A2565" t="s">
        <v>406</v>
      </c>
      <c r="B2565">
        <v>797</v>
      </c>
      <c r="C2565" s="1">
        <v>3158.09</v>
      </c>
      <c r="D2565" s="5">
        <v>44159</v>
      </c>
      <c r="E2565" t="str">
        <f>"202011240286"</f>
        <v>202011240286</v>
      </c>
      <c r="F2565" t="str">
        <f>"ACCT#72-5613 / 11032020"</f>
        <v>ACCT#72-5613 / 11032020</v>
      </c>
      <c r="G2565" s="1">
        <v>3158.09</v>
      </c>
      <c r="H2565" t="str">
        <f t="shared" si="57"/>
        <v>ACCT#72-5613 / 11032020</v>
      </c>
    </row>
    <row r="2566" spans="1:8" x14ac:dyDescent="0.25">
      <c r="A2566" t="s">
        <v>164</v>
      </c>
      <c r="B2566">
        <v>784</v>
      </c>
      <c r="C2566" s="1">
        <v>2201.71</v>
      </c>
      <c r="D2566" s="5">
        <v>44159</v>
      </c>
      <c r="E2566" t="str">
        <f>"202011240273"</f>
        <v>202011240273</v>
      </c>
      <c r="F2566" t="str">
        <f>"ACCT#72-5613 / 11032020"</f>
        <v>ACCT#72-5613 / 11032020</v>
      </c>
      <c r="G2566" s="1">
        <v>2201.71</v>
      </c>
      <c r="H2566" t="str">
        <f t="shared" si="57"/>
        <v>ACCT#72-5613 / 11032020</v>
      </c>
    </row>
    <row r="2567" spans="1:8" x14ac:dyDescent="0.25">
      <c r="E2567" t="str">
        <f>""</f>
        <v/>
      </c>
      <c r="F2567" t="str">
        <f>""</f>
        <v/>
      </c>
      <c r="H2567" t="str">
        <f t="shared" si="57"/>
        <v>ACCT#72-5613 / 11032020</v>
      </c>
    </row>
    <row r="2568" spans="1:8" x14ac:dyDescent="0.25">
      <c r="E2568" t="str">
        <f>""</f>
        <v/>
      </c>
      <c r="F2568" t="str">
        <f>""</f>
        <v/>
      </c>
      <c r="H2568" t="str">
        <f t="shared" si="57"/>
        <v>ACCT#72-5613 / 11032020</v>
      </c>
    </row>
    <row r="2569" spans="1:8" x14ac:dyDescent="0.25">
      <c r="E2569" t="str">
        <f>""</f>
        <v/>
      </c>
      <c r="F2569" t="str">
        <f>""</f>
        <v/>
      </c>
      <c r="H2569" t="str">
        <f t="shared" si="57"/>
        <v>ACCT#72-5613 / 11032020</v>
      </c>
    </row>
    <row r="2570" spans="1:8" x14ac:dyDescent="0.25">
      <c r="A2570" t="s">
        <v>196</v>
      </c>
      <c r="B2570">
        <v>791</v>
      </c>
      <c r="C2570" s="1">
        <v>293.33</v>
      </c>
      <c r="D2570" s="5">
        <v>44159</v>
      </c>
      <c r="E2570" t="str">
        <f>"202011240280"</f>
        <v>202011240280</v>
      </c>
      <c r="F2570" t="str">
        <f>"ACCT#72-5613 / 11032020"</f>
        <v>ACCT#72-5613 / 11032020</v>
      </c>
      <c r="G2570" s="1">
        <v>293.33</v>
      </c>
      <c r="H2570" t="str">
        <f t="shared" si="57"/>
        <v>ACCT#72-5613 / 11032020</v>
      </c>
    </row>
    <row r="2571" spans="1:8" x14ac:dyDescent="0.25">
      <c r="A2571" t="s">
        <v>407</v>
      </c>
      <c r="B2571">
        <v>789</v>
      </c>
      <c r="C2571" s="1">
        <v>427.25</v>
      </c>
      <c r="D2571" s="5">
        <v>44159</v>
      </c>
      <c r="E2571" t="str">
        <f>"202011240278"</f>
        <v>202011240278</v>
      </c>
      <c r="F2571" t="str">
        <f>"ACCT#72-5613 / 11032020"</f>
        <v>ACCT#72-5613 / 11032020</v>
      </c>
      <c r="G2571" s="1">
        <v>427.25</v>
      </c>
      <c r="H2571" t="str">
        <f t="shared" si="57"/>
        <v>ACCT#72-5613 / 11032020</v>
      </c>
    </row>
    <row r="2572" spans="1:8" x14ac:dyDescent="0.25">
      <c r="A2572" t="s">
        <v>408</v>
      </c>
      <c r="B2572">
        <v>783</v>
      </c>
      <c r="C2572" s="1">
        <v>94.75</v>
      </c>
      <c r="D2572" s="5">
        <v>44159</v>
      </c>
      <c r="E2572" t="str">
        <f>"202011240272"</f>
        <v>202011240272</v>
      </c>
      <c r="F2572" t="str">
        <f>"ACCT#72-5613 / 11032020"</f>
        <v>ACCT#72-5613 / 11032020</v>
      </c>
      <c r="G2572" s="1">
        <v>94.75</v>
      </c>
      <c r="H2572" t="str">
        <f t="shared" si="57"/>
        <v>ACCT#72-5613 / 11032020</v>
      </c>
    </row>
    <row r="2573" spans="1:8" x14ac:dyDescent="0.25">
      <c r="E2573" t="str">
        <f>""</f>
        <v/>
      </c>
      <c r="F2573" t="str">
        <f>""</f>
        <v/>
      </c>
      <c r="H2573" t="str">
        <f t="shared" si="57"/>
        <v>ACCT#72-5613 / 11032020</v>
      </c>
    </row>
    <row r="2574" spans="1:8" x14ac:dyDescent="0.25">
      <c r="A2574" t="s">
        <v>409</v>
      </c>
      <c r="B2574">
        <v>792</v>
      </c>
      <c r="C2574" s="1">
        <v>25.32</v>
      </c>
      <c r="D2574" s="5">
        <v>44159</v>
      </c>
      <c r="E2574" t="str">
        <f>"202011240281"</f>
        <v>202011240281</v>
      </c>
      <c r="F2574" t="str">
        <f t="shared" ref="F2574:F2580" si="58">"ACCT#72-5613 / 11032020"</f>
        <v>ACCT#72-5613 / 11032020</v>
      </c>
      <c r="G2574" s="1">
        <v>25.32</v>
      </c>
      <c r="H2574" t="str">
        <f t="shared" si="57"/>
        <v>ACCT#72-5613 / 11032020</v>
      </c>
    </row>
    <row r="2575" spans="1:8" x14ac:dyDescent="0.25">
      <c r="A2575" t="s">
        <v>410</v>
      </c>
      <c r="B2575">
        <v>786</v>
      </c>
      <c r="C2575" s="1">
        <v>142</v>
      </c>
      <c r="D2575" s="5">
        <v>44159</v>
      </c>
      <c r="E2575" t="str">
        <f>"202011240275"</f>
        <v>202011240275</v>
      </c>
      <c r="F2575" t="str">
        <f t="shared" si="58"/>
        <v>ACCT#72-5613 / 11032020</v>
      </c>
      <c r="G2575" s="1">
        <v>142</v>
      </c>
      <c r="H2575" t="str">
        <f t="shared" si="57"/>
        <v>ACCT#72-5613 / 11032020</v>
      </c>
    </row>
    <row r="2576" spans="1:8" x14ac:dyDescent="0.25">
      <c r="A2576" t="s">
        <v>263</v>
      </c>
      <c r="B2576">
        <v>785</v>
      </c>
      <c r="C2576" s="1">
        <v>82.73</v>
      </c>
      <c r="D2576" s="5">
        <v>44159</v>
      </c>
      <c r="E2576" t="str">
        <f>"202011240274"</f>
        <v>202011240274</v>
      </c>
      <c r="F2576" t="str">
        <f t="shared" si="58"/>
        <v>ACCT#72-5613 / 11032020</v>
      </c>
      <c r="G2576" s="1">
        <v>82.73</v>
      </c>
      <c r="H2576" t="str">
        <f t="shared" si="57"/>
        <v>ACCT#72-5613 / 11032020</v>
      </c>
    </row>
    <row r="2577" spans="1:8" x14ac:dyDescent="0.25">
      <c r="A2577" t="s">
        <v>264</v>
      </c>
      <c r="B2577">
        <v>793</v>
      </c>
      <c r="C2577" s="1">
        <v>333.9</v>
      </c>
      <c r="D2577" s="5">
        <v>44159</v>
      </c>
      <c r="E2577" t="str">
        <f>"202011240282"</f>
        <v>202011240282</v>
      </c>
      <c r="F2577" t="str">
        <f t="shared" si="58"/>
        <v>ACCT#72-5613 / 11032020</v>
      </c>
      <c r="G2577" s="1">
        <v>333.9</v>
      </c>
      <c r="H2577" t="str">
        <f t="shared" si="57"/>
        <v>ACCT#72-5613 / 11032020</v>
      </c>
    </row>
    <row r="2578" spans="1:8" x14ac:dyDescent="0.25">
      <c r="A2578" t="s">
        <v>411</v>
      </c>
      <c r="B2578">
        <v>796</v>
      </c>
      <c r="C2578" s="1">
        <v>535</v>
      </c>
      <c r="D2578" s="5">
        <v>44159</v>
      </c>
      <c r="E2578" t="str">
        <f>"202011240285"</f>
        <v>202011240285</v>
      </c>
      <c r="F2578" t="str">
        <f t="shared" si="58"/>
        <v>ACCT#72-5613 / 11032020</v>
      </c>
      <c r="G2578" s="1">
        <v>535</v>
      </c>
      <c r="H2578" t="str">
        <f t="shared" si="57"/>
        <v>ACCT#72-5613 / 11032020</v>
      </c>
    </row>
    <row r="2579" spans="1:8" x14ac:dyDescent="0.25">
      <c r="A2579" t="s">
        <v>412</v>
      </c>
      <c r="B2579">
        <v>794</v>
      </c>
      <c r="C2579" s="1">
        <v>113.75</v>
      </c>
      <c r="D2579" s="5">
        <v>44159</v>
      </c>
      <c r="E2579" t="str">
        <f>"202011240283"</f>
        <v>202011240283</v>
      </c>
      <c r="F2579" t="str">
        <f t="shared" si="58"/>
        <v>ACCT#72-5613 / 11032020</v>
      </c>
      <c r="G2579" s="1">
        <v>113.75</v>
      </c>
      <c r="H2579" t="str">
        <f t="shared" si="57"/>
        <v>ACCT#72-5613 / 11032020</v>
      </c>
    </row>
    <row r="2580" spans="1:8" x14ac:dyDescent="0.25">
      <c r="A2580" t="s">
        <v>413</v>
      </c>
      <c r="B2580">
        <v>798</v>
      </c>
      <c r="C2580" s="1">
        <v>95.97</v>
      </c>
      <c r="D2580" s="5">
        <v>44159</v>
      </c>
      <c r="E2580" t="str">
        <f>"202011240287"</f>
        <v>202011240287</v>
      </c>
      <c r="F2580" t="str">
        <f t="shared" si="58"/>
        <v>ACCT#72-5613 / 11032020</v>
      </c>
      <c r="G2580" s="1">
        <v>95.97</v>
      </c>
      <c r="H2580" t="str">
        <f t="shared" si="57"/>
        <v>ACCT#72-5613 / 11032020</v>
      </c>
    </row>
    <row r="2581" spans="1:8" x14ac:dyDescent="0.25">
      <c r="E2581" t="str">
        <f>""</f>
        <v/>
      </c>
      <c r="F2581" t="str">
        <f>""</f>
        <v/>
      </c>
      <c r="H2581" t="str">
        <f t="shared" si="57"/>
        <v>ACCT#72-5613 / 11032020</v>
      </c>
    </row>
    <row r="2582" spans="1:8" x14ac:dyDescent="0.25">
      <c r="E2582" t="str">
        <f>""</f>
        <v/>
      </c>
      <c r="F2582" t="str">
        <f>""</f>
        <v/>
      </c>
      <c r="H2582" t="str">
        <f t="shared" si="57"/>
        <v>ACCT#72-5613 / 11032020</v>
      </c>
    </row>
    <row r="2583" spans="1:8" x14ac:dyDescent="0.25">
      <c r="A2583" t="s">
        <v>403</v>
      </c>
      <c r="B2583">
        <v>800</v>
      </c>
      <c r="C2583" s="1">
        <v>0</v>
      </c>
      <c r="D2583" s="5">
        <v>44159</v>
      </c>
      <c r="E2583" t="str">
        <f>"202011240289"</f>
        <v>202011240289</v>
      </c>
      <c r="F2583" t="str">
        <f>"ACCT#72-5613 / 11032020"</f>
        <v>ACCT#72-5613 / 11032020</v>
      </c>
      <c r="G2583" s="1">
        <v>-43.07</v>
      </c>
      <c r="H2583" t="str">
        <f t="shared" si="57"/>
        <v>ACCT#72-5613 / 11032020</v>
      </c>
    </row>
    <row r="2584" spans="1:8" x14ac:dyDescent="0.25">
      <c r="E2584" t="str">
        <f>"202011240291"</f>
        <v>202011240291</v>
      </c>
      <c r="F2584" t="str">
        <f>"ACCT#72-5613 / 11032020"</f>
        <v>ACCT#72-5613 / 11032020</v>
      </c>
      <c r="G2584" s="1">
        <v>43.07</v>
      </c>
      <c r="H2584" t="str">
        <f t="shared" si="57"/>
        <v>ACCT#72-5613 / 11032020</v>
      </c>
    </row>
    <row r="2585" spans="1:8" x14ac:dyDescent="0.25">
      <c r="A2585" t="s">
        <v>414</v>
      </c>
      <c r="B2585">
        <v>799</v>
      </c>
      <c r="C2585" s="1">
        <v>17420.240000000002</v>
      </c>
      <c r="D2585" s="5">
        <v>44159</v>
      </c>
      <c r="E2585" t="str">
        <f>"202011240290"</f>
        <v>202011240290</v>
      </c>
      <c r="F2585" t="str">
        <f>"ACCT#72-5613 / 11032020"</f>
        <v>ACCT#72-5613 / 11032020</v>
      </c>
      <c r="G2585" s="1">
        <v>17420.240000000002</v>
      </c>
      <c r="H2585" t="str">
        <f t="shared" si="57"/>
        <v>ACCT#72-5613 / 11032020</v>
      </c>
    </row>
    <row r="2586" spans="1:8" ht="15.75" thickBot="1" x14ac:dyDescent="0.3">
      <c r="C2586" s="6">
        <f>SUM(C2:C2585)</f>
        <v>5182614.7300000014</v>
      </c>
      <c r="G2586" s="6">
        <f>SUM(G2:G2585)</f>
        <v>5182614.7299999977</v>
      </c>
    </row>
    <row r="2587" spans="1:8" ht="15.75" thickTop="1" x14ac:dyDescent="0.25"/>
  </sheetData>
  <autoFilter ref="A1:H258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AP-CHK-RPT-20210324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2021-03-24T14:08:10Z</dcterms:created>
  <dcterms:modified xsi:type="dcterms:W3CDTF">2021-03-24T14:23:01Z</dcterms:modified>
</cp:coreProperties>
</file>