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May 2021" sheetId="1" r:id="rId1"/>
  </sheets>
  <definedNames>
    <definedName name="_xlnm._FilterDatabase" localSheetId="0" hidden="1">'May 2021'!$A$1:$H$1</definedName>
  </definedNames>
  <calcPr calcId="0"/>
</workbook>
</file>

<file path=xl/calcChain.xml><?xml version="1.0" encoding="utf-8"?>
<calcChain xmlns="http://schemas.openxmlformats.org/spreadsheetml/2006/main">
  <c r="C2689" i="1" l="1"/>
  <c r="G2689" i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</calcChain>
</file>

<file path=xl/sharedStrings.xml><?xml version="1.0" encoding="utf-8"?>
<sst xmlns="http://schemas.openxmlformats.org/spreadsheetml/2006/main" count="503" uniqueCount="380">
  <si>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</si>
  <si>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</si>
  <si>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</si>
  <si>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</si>
  <si>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</si>
  <si>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</si>
  <si>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</si>
  <si>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</si>
  <si>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</si>
  <si>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973 MATERIALS  LLC</t>
  </si>
  <si>
    <t>A PLUS BAIL BONDS</t>
  </si>
  <si>
    <t>ARNOLD OIL COMPANY OF AUSTIN LP</t>
  </si>
  <si>
    <t>HAVERDA ENTERPRISES INC</t>
  </si>
  <si>
    <t>ADAM DAKOTA ROWINS</t>
  </si>
  <si>
    <t>ADAM MARSHALL</t>
  </si>
  <si>
    <t>ADENA LEWIS</t>
  </si>
  <si>
    <t>ALAMO  GROUP (TX)  INC</t>
  </si>
  <si>
    <t>ALBERT NEAL PFEIFFER</t>
  </si>
  <si>
    <t>ALEXANDER YOUNG</t>
  </si>
  <si>
    <t>TIMOTHY HALL</t>
  </si>
  <si>
    <t>1ALL STAR ROLL OFF AND BACKHOE SERVICES LLC</t>
  </si>
  <si>
    <t>AMANDA VASQUEZ</t>
  </si>
  <si>
    <t>AMAZON CAPITAL SERVICES INC</t>
  </si>
  <si>
    <t>AMERICAN FASTENERS  INC.</t>
  </si>
  <si>
    <t>ANDERSON &amp; ANDERSON LAW FIRM PC</t>
  </si>
  <si>
    <t>ANDERSON MACHINERY AUSTIN INC</t>
  </si>
  <si>
    <t>ANTONIO R VILLAFRANCA</t>
  </si>
  <si>
    <t>C APPLEMAN ENT INC</t>
  </si>
  <si>
    <t>AQUA BEVERAGE COMPANY/OZARKA</t>
  </si>
  <si>
    <t>AQUA WATER SUPPLY CORPORATION</t>
  </si>
  <si>
    <t>ARA / ST.DAVID'S IMAGING  LP</t>
  </si>
  <si>
    <t>ARSENAL ADVERTISING LLC</t>
  </si>
  <si>
    <t>ASCENSION SETON</t>
  </si>
  <si>
    <t>ASHLEY HERMANS</t>
  </si>
  <si>
    <t>AT&amp;T</t>
  </si>
  <si>
    <t>AT&amp;T MOBILITY</t>
  </si>
  <si>
    <t>ATLANCO  LLC</t>
  </si>
  <si>
    <t>THE AUBAINE SUPPLY COMPANY  INC</t>
  </si>
  <si>
    <t>GATEHOUSE MEDIA TEXAS HOLDINGS II  INC.</t>
  </si>
  <si>
    <t>AUSTIN TITLE COMPANY</t>
  </si>
  <si>
    <t>AUTUMN CHEEK</t>
  </si>
  <si>
    <t>JIM ATTRA INC</t>
  </si>
  <si>
    <t>MICHAEL OLDHAM TIRE INC</t>
  </si>
  <si>
    <t>EDUARDO BARRIENTOS</t>
  </si>
  <si>
    <t>BASTROP CENTRAL APPRAISAL DIST.</t>
  </si>
  <si>
    <t>BASTROP COUNTY SHERIFF'S DEPT</t>
  </si>
  <si>
    <t>DANIEL L HEPKER</t>
  </si>
  <si>
    <t>BASTROP COUNTY TAX ASSESSOR</t>
  </si>
  <si>
    <t>BASTROP COUNTY CARES</t>
  </si>
  <si>
    <t>BASTROP MEDICAL CLINIC</t>
  </si>
  <si>
    <t>BASTROP POLICE DEPT</t>
  </si>
  <si>
    <t>BASTROP PROVIDENCE  LLC</t>
  </si>
  <si>
    <t>DAVID H OUTON</t>
  </si>
  <si>
    <t>BELL COUNTY</t>
  </si>
  <si>
    <t>BEN E KEITH CO.</t>
  </si>
  <si>
    <t>BENTON ESKEW</t>
  </si>
  <si>
    <t>BERAN'S GIN MILL &amp; FEED CO  LP</t>
  </si>
  <si>
    <t>B C FOOD GROUP  LLC</t>
  </si>
  <si>
    <t>BIG CITY CRUSHED CONCRETE  LLC</t>
  </si>
  <si>
    <t>BIG WRENCH ROAD SERVICE INC</t>
  </si>
  <si>
    <t>BIMBO FOODS INC</t>
  </si>
  <si>
    <t>BLUEBONNET AREA CRIME STOPPERS PROGRAM</t>
  </si>
  <si>
    <t>BLUEBONNET ELECTRIC COOPERATIVE  INC.</t>
  </si>
  <si>
    <t>BLUEBONNET TRAILS MHMR</t>
  </si>
  <si>
    <t>BOEHM TRACTOR SALES INC</t>
  </si>
  <si>
    <t>BOEHRINGER INGELHEIM ANIMAL HEALTH USA INC.</t>
  </si>
  <si>
    <t>BRAUNTEX MATERIALS INC</t>
  </si>
  <si>
    <t>BUREAU OF VITAL STATISTICS</t>
  </si>
  <si>
    <t>CALBRI ROAD &amp; BRIDGE LLC</t>
  </si>
  <si>
    <t>CAPITAL AREA COUNCIL OF GOVERNMENTS</t>
  </si>
  <si>
    <t>TIB-THE INDEPENDENT BANKERS BANK</t>
  </si>
  <si>
    <t>CDW GOVERNMENT INC</t>
  </si>
  <si>
    <t>CENTERPOINT ENERGY</t>
  </si>
  <si>
    <t>CENTEX MATERIALS LLC</t>
  </si>
  <si>
    <t>TIMOTHY LYLE HENNING</t>
  </si>
  <si>
    <t>CHARM-TEX</t>
  </si>
  <si>
    <t>ANTHONY WOODS</t>
  </si>
  <si>
    <t>CHILDREN'S ADVOCACY CENTER</t>
  </si>
  <si>
    <t>CHRIS MATT DILLON</t>
  </si>
  <si>
    <t>CINTAS</t>
  </si>
  <si>
    <t>CINTAS CORPORATION</t>
  </si>
  <si>
    <t>CITIBANK</t>
  </si>
  <si>
    <t>CITY OF BASTROP</t>
  </si>
  <si>
    <t>CITY OF SMITHVILLE</t>
  </si>
  <si>
    <t>CLIFFORD POWER SYSTEMS INC</t>
  </si>
  <si>
    <t>CLINICAL PATHOLOGY LABORATORIES INC</t>
  </si>
  <si>
    <t>CLINICAL PATHOLOGY ASSOC. OF AUSTIN</t>
  </si>
  <si>
    <t>MICHAEL L. SELVES</t>
  </si>
  <si>
    <t>COMMUNITY COFFEE COMPANY LLC</t>
  </si>
  <si>
    <t>CONTECH ENGINEERED SOLUTIONS INC</t>
  </si>
  <si>
    <t>CONVERGENCE CABLING  INC.</t>
  </si>
  <si>
    <t>COOPER EQUIPMENT CO.</t>
  </si>
  <si>
    <t>BUTLER ANIMAL HEALTH HOLDING COMPANY  LLC</t>
  </si>
  <si>
    <t>CRESSIDA EVELYN KWOLEK  Ph.D.</t>
  </si>
  <si>
    <t>CUSTOM PRODUCTS CORPORATION</t>
  </si>
  <si>
    <t>DALLAS COUNTY CONSTABLE PCT 1</t>
  </si>
  <si>
    <t>DARLON J. SOJAK</t>
  </si>
  <si>
    <t>DAVID M COLLINS</t>
  </si>
  <si>
    <t>DAVID NEWMAN</t>
  </si>
  <si>
    <t>DEAN DAIRY CORPORATE  LLC</t>
  </si>
  <si>
    <t>DELL</t>
  </si>
  <si>
    <t>DEREK KEY</t>
  </si>
  <si>
    <t>DIANA P TRIANA</t>
  </si>
  <si>
    <t>TEXAS DEPARTMENT OF INFORMATION RESOURCES</t>
  </si>
  <si>
    <t>WEBBERVILLE PROPANE</t>
  </si>
  <si>
    <t>DONNIE STARK</t>
  </si>
  <si>
    <t>DOUBLE D INTERNATIONAL FOOD CO.  INC.</t>
  </si>
  <si>
    <t>DOUBLE TUFF TRUCK TARPS INC</t>
  </si>
  <si>
    <t>DUNNE &amp; JUAREZ L.L.C.</t>
  </si>
  <si>
    <t>DAVID MCMULLEN</t>
  </si>
  <si>
    <t>ECOLAB INC</t>
  </si>
  <si>
    <t>ELANCO US INC</t>
  </si>
  <si>
    <t>BLACKLANDS PUBLICATIONS INC</t>
  </si>
  <si>
    <t>RALPH DAVID GLASS</t>
  </si>
  <si>
    <t>ELGIN POLICE DEPARTMENT</t>
  </si>
  <si>
    <t>CITY OF ELGIN UTILITIES</t>
  </si>
  <si>
    <t>ERGON ASPHALT &amp; EMULSIONS INC</t>
  </si>
  <si>
    <t>EWALD KUBOTA  INC.</t>
  </si>
  <si>
    <t>FAMILY HEALTH CENTER OF BASTROP PLLC</t>
  </si>
  <si>
    <t>FBI-LEEDA INC</t>
  </si>
  <si>
    <t>FEDERAL EXPRESS</t>
  </si>
  <si>
    <t>FIRST NATIONAL BANK</t>
  </si>
  <si>
    <t>FLEETPRIDE</t>
  </si>
  <si>
    <t>FORREST L. SANDERSON</t>
  </si>
  <si>
    <t>FRANCES HUNTER</t>
  </si>
  <si>
    <t>AUSTIN TRUCK AND EQUIPMENT  LTD</t>
  </si>
  <si>
    <t>EUGENE W BRIGGS JR</t>
  </si>
  <si>
    <t>GALLS PARENT HOLDINGS LLC</t>
  </si>
  <si>
    <t>GARLAND T MURLEY</t>
  </si>
  <si>
    <t>GARMENTS TO GO  INC</t>
  </si>
  <si>
    <t>GIPSON PENDERGRASS PEOPLE'S MORTUARY LLC</t>
  </si>
  <si>
    <t>GLORIA BENSON</t>
  </si>
  <si>
    <t>GOVERNMENT FINANCE OFFICERS ASSN</t>
  </si>
  <si>
    <t>GRAINGER INC</t>
  </si>
  <si>
    <t>GRAPEVINE DODGE CHRYSLER JEEP  LLC</t>
  </si>
  <si>
    <t>GREG E NORMAN</t>
  </si>
  <si>
    <t>GT DISTRIBUTORS  INC.</t>
  </si>
  <si>
    <t>GTS TECHNOLOGY SOLUTIONS  INC.</t>
  </si>
  <si>
    <t>GULF COAST PAPER CO. INC.</t>
  </si>
  <si>
    <t>H&amp;H OIL  L.P.</t>
  </si>
  <si>
    <t>HARDIN COUNTY CONSTABLE  PCT 3</t>
  </si>
  <si>
    <t>HARRIS COUNTY CONSTABLE PCT 1</t>
  </si>
  <si>
    <t>HCI</t>
  </si>
  <si>
    <t>BASCOM L HODGES JR</t>
  </si>
  <si>
    <t>HODGSON G ECKEL</t>
  </si>
  <si>
    <t>HOLLY TUCKER</t>
  </si>
  <si>
    <t>BD HOLT CO</t>
  </si>
  <si>
    <t>CITIBANK (SOUTH DAKOTA)N.A./THE HOME DEPOT</t>
  </si>
  <si>
    <t>NORTHWEST CASCADE INC</t>
  </si>
  <si>
    <t>GREGORY LUCAS</t>
  </si>
  <si>
    <t>HEAT TRANSFER SOLUTIONS  INC.</t>
  </si>
  <si>
    <t>HYDRAULIC HOUSE INC</t>
  </si>
  <si>
    <t>ICS</t>
  </si>
  <si>
    <t>IDEXX DISTRIBUTION INC</t>
  </si>
  <si>
    <t>INDUSTRIAL LAMINATES CORPORATION</t>
  </si>
  <si>
    <t>INDIGENT HEALTHCARE SOLUTIONS</t>
  </si>
  <si>
    <t>IRON MOUNTAIN RECORDS MGMT INC</t>
  </si>
  <si>
    <t>JAMES MILLER</t>
  </si>
  <si>
    <t>JEFFERSON COUNTY CONSTABLE PCT 1</t>
  </si>
  <si>
    <t>JENKINS &amp; JENKINS LLP</t>
  </si>
  <si>
    <t>JO DAWN BOMAR</t>
  </si>
  <si>
    <t>JOHNNA GRIFFITH</t>
  </si>
  <si>
    <t>JOHNNIE SCHROEDER  JR.</t>
  </si>
  <si>
    <t>JOSEPH HURTADO</t>
  </si>
  <si>
    <t>BILLY JOSHUA GILL</t>
  </si>
  <si>
    <t>JUSTIN MATTHEW FOHN</t>
  </si>
  <si>
    <t>KAREN STARKS</t>
  </si>
  <si>
    <t>KAYCI SCHULTZ WATSON</t>
  </si>
  <si>
    <t>MAX ACOSTA-RUBIO</t>
  </si>
  <si>
    <t>KEN'S BODY SHOP  LLC</t>
  </si>
  <si>
    <t>KENNETH LIMUEL</t>
  </si>
  <si>
    <t>KENT BROUSSARD TOWER RENTAL INC</t>
  </si>
  <si>
    <t>KNIGHT SECURITY SYSTEMS LLC</t>
  </si>
  <si>
    <t>KOETTER FIRE PROTECTION OF AUSTIN  LLC</t>
  </si>
  <si>
    <t>LONGHORN INTERNATIONAL TRUCKS LTD</t>
  </si>
  <si>
    <t>THE LA GRANGE PARTS HOUSE INC</t>
  </si>
  <si>
    <t>LABATT INSTITUTIONAL SUPPLY CO</t>
  </si>
  <si>
    <t>LAKE COUNTRY CHEVROLET  INC.</t>
  </si>
  <si>
    <t>LAURA ROBERTSON</t>
  </si>
  <si>
    <t>LUCIO LEAL</t>
  </si>
  <si>
    <t>LEE COUNTY WATER SUPPLY CORP</t>
  </si>
  <si>
    <t>LEXISNEXIS RISK DATA MGMT INC</t>
  </si>
  <si>
    <t>LIBERTY TIRE RECYCLING</t>
  </si>
  <si>
    <t>LINDSEY SIMMONS</t>
  </si>
  <si>
    <t>LIQUID ENVIRONMENTAL SOLUTIONS</t>
  </si>
  <si>
    <t>LONE STAR CIRCLE OF CARE</t>
  </si>
  <si>
    <t>UNITED KWB COLLABORATIONS LLC</t>
  </si>
  <si>
    <t>LONNIE LAWRENCE DAVIS JR</t>
  </si>
  <si>
    <t>SCOTT BRYANT</t>
  </si>
  <si>
    <t>MANATRON  INC</t>
  </si>
  <si>
    <t>MARK MEUTH</t>
  </si>
  <si>
    <t>JOHN W GASPARINI INC</t>
  </si>
  <si>
    <t>MARY BETH SCOTT</t>
  </si>
  <si>
    <t>MATHESON TRI-GAS INC</t>
  </si>
  <si>
    <t>McCREARY  VESELKA  BRAGG &amp; ALLEN P</t>
  </si>
  <si>
    <t>McKESSON MEDICAL-SURGICAL GOVERNMENT SOLUTIONS LLC</t>
  </si>
  <si>
    <t>MEDIMPACT HEALTHCARE SYSTEMS INC</t>
  </si>
  <si>
    <t>INTERVET INC</t>
  </si>
  <si>
    <t>MICHELE FRITSCHE C.S.R.</t>
  </si>
  <si>
    <t>MIDTEX MATERIALS</t>
  </si>
  <si>
    <t>MIDTOWN UROLOGY ASSOCIATES</t>
  </si>
  <si>
    <t>MILLER VETERINARY SUPPLY CO INC</t>
  </si>
  <si>
    <t>MIRIAM CORONADO</t>
  </si>
  <si>
    <t>ADAM HAROLD STAGMAN</t>
  </si>
  <si>
    <t>GREGORY N BICKWERMERT</t>
  </si>
  <si>
    <t>GAIL BELLAH MCDONALD</t>
  </si>
  <si>
    <t>JEANNIE MARIE RICHTER</t>
  </si>
  <si>
    <t>BRAD MARTIN LINDGREN</t>
  </si>
  <si>
    <t>RONALD DWAYNE DANIELS</t>
  </si>
  <si>
    <t>RONALD DALE BLACKMORE</t>
  </si>
  <si>
    <t>THOMAS EDWARD WHITE</t>
  </si>
  <si>
    <t>RONA MICHELLE SHEERAN</t>
  </si>
  <si>
    <t>SAMELLA THOMPSON WILLIAMS</t>
  </si>
  <si>
    <t>STEVE RAY CHAMBERLAIN</t>
  </si>
  <si>
    <t>MOTOROLA SOLUTIONS  IN.C</t>
  </si>
  <si>
    <t>MOUNTAIN WEST DERM-AUSTIN PLLC</t>
  </si>
  <si>
    <t>EK&amp;R ENTERPRISES  INC</t>
  </si>
  <si>
    <t>NATHAN BOYER</t>
  </si>
  <si>
    <t>NATIONAL FOOD GROUP INC</t>
  </si>
  <si>
    <t>NETPROTEC LLC</t>
  </si>
  <si>
    <t>NORTHWEST SURGERY CENTER LLP</t>
  </si>
  <si>
    <t>NUECES FARM CENTER</t>
  </si>
  <si>
    <t>O'REILLY AUTOMOTIVE  INC.</t>
  </si>
  <si>
    <t>OFFICE DEPOT</t>
  </si>
  <si>
    <t>ON SITE SERVICES</t>
  </si>
  <si>
    <t>ROGER C. OSBORN</t>
  </si>
  <si>
    <t>P SQUARED EMULSION PLANTS  LLC</t>
  </si>
  <si>
    <t>PAIGE TRACTORS INC</t>
  </si>
  <si>
    <t>PAPER RETRIEVER OF TEXAS</t>
  </si>
  <si>
    <t>SL PARKER PARTNERSHIP LLC</t>
  </si>
  <si>
    <t>PATTERSON  VETERINARY SUPPLY INC</t>
  </si>
  <si>
    <t>PAUL GRANADO</t>
  </si>
  <si>
    <t>PHILIP L HALL</t>
  </si>
  <si>
    <t>PHILIP R DUCLOUX</t>
  </si>
  <si>
    <t>PHILLIP N. SLAUGHTER</t>
  </si>
  <si>
    <t>CLYDE HAYWOOD SR</t>
  </si>
  <si>
    <t>PB PROFESSIONAL SERVICES INC</t>
  </si>
  <si>
    <t>PM WILSON &amp; ASSOCIATES PLLC</t>
  </si>
  <si>
    <t>POSTMASTER</t>
  </si>
  <si>
    <t>JOHN DEERE FINANCIAL f.s.b.</t>
  </si>
  <si>
    <t>PROGRESSIVE - RESTITUTION ACCT</t>
  </si>
  <si>
    <t>PYE-BARKER FIRE &amp; SAFETY LLC</t>
  </si>
  <si>
    <t>QUEST DIAGNOSTICS CLINICAL LABORATORIES</t>
  </si>
  <si>
    <t>RC HEALTH SERVICES  INC.</t>
  </si>
  <si>
    <t>NESTLE WATERS N AMERICA INC</t>
  </si>
  <si>
    <t>REBECCA STRNAD</t>
  </si>
  <si>
    <t>RED WING BUSINESS ADVANTAGE ACCOUNT</t>
  </si>
  <si>
    <t>NRG ENERGY INC</t>
  </si>
  <si>
    <t>REPUBLIC TRUCK SALES   PARTS  &amp; REPAIRS LLC</t>
  </si>
  <si>
    <t>RESERVE ACCOUNT</t>
  </si>
  <si>
    <t>RICOH USA INC</t>
  </si>
  <si>
    <t>CIT TECHNOLOGY FINANCE</t>
  </si>
  <si>
    <t>ROADRUNNER RADIOLOGY EQUIP LLC</t>
  </si>
  <si>
    <t>ROBERT E CANTU M.D. P.A.</t>
  </si>
  <si>
    <t>ROBERT MADDEN INDUSTRIES LTD</t>
  </si>
  <si>
    <t>ROCKY ROAD PRINTING</t>
  </si>
  <si>
    <t>RODERICK DEWAYNE MOORE</t>
  </si>
  <si>
    <t>ROOD AND RIDDLE VETERINARY HOSP</t>
  </si>
  <si>
    <t>ROSE PIETSCH COUNTY CLERK</t>
  </si>
  <si>
    <t>RURAL ASSN FOR COURT ADMINISTRATION</t>
  </si>
  <si>
    <t>RUSH CHEVROLET LLC</t>
  </si>
  <si>
    <t>RUSTY COOK</t>
  </si>
  <si>
    <t>SAM HOUSTON STATE UNIVERSITY</t>
  </si>
  <si>
    <t>SAMMY LERMA III MD</t>
  </si>
  <si>
    <t>SECURUS TECHNOLOGIES INC</t>
  </si>
  <si>
    <t>SETON HEALTHCARE SPONSORED PROJECTS</t>
  </si>
  <si>
    <t>SHARON HANCOCK</t>
  </si>
  <si>
    <t>SHI GOVERNMENT SOLUTIONS INC.</t>
  </si>
  <si>
    <t>SHOPPA'S FARM SUPPLY</t>
  </si>
  <si>
    <t>SHRED-IT US HOLDCO  INC</t>
  </si>
  <si>
    <t>JANINE FEMINELLA</t>
  </si>
  <si>
    <t>RONALD JOHN CALDWELL JR</t>
  </si>
  <si>
    <t>SINGLETON ASSOCIATES  PA</t>
  </si>
  <si>
    <t>SKYLINE EQUIPMENT LLC</t>
  </si>
  <si>
    <t>SMITH SUPPLY CO.  INC.</t>
  </si>
  <si>
    <t>SMITHVILLE AUTO PARTS  INC</t>
  </si>
  <si>
    <t>SMITHVILLE POLICE DEPT.</t>
  </si>
  <si>
    <t>SOLARWINDS</t>
  </si>
  <si>
    <t>SOUTH AUSTIN SURGERY CENTER</t>
  </si>
  <si>
    <t>SOUTH CENTRAL PLANNING AND DEVELOPMENT COMMISSION</t>
  </si>
  <si>
    <t>SOUTHERN COMPUTER WAREHOUSE INC</t>
  </si>
  <si>
    <t>SOUTHERN TIRE MART LLC</t>
  </si>
  <si>
    <t>DS WATERS OF AMERICA INC</t>
  </si>
  <si>
    <t>SRIDHAR P REDDY MD PA</t>
  </si>
  <si>
    <t>ST DAVID'S HEALTHCARE PARTNERSHIP</t>
  </si>
  <si>
    <t>ST. DAVIDS HEART &amp; VASCULAR  PLLC</t>
  </si>
  <si>
    <t>STAPLES  INC.</t>
  </si>
  <si>
    <t>STATE OF TEXAS</t>
  </si>
  <si>
    <t>STEGER &amp; BIZZELL ENGINEERING  INC</t>
  </si>
  <si>
    <t>STERICYCLE  INC.</t>
  </si>
  <si>
    <t>STEVE GRANADO</t>
  </si>
  <si>
    <t>STOP STICK  LTD</t>
  </si>
  <si>
    <t>STURDYBILT BLDGS  LLC</t>
  </si>
  <si>
    <t>SUN COAST RESOURCES</t>
  </si>
  <si>
    <t>T-MOBILE USA</t>
  </si>
  <si>
    <t>T4 DISTRIBUTION  LLC</t>
  </si>
  <si>
    <t>TEXAS A&amp;M ENGINEERING EXTENSION SERVICE</t>
  </si>
  <si>
    <t>TEJAS ELEVATOR COMPANY</t>
  </si>
  <si>
    <t>AIR RELIEF TECHNOLOGIES  INC</t>
  </si>
  <si>
    <t>TEX-CON OIL CO</t>
  </si>
  <si>
    <t>TEXAS AMERICAN TITLE COMPANY - INDEPENDENCE TITLE</t>
  </si>
  <si>
    <t>TEXAS ASSOCIATES INSURORS AGENCY</t>
  </si>
  <si>
    <t>TEXAS ASSOCIATION OF COUNTIES</t>
  </si>
  <si>
    <t>TEXAS CORRUGATORS INC</t>
  </si>
  <si>
    <t>TEXAS COUNTY &amp; DISTRICT RETIREMENT SYSTEM</t>
  </si>
  <si>
    <t>C. MOORE INC.</t>
  </si>
  <si>
    <t>TEXAS DEPT OF PUBLIC SAFETY</t>
  </si>
  <si>
    <t>TEXAS DISPOSAL SYSTEMS  INC.</t>
  </si>
  <si>
    <t>TXFACT  LLC</t>
  </si>
  <si>
    <t>TEXAS JUSTICE COURT TRAINING CENTER</t>
  </si>
  <si>
    <t>TEXAS STATE UNIVERSITY</t>
  </si>
  <si>
    <t>TEXAS MATERIALS GROUP  INC.</t>
  </si>
  <si>
    <t>TEXAS PARKS &amp; WILDLIFE DEPARTMENT</t>
  </si>
  <si>
    <t>BRETT DENNEY</t>
  </si>
  <si>
    <t>TEXAS POLICE TRAINERS LLC</t>
  </si>
  <si>
    <t>TEXAS VISION CLINIC  PLLC</t>
  </si>
  <si>
    <t>BUG MASTER EXTERMINATING SERVICES  LTD</t>
  </si>
  <si>
    <t>RICHARD NELSON MOORE</t>
  </si>
  <si>
    <t>THEIRA BURKLEY</t>
  </si>
  <si>
    <t>WEST PUBLISHING CORPORATION</t>
  </si>
  <si>
    <t>TWE-ADVANCE/NEWHOUSE PARTNERSHIP</t>
  </si>
  <si>
    <t>TELVA D KESLER</t>
  </si>
  <si>
    <t>TRAVIS COUNTY CONSTABLE PCT 5</t>
  </si>
  <si>
    <t>TRAVIS COUNTY EMERGENCY PHYSICIANS PA</t>
  </si>
  <si>
    <t>TRAVIS COUNTY MEDICAL EXAMINER</t>
  </si>
  <si>
    <t>TRAVIS MATERIALS GROUP LTD</t>
  </si>
  <si>
    <t>TREEFOLKS INC</t>
  </si>
  <si>
    <t>TULL FARLEY</t>
  </si>
  <si>
    <t>TWISTED WRENCHES FLEET SERVICE LLC</t>
  </si>
  <si>
    <t>TYLER TECHNOLOGIES INC</t>
  </si>
  <si>
    <t>ULINE  INC.</t>
  </si>
  <si>
    <t>UNITED REFRIGERATION INC</t>
  </si>
  <si>
    <t>SETON FAMILY OF HOSPITALS</t>
  </si>
  <si>
    <t>V H BLACKINTON &amp; CO INC</t>
  </si>
  <si>
    <t>TEXAS DEPARTMENT OF STATE HEALTH SERVICES</t>
  </si>
  <si>
    <t>VOTEC CORPORATION</t>
  </si>
  <si>
    <t>US BANK NA</t>
  </si>
  <si>
    <t>VTX COMMUNICATIONS  LLC</t>
  </si>
  <si>
    <t>WAGEWORKS INC  FSA/HSA</t>
  </si>
  <si>
    <t>WALLER COUNTY ASPHALT INC</t>
  </si>
  <si>
    <t>WASHING EQUIPMENT OF TEXAS</t>
  </si>
  <si>
    <t>WASTE CONNECTIONS LONE STAR. INC.</t>
  </si>
  <si>
    <t>WASTE MANAGEMENT OF TEXAS  INC</t>
  </si>
  <si>
    <t>WATCH GUARD VIDEO</t>
  </si>
  <si>
    <t>WAYNE WOOD</t>
  </si>
  <si>
    <t>WIND KNOT INCORPORATED</t>
  </si>
  <si>
    <t>WELLS FARGO BANK  NA</t>
  </si>
  <si>
    <t>MAO PHARMACY INC</t>
  </si>
  <si>
    <t>WHITCO MANUFACTURING</t>
  </si>
  <si>
    <t>WINZER CORPORATION</t>
  </si>
  <si>
    <t>ZBATTERY.COM INC</t>
  </si>
  <si>
    <t>ZOETIS US LLC</t>
  </si>
  <si>
    <t>304 CONSTRUCTION LLC</t>
  </si>
  <si>
    <t>DESMAR WALKES</t>
  </si>
  <si>
    <t>LANGFORD COMMUNITY MGMT INC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</si>
  <si>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</si>
  <si>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</si>
  <si>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</si>
  <si>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</si>
  <si>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</si>
  <si>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</si>
  <si>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INDIANA STATE CENTRAL COLLECTION UNIT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</si>
  <si>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</si>
  <si>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</si>
  <si>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</si>
  <si>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</si>
  <si>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</si>
  <si>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</si>
  <si>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</si>
  <si>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360 TRAINING.COM INC</t>
  </si>
  <si>
    <t>AUTOZONE PARTS  INC.</t>
  </si>
  <si>
    <t>MULTI SERVICE TECHNOLOGY SOLUTIONS  INC.</t>
  </si>
  <si>
    <t>MODERN RESORT LODGING  LLC</t>
  </si>
  <si>
    <t>DE VRIES SPECIALTIES  INC</t>
  </si>
  <si>
    <t>DICKENS LOCKSMITH INC</t>
  </si>
  <si>
    <t>KAL HOTELS  LLC</t>
  </si>
  <si>
    <t>ISLAND HOSPITALITY MANAGEMENT INC</t>
  </si>
  <si>
    <t>RIO GRANDE VALLEY  HOSPITAL SRVICES PLLC</t>
  </si>
  <si>
    <t>THE BUFFALO TRADING COMPANY</t>
  </si>
  <si>
    <t>GILLESPIE LODGING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</si>
</sst>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18" fillId="0" borderId="0" xfId="0" applyFont="1"/>
    <xf numFmtId="43" fontId="18" fillId="0" borderId="0" xfId="1" applyFont="1"/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0"/>
  <sheetViews>
    <sheetView tabSelected="1" workbookViewId="0"/>
  </sheetViews>
  <sheetFormatPr defaultRowHeight="15" x14ac:dyDescent="0.25"/>
  <cols>
    <col min="1" max="1" width="57.140625" bestFit="1" customWidth="1"/>
    <col min="3" max="3" width="13.28515625" style="2" bestFit="1" customWidth="1"/>
    <col min="4" max="4" width="13.42578125" customWidth="1"/>
    <col min="5" max="5" width="17.85546875" bestFit="1" customWidth="1"/>
    <col min="6" max="6" width="35.42578125" bestFit="1" customWidth="1"/>
    <col min="7" max="7" width="19.7109375" style="2" bestFit="1" customWidth="1"/>
    <col min="8" max="8" width="35.42578125" bestFit="1" customWidth="1"/>
  </cols>
  <sheetData>
    <row r="1" spans="1:8" s="3" customFormat="1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x14ac:dyDescent="0.25">
      <c r="A2" t="s">
        <v>8</v>
      </c>
      <c r="B2">
        <v>135585</v>
      </c>
      <c r="C2" s="2">
        <v>75</v>
      </c>
      <c r="D2" s="1">
        <v>44340</v>
      </c>
      <c r="E2" t="str">
        <f>"202105133178"</f>
        <v>202105133178</v>
      </c>
      <c r="F2" t="str">
        <f>"REIMBURSEMENT/26253/26267/2526"</f>
        <v>REIMBURSEMENT/26253/26267/2526</v>
      </c>
      <c r="G2" s="2">
        <v>75</v>
      </c>
      <c r="H2" t="str">
        <f>"REIMBURSEMENT/26253/26267/2526"</f>
        <v>REIMBURSEMENT/26253/26267/2526</v>
      </c>
    </row>
    <row r="3" spans="1:8" x14ac:dyDescent="0.25">
      <c r="A3" t="s">
        <v>9</v>
      </c>
      <c r="B3">
        <v>4402</v>
      </c>
      <c r="C3" s="2">
        <v>1264.82</v>
      </c>
      <c r="D3" s="1">
        <v>44327</v>
      </c>
      <c r="E3" t="str">
        <f>"9725-001-120756"</f>
        <v>9725-001-120756</v>
      </c>
      <c r="F3" t="str">
        <f t="shared" ref="F3:F15" si="0">"ACCT#9725-001/PCT#2"</f>
        <v>ACCT#9725-001/PCT#2</v>
      </c>
      <c r="G3" s="2">
        <v>206.76</v>
      </c>
      <c r="H3" t="str">
        <f t="shared" ref="H3:H15" si="1">"ACCT#9725-001/PCT#2"</f>
        <v>ACCT#9725-001/PCT#2</v>
      </c>
    </row>
    <row r="4" spans="1:8" x14ac:dyDescent="0.25">
      <c r="E4" t="str">
        <f>"9725-001-121285"</f>
        <v>9725-001-121285</v>
      </c>
      <c r="F4" t="str">
        <f t="shared" si="0"/>
        <v>ACCT#9725-001/PCT#2</v>
      </c>
      <c r="G4" s="2">
        <v>214.9</v>
      </c>
      <c r="H4" t="str">
        <f t="shared" si="1"/>
        <v>ACCT#9725-001/PCT#2</v>
      </c>
    </row>
    <row r="5" spans="1:8" x14ac:dyDescent="0.25">
      <c r="E5" t="str">
        <f>"9725-001-121296"</f>
        <v>9725-001-121296</v>
      </c>
      <c r="F5" t="str">
        <f t="shared" si="0"/>
        <v>ACCT#9725-001/PCT#2</v>
      </c>
      <c r="G5" s="2">
        <v>217.18</v>
      </c>
      <c r="H5" t="str">
        <f t="shared" si="1"/>
        <v>ACCT#9725-001/PCT#2</v>
      </c>
    </row>
    <row r="6" spans="1:8" x14ac:dyDescent="0.25">
      <c r="E6" t="str">
        <f>"9725-001-121300"</f>
        <v>9725-001-121300</v>
      </c>
      <c r="F6" t="str">
        <f t="shared" si="0"/>
        <v>ACCT#9725-001/PCT#2</v>
      </c>
      <c r="G6" s="2">
        <v>209.39</v>
      </c>
      <c r="H6" t="str">
        <f t="shared" si="1"/>
        <v>ACCT#9725-001/PCT#2</v>
      </c>
    </row>
    <row r="7" spans="1:8" x14ac:dyDescent="0.25">
      <c r="E7" t="str">
        <f>"9725-001-121385"</f>
        <v>9725-001-121385</v>
      </c>
      <c r="F7" t="str">
        <f t="shared" si="0"/>
        <v>ACCT#9725-001/PCT#2</v>
      </c>
      <c r="G7" s="2">
        <v>216.39</v>
      </c>
      <c r="H7" t="str">
        <f t="shared" si="1"/>
        <v>ACCT#9725-001/PCT#2</v>
      </c>
    </row>
    <row r="8" spans="1:8" x14ac:dyDescent="0.25">
      <c r="E8" t="str">
        <f>"9725-001-121397"</f>
        <v>9725-001-121397</v>
      </c>
      <c r="F8" t="str">
        <f t="shared" si="0"/>
        <v>ACCT#9725-001/PCT#2</v>
      </c>
      <c r="G8" s="2">
        <v>200.2</v>
      </c>
      <c r="H8" t="str">
        <f t="shared" si="1"/>
        <v>ACCT#9725-001/PCT#2</v>
      </c>
    </row>
    <row r="9" spans="1:8" x14ac:dyDescent="0.25">
      <c r="A9" t="s">
        <v>9</v>
      </c>
      <c r="B9">
        <v>4477</v>
      </c>
      <c r="C9" s="2">
        <v>14302.08</v>
      </c>
      <c r="D9" s="1">
        <v>44341</v>
      </c>
      <c r="E9" t="str">
        <f>"9725-001-121467"</f>
        <v>9725-001-121467</v>
      </c>
      <c r="F9" t="str">
        <f t="shared" si="0"/>
        <v>ACCT#9725-001/PCT#2</v>
      </c>
      <c r="G9" s="2">
        <v>211.14</v>
      </c>
      <c r="H9" t="str">
        <f t="shared" si="1"/>
        <v>ACCT#9725-001/PCT#2</v>
      </c>
    </row>
    <row r="10" spans="1:8" x14ac:dyDescent="0.25">
      <c r="E10" t="str">
        <f>"9725-001-121486"</f>
        <v>9725-001-121486</v>
      </c>
      <c r="F10" t="str">
        <f t="shared" si="0"/>
        <v>ACCT#9725-001/PCT#2</v>
      </c>
      <c r="G10" s="2">
        <v>209.74</v>
      </c>
      <c r="H10" t="str">
        <f t="shared" si="1"/>
        <v>ACCT#9725-001/PCT#2</v>
      </c>
    </row>
    <row r="11" spans="1:8" x14ac:dyDescent="0.25">
      <c r="E11" t="str">
        <f>"9725-001-121499"</f>
        <v>9725-001-121499</v>
      </c>
      <c r="F11" t="str">
        <f t="shared" si="0"/>
        <v>ACCT#9725-001/PCT#2</v>
      </c>
      <c r="G11" s="2">
        <v>624.15</v>
      </c>
      <c r="H11" t="str">
        <f t="shared" si="1"/>
        <v>ACCT#9725-001/PCT#2</v>
      </c>
    </row>
    <row r="12" spans="1:8" x14ac:dyDescent="0.25">
      <c r="E12" t="str">
        <f>"9725-001-121523"</f>
        <v>9725-001-121523</v>
      </c>
      <c r="F12" t="str">
        <f t="shared" si="0"/>
        <v>ACCT#9725-001/PCT#2</v>
      </c>
      <c r="G12" s="2">
        <v>609.79</v>
      </c>
      <c r="H12" t="str">
        <f t="shared" si="1"/>
        <v>ACCT#9725-001/PCT#2</v>
      </c>
    </row>
    <row r="13" spans="1:8" x14ac:dyDescent="0.25">
      <c r="E13" t="str">
        <f>"9725-001-121543"</f>
        <v>9725-001-121543</v>
      </c>
      <c r="F13" t="str">
        <f t="shared" si="0"/>
        <v>ACCT#9725-001/PCT#2</v>
      </c>
      <c r="G13" s="2">
        <v>412.04</v>
      </c>
      <c r="H13" t="str">
        <f t="shared" si="1"/>
        <v>ACCT#9725-001/PCT#2</v>
      </c>
    </row>
    <row r="14" spans="1:8" x14ac:dyDescent="0.25">
      <c r="E14" t="str">
        <f>"9725-001-121562"</f>
        <v>9725-001-121562</v>
      </c>
      <c r="F14" t="str">
        <f t="shared" si="0"/>
        <v>ACCT#9725-001/PCT#2</v>
      </c>
      <c r="G14" s="2">
        <v>411.78</v>
      </c>
      <c r="H14" t="str">
        <f t="shared" si="1"/>
        <v>ACCT#9725-001/PCT#2</v>
      </c>
    </row>
    <row r="15" spans="1:8" x14ac:dyDescent="0.25">
      <c r="E15" t="str">
        <f>"9725-001-121582"</f>
        <v>9725-001-121582</v>
      </c>
      <c r="F15" t="str">
        <f t="shared" si="0"/>
        <v>ACCT#9725-001/PCT#2</v>
      </c>
      <c r="G15" s="2">
        <v>647.41999999999996</v>
      </c>
      <c r="H15" t="str">
        <f t="shared" si="1"/>
        <v>ACCT#9725-001/PCT#2</v>
      </c>
    </row>
    <row r="16" spans="1:8" x14ac:dyDescent="0.25">
      <c r="E16" t="str">
        <f>"9725-004-121509"</f>
        <v>9725-004-121509</v>
      </c>
      <c r="F16" t="str">
        <f>"ACCT#9725-004/PCT#1"</f>
        <v>ACCT#9725-004/PCT#1</v>
      </c>
      <c r="G16" s="2">
        <v>403.11</v>
      </c>
      <c r="H16" t="str">
        <f>"ACCT#9725-004/PCT#1"</f>
        <v>ACCT#9725-004/PCT#1</v>
      </c>
    </row>
    <row r="17" spans="1:8" x14ac:dyDescent="0.25">
      <c r="E17" t="str">
        <f>"9725-007-121533"</f>
        <v>9725-007-121533</v>
      </c>
      <c r="F17" t="str">
        <f>"ACCT#9725-007/PCT#4"</f>
        <v>ACCT#9725-007/PCT#4</v>
      </c>
      <c r="G17" s="2">
        <v>2097.13</v>
      </c>
      <c r="H17" t="str">
        <f>"ACCT#9725-007/PCT#4"</f>
        <v>ACCT#9725-007/PCT#4</v>
      </c>
    </row>
    <row r="18" spans="1:8" x14ac:dyDescent="0.25">
      <c r="E18" t="str">
        <f>"9725-007-121552"</f>
        <v>9725-007-121552</v>
      </c>
      <c r="F18" t="str">
        <f>"ACCT#9725-007/PCT#4"</f>
        <v>ACCT#9725-007/PCT#4</v>
      </c>
      <c r="G18" s="2">
        <v>2218.04</v>
      </c>
      <c r="H18" t="str">
        <f>"ACCT#9725-007/PCT#4"</f>
        <v>ACCT#9725-007/PCT#4</v>
      </c>
    </row>
    <row r="19" spans="1:8" x14ac:dyDescent="0.25">
      <c r="E19" t="str">
        <f>"9725-007-121572"</f>
        <v>9725-007-121572</v>
      </c>
      <c r="F19" t="str">
        <f>"ACCT#9725-007/PCT#4"</f>
        <v>ACCT#9725-007/PCT#4</v>
      </c>
      <c r="G19" s="2">
        <v>1887.48</v>
      </c>
      <c r="H19" t="str">
        <f>"ACCT#9725-007/PCT#4"</f>
        <v>ACCT#9725-007/PCT#4</v>
      </c>
    </row>
    <row r="20" spans="1:8" x14ac:dyDescent="0.25">
      <c r="E20" t="str">
        <f>"9725-007-121617"</f>
        <v>9725-007-121617</v>
      </c>
      <c r="F20" t="str">
        <f>"ACCT#9725-007/PCT#4"</f>
        <v>ACCT#9725-007/PCT#4</v>
      </c>
      <c r="G20" s="2">
        <v>2817.01</v>
      </c>
      <c r="H20" t="str">
        <f>"ACCT#9725-007/PCT#4"</f>
        <v>ACCT#9725-007/PCT#4</v>
      </c>
    </row>
    <row r="21" spans="1:8" x14ac:dyDescent="0.25">
      <c r="E21" t="str">
        <f>"9725-007-12190"</f>
        <v>9725-007-12190</v>
      </c>
      <c r="F21" t="str">
        <f>"ACCT#9725-007/PCT#4"</f>
        <v>ACCT#9725-007/PCT#4</v>
      </c>
      <c r="G21" s="2">
        <v>1753.25</v>
      </c>
      <c r="H21" t="str">
        <f>"ACCT#9725-007/PCT#4"</f>
        <v>ACCT#9725-007/PCT#4</v>
      </c>
    </row>
    <row r="22" spans="1:8" x14ac:dyDescent="0.25">
      <c r="A22" t="s">
        <v>10</v>
      </c>
      <c r="B22">
        <v>135586</v>
      </c>
      <c r="C22" s="2">
        <v>45</v>
      </c>
      <c r="D22" s="1">
        <v>44340</v>
      </c>
      <c r="E22" t="str">
        <f>"202105133179"</f>
        <v>202105133179</v>
      </c>
      <c r="F22" t="str">
        <f>"REIMBURSEMENT23763/23934/24063"</f>
        <v>REIMBURSEMENT23763/23934/24063</v>
      </c>
      <c r="G22" s="2">
        <v>45</v>
      </c>
      <c r="H22" t="str">
        <f>"REIMBURSEMENT23763/23934/24063"</f>
        <v>REIMBURSEMENT23763/23934/24063</v>
      </c>
    </row>
    <row r="23" spans="1:8" x14ac:dyDescent="0.25">
      <c r="A23" t="s">
        <v>11</v>
      </c>
      <c r="B23">
        <v>135442</v>
      </c>
      <c r="C23" s="2">
        <v>1028.1199999999999</v>
      </c>
      <c r="D23" s="1">
        <v>44326</v>
      </c>
      <c r="E23" t="str">
        <f>"202105032969"</f>
        <v>202105032969</v>
      </c>
      <c r="F23" t="str">
        <f>"CUST#16500/PCT#4"</f>
        <v>CUST#16500/PCT#4</v>
      </c>
      <c r="G23" s="2">
        <v>868.29</v>
      </c>
      <c r="H23" t="str">
        <f>"CUST#16500/PCT#4"</f>
        <v>CUST#16500/PCT#4</v>
      </c>
    </row>
    <row r="24" spans="1:8" x14ac:dyDescent="0.25">
      <c r="E24" t="str">
        <f>"425837"</f>
        <v>425837</v>
      </c>
      <c r="F24" t="str">
        <f>"CUST#16500/WILDFIRE MIT"</f>
        <v>CUST#16500/WILDFIRE MIT</v>
      </c>
      <c r="G24" s="2">
        <v>159.83000000000001</v>
      </c>
      <c r="H24" t="str">
        <f>"CUST#16500/WILDFIRE MIT"</f>
        <v>CUST#16500/WILDFIRE MIT</v>
      </c>
    </row>
    <row r="25" spans="1:8" x14ac:dyDescent="0.25">
      <c r="A25" t="s">
        <v>12</v>
      </c>
      <c r="B25">
        <v>135443</v>
      </c>
      <c r="C25" s="2">
        <v>316.39</v>
      </c>
      <c r="D25" s="1">
        <v>44326</v>
      </c>
      <c r="E25" t="str">
        <f>"126025"</f>
        <v>126025</v>
      </c>
      <c r="F25" t="str">
        <f>"SILT FENCE/CONES/PCT#1"</f>
        <v>SILT FENCE/CONES/PCT#1</v>
      </c>
      <c r="G25" s="2">
        <v>316.39</v>
      </c>
      <c r="H25" t="str">
        <f>"SILT FENCE/CONES/PCT#1"</f>
        <v>SILT FENCE/CONES/PCT#1</v>
      </c>
    </row>
    <row r="26" spans="1:8" x14ac:dyDescent="0.25">
      <c r="A26" t="s">
        <v>12</v>
      </c>
      <c r="B26">
        <v>135587</v>
      </c>
      <c r="C26" s="2">
        <v>1026.3499999999999</v>
      </c>
      <c r="D26" s="1">
        <v>44340</v>
      </c>
      <c r="E26" t="str">
        <f>"126355"</f>
        <v>126355</v>
      </c>
      <c r="F26" t="str">
        <f>"ROLL 8X15/PCT#1"</f>
        <v>ROLL 8X15/PCT#1</v>
      </c>
      <c r="G26" s="2">
        <v>704</v>
      </c>
      <c r="H26" t="str">
        <f>"ROLL 8X15/PCT#1"</f>
        <v>ROLL 8X15/PCT#1</v>
      </c>
    </row>
    <row r="27" spans="1:8" x14ac:dyDescent="0.25">
      <c r="E27" t="str">
        <f>"126357"</f>
        <v>126357</v>
      </c>
      <c r="F27" t="str">
        <f>"S-LINE 10936-12/PCT#1"</f>
        <v>S-LINE 10936-12/PCT#1</v>
      </c>
      <c r="G27" s="2">
        <v>18.850000000000001</v>
      </c>
      <c r="H27" t="str">
        <f>"S-LINE 10936-12/PCT#1"</f>
        <v>S-LINE 10936-12/PCT#1</v>
      </c>
    </row>
    <row r="28" spans="1:8" x14ac:dyDescent="0.25">
      <c r="E28" t="str">
        <f>"126359"</f>
        <v>126359</v>
      </c>
      <c r="F28" t="str">
        <f>"1000PC/PCT#1"</f>
        <v>1000PC/PCT#1</v>
      </c>
      <c r="G28" s="2">
        <v>39.5</v>
      </c>
      <c r="H28" t="str">
        <f>"1000PC/PCT#1"</f>
        <v>1000PC/PCT#1</v>
      </c>
    </row>
    <row r="29" spans="1:8" x14ac:dyDescent="0.25">
      <c r="E29" t="str">
        <f>"126422"</f>
        <v>126422</v>
      </c>
      <c r="F29" t="str">
        <f>"EXCELSIOR LAMALOA/PCT#1"</f>
        <v>EXCELSIOR LAMALOA/PCT#1</v>
      </c>
      <c r="G29" s="2">
        <v>264</v>
      </c>
      <c r="H29" t="str">
        <f>"EXCELSIOR LAMALOA/PCT#1"</f>
        <v>EXCELSIOR LAMALOA/PCT#1</v>
      </c>
    </row>
    <row r="30" spans="1:8" x14ac:dyDescent="0.25">
      <c r="A30" t="s">
        <v>13</v>
      </c>
      <c r="B30">
        <v>135444</v>
      </c>
      <c r="C30" s="2">
        <v>650</v>
      </c>
      <c r="D30" s="1">
        <v>44326</v>
      </c>
      <c r="E30" t="str">
        <f>"202105032959"</f>
        <v>202105032959</v>
      </c>
      <c r="F30" t="str">
        <f>"20-20077"</f>
        <v>20-20077</v>
      </c>
      <c r="G30" s="2">
        <v>45</v>
      </c>
      <c r="H30" t="str">
        <f>"20-20077"</f>
        <v>20-20077</v>
      </c>
    </row>
    <row r="31" spans="1:8" x14ac:dyDescent="0.25">
      <c r="E31" t="str">
        <f>"202105032960"</f>
        <v>202105032960</v>
      </c>
      <c r="F31" t="str">
        <f>"21-20594"</f>
        <v>21-20594</v>
      </c>
      <c r="G31" s="2">
        <v>152.5</v>
      </c>
      <c r="H31" t="str">
        <f>"21-20594"</f>
        <v>21-20594</v>
      </c>
    </row>
    <row r="32" spans="1:8" x14ac:dyDescent="0.25">
      <c r="E32" t="str">
        <f>"202105032961"</f>
        <v>202105032961</v>
      </c>
      <c r="F32" t="str">
        <f>"20-20454"</f>
        <v>20-20454</v>
      </c>
      <c r="G32" s="2">
        <v>37.5</v>
      </c>
      <c r="H32" t="str">
        <f>"20-20454"</f>
        <v>20-20454</v>
      </c>
    </row>
    <row r="33" spans="1:8" x14ac:dyDescent="0.25">
      <c r="E33" t="str">
        <f>"202105032962"</f>
        <v>202105032962</v>
      </c>
      <c r="F33" t="str">
        <f>"20-20261"</f>
        <v>20-20261</v>
      </c>
      <c r="G33" s="2">
        <v>75</v>
      </c>
      <c r="H33" t="str">
        <f>"20-20261"</f>
        <v>20-20261</v>
      </c>
    </row>
    <row r="34" spans="1:8" x14ac:dyDescent="0.25">
      <c r="E34" t="str">
        <f>"202105032963"</f>
        <v>202105032963</v>
      </c>
      <c r="F34" t="str">
        <f>"20-20262"</f>
        <v>20-20262</v>
      </c>
      <c r="G34" s="2">
        <v>45</v>
      </c>
      <c r="H34" t="str">
        <f>"20-20262"</f>
        <v>20-20262</v>
      </c>
    </row>
    <row r="35" spans="1:8" x14ac:dyDescent="0.25">
      <c r="E35" t="str">
        <f>"202105032964"</f>
        <v>202105032964</v>
      </c>
      <c r="F35" t="str">
        <f>"20-20085"</f>
        <v>20-20085</v>
      </c>
      <c r="G35" s="2">
        <v>295</v>
      </c>
      <c r="H35" t="str">
        <f>"20-20085"</f>
        <v>20-20085</v>
      </c>
    </row>
    <row r="36" spans="1:8" x14ac:dyDescent="0.25">
      <c r="A36" t="s">
        <v>14</v>
      </c>
      <c r="B36">
        <v>135588</v>
      </c>
      <c r="C36" s="2">
        <v>6.62</v>
      </c>
      <c r="D36" s="1">
        <v>44340</v>
      </c>
      <c r="E36" t="str">
        <f>"202105183307"</f>
        <v>202105183307</v>
      </c>
      <c r="F36" t="str">
        <f>"REIMBURSEMENT/ADAM MARSHALL"</f>
        <v>REIMBURSEMENT/ADAM MARSHALL</v>
      </c>
      <c r="G36" s="2">
        <v>6.62</v>
      </c>
      <c r="H36" t="str">
        <f>"REIMBURSEMENT/ADAM MARSHALL"</f>
        <v>REIMBURSEMENT/ADAM MARSHALL</v>
      </c>
    </row>
    <row r="37" spans="1:8" x14ac:dyDescent="0.25">
      <c r="A37" t="s">
        <v>15</v>
      </c>
      <c r="B37">
        <v>4415</v>
      </c>
      <c r="C37" s="2">
        <v>354.49</v>
      </c>
      <c r="D37" s="1">
        <v>44327</v>
      </c>
      <c r="E37" t="str">
        <f>"202105042976"</f>
        <v>202105042976</v>
      </c>
      <c r="F37" t="str">
        <f>"REIMBURSEMENT/ADENA LEWIS"</f>
        <v>REIMBURSEMENT/ADENA LEWIS</v>
      </c>
      <c r="G37" s="2">
        <v>354.49</v>
      </c>
      <c r="H37" t="str">
        <f>"REIMBURSEMENT/ADENA LEWIS"</f>
        <v>REIMBURSEMENT/ADENA LEWIS</v>
      </c>
    </row>
    <row r="38" spans="1:8" x14ac:dyDescent="0.25">
      <c r="A38" t="s">
        <v>16</v>
      </c>
      <c r="B38">
        <v>135589</v>
      </c>
      <c r="C38" s="2">
        <v>326.17</v>
      </c>
      <c r="D38" s="1">
        <v>44340</v>
      </c>
      <c r="E38" t="str">
        <f>"7494474"</f>
        <v>7494474</v>
      </c>
      <c r="F38" t="str">
        <f>"CUST#17295/PCT#4"</f>
        <v>CUST#17295/PCT#4</v>
      </c>
      <c r="G38" s="2">
        <v>326.17</v>
      </c>
      <c r="H38" t="str">
        <f>"CUST#17295/PCT#4"</f>
        <v>CUST#17295/PCT#4</v>
      </c>
    </row>
    <row r="39" spans="1:8" x14ac:dyDescent="0.25">
      <c r="A39" t="s">
        <v>17</v>
      </c>
      <c r="B39">
        <v>4452</v>
      </c>
      <c r="C39" s="2">
        <v>2875</v>
      </c>
      <c r="D39" s="1">
        <v>44327</v>
      </c>
      <c r="E39" t="str">
        <f>"202104282876"</f>
        <v>202104282876</v>
      </c>
      <c r="F39" t="str">
        <f>"02-0220-2 02-0220-3"</f>
        <v>02-0220-2 02-0220-3</v>
      </c>
      <c r="G39" s="2">
        <v>375</v>
      </c>
      <c r="H39" t="str">
        <f>"02-0220-2 02-0220-3"</f>
        <v>02-0220-2 02-0220-3</v>
      </c>
    </row>
    <row r="40" spans="1:8" x14ac:dyDescent="0.25">
      <c r="E40" t="str">
        <f>"202105032929"</f>
        <v>202105032929</v>
      </c>
      <c r="F40" t="str">
        <f>"17008"</f>
        <v>17008</v>
      </c>
      <c r="G40" s="2">
        <v>400</v>
      </c>
      <c r="H40" t="str">
        <f>"17008"</f>
        <v>17008</v>
      </c>
    </row>
    <row r="41" spans="1:8" x14ac:dyDescent="0.25">
      <c r="E41" t="str">
        <f>"202105032930"</f>
        <v>202105032930</v>
      </c>
      <c r="F41" t="str">
        <f>"02-00201"</f>
        <v>02-00201</v>
      </c>
      <c r="G41" s="2">
        <v>400</v>
      </c>
      <c r="H41" t="str">
        <f>"02-00201"</f>
        <v>02-00201</v>
      </c>
    </row>
    <row r="42" spans="1:8" x14ac:dyDescent="0.25">
      <c r="E42" t="str">
        <f>"202105032931"</f>
        <v>202105032931</v>
      </c>
      <c r="F42" t="str">
        <f>"AC202110-03121"</f>
        <v>AC202110-03121</v>
      </c>
      <c r="G42" s="2">
        <v>400</v>
      </c>
      <c r="H42" t="str">
        <f>"AC202110-03121"</f>
        <v>AC202110-03121</v>
      </c>
    </row>
    <row r="43" spans="1:8" x14ac:dyDescent="0.25">
      <c r="E43" t="str">
        <f>"202105032932"</f>
        <v>202105032932</v>
      </c>
      <c r="F43" t="str">
        <f>"02-0509-12"</f>
        <v>02-0509-12</v>
      </c>
      <c r="G43" s="2">
        <v>400</v>
      </c>
      <c r="H43" t="str">
        <f>"02-0509-12"</f>
        <v>02-0509-12</v>
      </c>
    </row>
    <row r="44" spans="1:8" x14ac:dyDescent="0.25">
      <c r="E44" t="str">
        <f>"202105032933"</f>
        <v>202105032933</v>
      </c>
      <c r="F44" t="str">
        <f>"1788-335"</f>
        <v>1788-335</v>
      </c>
      <c r="G44" s="2">
        <v>100</v>
      </c>
      <c r="H44" t="str">
        <f>"1788-335"</f>
        <v>1788-335</v>
      </c>
    </row>
    <row r="45" spans="1:8" x14ac:dyDescent="0.25">
      <c r="E45" t="str">
        <f>"202105032934"</f>
        <v>202105032934</v>
      </c>
      <c r="F45" t="str">
        <f>"423-7808"</f>
        <v>423-7808</v>
      </c>
      <c r="G45" s="2">
        <v>100</v>
      </c>
      <c r="H45" t="str">
        <f>"423-7808"</f>
        <v>423-7808</v>
      </c>
    </row>
    <row r="46" spans="1:8" x14ac:dyDescent="0.25">
      <c r="E46" t="str">
        <f>"202105032935"</f>
        <v>202105032935</v>
      </c>
      <c r="F46" t="str">
        <f>"423-7807"</f>
        <v>423-7807</v>
      </c>
      <c r="G46" s="2">
        <v>100</v>
      </c>
      <c r="H46" t="str">
        <f>"423-7807"</f>
        <v>423-7807</v>
      </c>
    </row>
    <row r="47" spans="1:8" x14ac:dyDescent="0.25">
      <c r="E47" t="str">
        <f>"202105032948"</f>
        <v>202105032948</v>
      </c>
      <c r="F47" t="str">
        <f>"16623"</f>
        <v>16623</v>
      </c>
      <c r="G47" s="2">
        <v>600</v>
      </c>
      <c r="H47" t="str">
        <f>"16623"</f>
        <v>16623</v>
      </c>
    </row>
    <row r="48" spans="1:8" x14ac:dyDescent="0.25">
      <c r="A48" t="s">
        <v>17</v>
      </c>
      <c r="B48">
        <v>4528</v>
      </c>
      <c r="C48" s="2">
        <v>850</v>
      </c>
      <c r="D48" s="1">
        <v>44341</v>
      </c>
      <c r="E48" t="str">
        <f>"202105133228"</f>
        <v>202105133228</v>
      </c>
      <c r="F48" t="str">
        <f>"57004"</f>
        <v>57004</v>
      </c>
      <c r="G48" s="2">
        <v>250</v>
      </c>
      <c r="H48" t="str">
        <f>"57004"</f>
        <v>57004</v>
      </c>
    </row>
    <row r="49" spans="1:8" x14ac:dyDescent="0.25">
      <c r="E49" t="str">
        <f>"202105173276"</f>
        <v>202105173276</v>
      </c>
      <c r="F49" t="str">
        <f>"17100/17038"</f>
        <v>17100/17038</v>
      </c>
      <c r="G49" s="2">
        <v>600</v>
      </c>
      <c r="H49" t="str">
        <f>"17100/17038"</f>
        <v>17100/17038</v>
      </c>
    </row>
    <row r="50" spans="1:8" x14ac:dyDescent="0.25">
      <c r="A50" t="s">
        <v>18</v>
      </c>
      <c r="B50">
        <v>135445</v>
      </c>
      <c r="C50" s="2">
        <v>29.29</v>
      </c>
      <c r="D50" s="1">
        <v>44326</v>
      </c>
      <c r="E50" t="str">
        <f>"202105043012"</f>
        <v>202105043012</v>
      </c>
      <c r="F50" t="str">
        <f>"REIMBURSE FOR FUEL"</f>
        <v>REIMBURSE FOR FUEL</v>
      </c>
      <c r="G50" s="2">
        <v>29.29</v>
      </c>
      <c r="H50" t="str">
        <f>"REIMBURSE FOR FUEL"</f>
        <v>REIMBURSE FOR FUEL</v>
      </c>
    </row>
    <row r="51" spans="1:8" x14ac:dyDescent="0.25">
      <c r="A51" t="s">
        <v>19</v>
      </c>
      <c r="B51">
        <v>4408</v>
      </c>
      <c r="C51" s="2">
        <v>3372.84</v>
      </c>
      <c r="D51" s="1">
        <v>44327</v>
      </c>
      <c r="E51" t="str">
        <f>"202105032950"</f>
        <v>202105032950</v>
      </c>
      <c r="F51" t="str">
        <f>"HAULING/PCT#1"</f>
        <v>HAULING/PCT#1</v>
      </c>
      <c r="G51" s="2">
        <v>2026.44</v>
      </c>
      <c r="H51" t="str">
        <f>"HAULING/PCT#1"</f>
        <v>HAULING/PCT#1</v>
      </c>
    </row>
    <row r="52" spans="1:8" x14ac:dyDescent="0.25">
      <c r="E52" t="str">
        <f>"202105032951"</f>
        <v>202105032951</v>
      </c>
      <c r="F52" t="str">
        <f>"HAULING/PCT#1"</f>
        <v>HAULING/PCT#1</v>
      </c>
      <c r="G52" s="2">
        <v>1346.4</v>
      </c>
      <c r="H52" t="str">
        <f>"HAULING/PCT#1"</f>
        <v>HAULING/PCT#1</v>
      </c>
    </row>
    <row r="53" spans="1:8" x14ac:dyDescent="0.25">
      <c r="A53" t="s">
        <v>19</v>
      </c>
      <c r="B53">
        <v>4483</v>
      </c>
      <c r="C53" s="2">
        <v>5402.24</v>
      </c>
      <c r="D53" s="1">
        <v>44341</v>
      </c>
      <c r="E53" t="str">
        <f>"202105173290"</f>
        <v>202105173290</v>
      </c>
      <c r="F53" t="str">
        <f>"HAULING/TIMOTHY HALL/PCT#1"</f>
        <v>HAULING/TIMOTHY HALL/PCT#1</v>
      </c>
      <c r="G53" s="2">
        <v>2043.09</v>
      </c>
      <c r="H53" t="str">
        <f>"HAULING/TIMOTHY HALL/PCT#1"</f>
        <v>HAULING/TIMOTHY HALL/PCT#1</v>
      </c>
    </row>
    <row r="54" spans="1:8" x14ac:dyDescent="0.25">
      <c r="E54" t="str">
        <f>"202105173291"</f>
        <v>202105173291</v>
      </c>
      <c r="F54" t="str">
        <f>"HAULING/TIMOTHY HALL/PCT#1"</f>
        <v>HAULING/TIMOTHY HALL/PCT#1</v>
      </c>
      <c r="G54" s="2">
        <v>3359.15</v>
      </c>
      <c r="H54" t="str">
        <f>"HAULING/TIMOTHY HALL/PCT#1"</f>
        <v>HAULING/TIMOTHY HALL/PCT#1</v>
      </c>
    </row>
    <row r="55" spans="1:8" x14ac:dyDescent="0.25">
      <c r="A55" t="s">
        <v>20</v>
      </c>
      <c r="B55">
        <v>135590</v>
      </c>
      <c r="C55" s="2">
        <v>5900</v>
      </c>
      <c r="D55" s="1">
        <v>44340</v>
      </c>
      <c r="E55" t="str">
        <f>"1857"</f>
        <v>1857</v>
      </c>
      <c r="F55" t="str">
        <f>"INDIAN LAKE DUMPSTERS/PCT#2"</f>
        <v>INDIAN LAKE DUMPSTERS/PCT#2</v>
      </c>
      <c r="G55" s="2">
        <v>2200</v>
      </c>
      <c r="H55" t="str">
        <f>"INDIAN LAKE DUMPSTERS/PCT#2"</f>
        <v>INDIAN LAKE DUMPSTERS/PCT#2</v>
      </c>
    </row>
    <row r="56" spans="1:8" x14ac:dyDescent="0.25">
      <c r="E56" t="str">
        <f>"1858"</f>
        <v>1858</v>
      </c>
      <c r="F56" t="str">
        <f>"DUMPSTERS/CIRCLE D/PCT#2"</f>
        <v>DUMPSTERS/CIRCLE D/PCT#2</v>
      </c>
      <c r="G56" s="2">
        <v>2600</v>
      </c>
      <c r="H56" t="str">
        <f>"DUMPSTERS/CIRCLE D/PCT#2"</f>
        <v>DUMPSTERS/CIRCLE D/PCT#2</v>
      </c>
    </row>
    <row r="57" spans="1:8" x14ac:dyDescent="0.25">
      <c r="E57" t="str">
        <f>"1868"</f>
        <v>1868</v>
      </c>
      <c r="F57" t="str">
        <f>"DUMPSTERS/LEREATA/PCT#2"</f>
        <v>DUMPSTERS/LEREATA/PCT#2</v>
      </c>
      <c r="G57" s="2">
        <v>1100</v>
      </c>
      <c r="H57" t="str">
        <f>"DUMPSTERS/LEREATA/PCT#2"</f>
        <v>DUMPSTERS/LEREATA/PCT#2</v>
      </c>
    </row>
    <row r="58" spans="1:8" x14ac:dyDescent="0.25">
      <c r="A58" t="s">
        <v>21</v>
      </c>
      <c r="B58">
        <v>135446</v>
      </c>
      <c r="C58" s="2">
        <v>361.27</v>
      </c>
      <c r="D58" s="1">
        <v>44326</v>
      </c>
      <c r="E58" t="str">
        <f>"202105032885"</f>
        <v>202105032885</v>
      </c>
      <c r="F58" t="str">
        <f>"TRAVEL EXPENCE/AMANDA VASQUEZ"</f>
        <v>TRAVEL EXPENCE/AMANDA VASQUEZ</v>
      </c>
      <c r="G58" s="2">
        <v>361.27</v>
      </c>
      <c r="H58" t="str">
        <f>"TRAVEL EXPENCE/AMANDA VASQUEZ"</f>
        <v>TRAVEL EXPENCE/AMANDA VASQUEZ</v>
      </c>
    </row>
    <row r="59" spans="1:8" x14ac:dyDescent="0.25">
      <c r="A59" t="s">
        <v>22</v>
      </c>
      <c r="B59">
        <v>4428</v>
      </c>
      <c r="C59" s="2">
        <v>4892.8100000000004</v>
      </c>
      <c r="D59" s="1">
        <v>44327</v>
      </c>
      <c r="E59" t="str">
        <f>"13TT-J4KD-73W3"</f>
        <v>13TT-J4KD-73W3</v>
      </c>
      <c r="F59" t="str">
        <f>"Firstnet Equipment cables"</f>
        <v>Firstnet Equipment cables</v>
      </c>
      <c r="G59" s="2">
        <v>254.43</v>
      </c>
      <c r="H59" t="str">
        <f>"XRDS-RF"</f>
        <v>XRDS-RF</v>
      </c>
    </row>
    <row r="60" spans="1:8" x14ac:dyDescent="0.25">
      <c r="E60" t="str">
        <f>""</f>
        <v/>
      </c>
      <c r="F60" t="str">
        <f>""</f>
        <v/>
      </c>
      <c r="H60" t="str">
        <f>"RFiotasy Lighning"</f>
        <v>RFiotasy Lighning</v>
      </c>
    </row>
    <row r="61" spans="1:8" x14ac:dyDescent="0.25">
      <c r="E61" t="str">
        <f>""</f>
        <v/>
      </c>
      <c r="F61" t="str">
        <f>""</f>
        <v/>
      </c>
      <c r="H61" t="str">
        <f>"25FT KMR240"</f>
        <v>25FT KMR240</v>
      </c>
    </row>
    <row r="62" spans="1:8" x14ac:dyDescent="0.25">
      <c r="E62" t="str">
        <f>""</f>
        <v/>
      </c>
      <c r="F62" t="str">
        <f>""</f>
        <v/>
      </c>
      <c r="H62" t="str">
        <f>"12dBi Cradlepoint"</f>
        <v>12dBi Cradlepoint</v>
      </c>
    </row>
    <row r="63" spans="1:8" x14ac:dyDescent="0.25">
      <c r="E63" t="str">
        <f>"1MFL-QYW6-DJ6M"</f>
        <v>1MFL-QYW6-DJ6M</v>
      </c>
      <c r="F63" t="str">
        <f>"Cleanup supplies"</f>
        <v>Cleanup supplies</v>
      </c>
      <c r="G63" s="2">
        <v>180.53</v>
      </c>
      <c r="H63" t="str">
        <f>"Disposable Gloves L"</f>
        <v>Disposable Gloves L</v>
      </c>
    </row>
    <row r="64" spans="1:8" x14ac:dyDescent="0.25">
      <c r="E64" t="str">
        <f>""</f>
        <v/>
      </c>
      <c r="F64" t="str">
        <f>""</f>
        <v/>
      </c>
      <c r="H64" t="str">
        <f>"Safety Vests"</f>
        <v>Safety Vests</v>
      </c>
    </row>
    <row r="65" spans="5:8" x14ac:dyDescent="0.25">
      <c r="E65" t="str">
        <f>""</f>
        <v/>
      </c>
      <c r="F65" t="str">
        <f>""</f>
        <v/>
      </c>
      <c r="H65" t="str">
        <f>"Claw Trash Grabber"</f>
        <v>Claw Trash Grabber</v>
      </c>
    </row>
    <row r="66" spans="5:8" x14ac:dyDescent="0.25">
      <c r="E66" t="str">
        <f>""</f>
        <v/>
      </c>
      <c r="F66" t="str">
        <f>""</f>
        <v/>
      </c>
      <c r="H66" t="str">
        <f>"Gloves M"</f>
        <v>Gloves M</v>
      </c>
    </row>
    <row r="67" spans="5:8" x14ac:dyDescent="0.25">
      <c r="E67" t="str">
        <f>"23134"</f>
        <v>23134</v>
      </c>
      <c r="F67" t="str">
        <f>"Label Printer-label refil"</f>
        <v>Label Printer-label refil</v>
      </c>
      <c r="G67" s="2">
        <v>15.99</v>
      </c>
      <c r="H67" t="str">
        <f>"Label Printer-label refil"</f>
        <v>Label Printer-label refil</v>
      </c>
    </row>
    <row r="68" spans="5:8" x14ac:dyDescent="0.25">
      <c r="E68" t="str">
        <f>"23461"</f>
        <v>23461</v>
      </c>
      <c r="F68" t="str">
        <f>"Amazon IT Extra Item"</f>
        <v>Amazon IT Extra Item</v>
      </c>
      <c r="G68" s="2">
        <v>24.98</v>
      </c>
      <c r="H68" t="str">
        <f>"Amazon IT Extra Item"</f>
        <v>Amazon IT Extra Item</v>
      </c>
    </row>
    <row r="69" spans="5:8" x14ac:dyDescent="0.25">
      <c r="E69" t="str">
        <f>""</f>
        <v/>
      </c>
      <c r="F69" t="str">
        <f>""</f>
        <v/>
      </c>
      <c r="H69" t="str">
        <f>"SHIPPING"</f>
        <v>SHIPPING</v>
      </c>
    </row>
    <row r="70" spans="5:8" x14ac:dyDescent="0.25">
      <c r="E70" t="str">
        <f>"23585"</f>
        <v>23585</v>
      </c>
      <c r="F70" t="str">
        <f>"IT order for memory ssd's"</f>
        <v>IT order for memory ssd's</v>
      </c>
      <c r="G70" s="2">
        <v>502.08</v>
      </c>
      <c r="H70" t="str">
        <f>"SSD 660P"</f>
        <v>SSD 660P</v>
      </c>
    </row>
    <row r="71" spans="5:8" x14ac:dyDescent="0.25">
      <c r="E71" t="str">
        <f>""</f>
        <v/>
      </c>
      <c r="F71" t="str">
        <f>""</f>
        <v/>
      </c>
      <c r="H71" t="str">
        <f>"Crucial RAM 8 GB DDR"</f>
        <v>Crucial RAM 8 GB DDR</v>
      </c>
    </row>
    <row r="72" spans="5:8" x14ac:dyDescent="0.25">
      <c r="E72" t="str">
        <f>"23687"</f>
        <v>23687</v>
      </c>
      <c r="F72" t="str">
        <f>"Window Switch Ford F150"</f>
        <v>Window Switch Ford F150</v>
      </c>
      <c r="G72" s="2">
        <v>75</v>
      </c>
      <c r="H72" t="str">
        <f>"window switch F150"</f>
        <v>window switch F150</v>
      </c>
    </row>
    <row r="73" spans="5:8" x14ac:dyDescent="0.25">
      <c r="E73" t="str">
        <f>"23745"</f>
        <v>23745</v>
      </c>
      <c r="F73" t="str">
        <f>"Tools/Fuel Mittigation"</f>
        <v>Tools/Fuel Mittigation</v>
      </c>
      <c r="G73" s="2">
        <v>147.1</v>
      </c>
      <c r="H73" t="str">
        <f>"Tools/Fuel Mittigation"</f>
        <v>Tools/Fuel Mittigation</v>
      </c>
    </row>
    <row r="74" spans="5:8" x14ac:dyDescent="0.25">
      <c r="E74" t="str">
        <f>"23861"</f>
        <v>23861</v>
      </c>
      <c r="F74" t="str">
        <f>"Office Chairs"</f>
        <v>Office Chairs</v>
      </c>
      <c r="G74" s="2">
        <v>317.82</v>
      </c>
      <c r="H74" t="str">
        <f>"Office Chairs"</f>
        <v>Office Chairs</v>
      </c>
    </row>
    <row r="75" spans="5:8" x14ac:dyDescent="0.25">
      <c r="E75" t="str">
        <f>"23862"</f>
        <v>23862</v>
      </c>
      <c r="F75" t="str">
        <f>"Crucial Ram 16GB  Kit"</f>
        <v>Crucial Ram 16GB  Kit</v>
      </c>
      <c r="G75" s="2">
        <v>74.98</v>
      </c>
      <c r="H75" t="str">
        <f>"Crucial Ram 16GB  Kit"</f>
        <v>Crucial Ram 16GB  Kit</v>
      </c>
    </row>
    <row r="76" spans="5:8" x14ac:dyDescent="0.25">
      <c r="E76" t="str">
        <f>"23868"</f>
        <v>23868</v>
      </c>
      <c r="F76" t="str">
        <f>"BCAS Bite Sticks"</f>
        <v>BCAS Bite Sticks</v>
      </c>
      <c r="G76" s="2">
        <v>154.94999999999999</v>
      </c>
      <c r="H76" t="str">
        <f>"BCAS Bite Sticks"</f>
        <v>BCAS Bite Sticks</v>
      </c>
    </row>
    <row r="77" spans="5:8" x14ac:dyDescent="0.25">
      <c r="E77" t="str">
        <f>"23917"</f>
        <v>23917</v>
      </c>
      <c r="F77" t="str">
        <f>"Bluetoothwirelessheadset"</f>
        <v>Bluetoothwirelessheadset</v>
      </c>
      <c r="G77" s="2">
        <v>69.989999999999995</v>
      </c>
      <c r="H77" t="str">
        <f>"Logitech H800 BWH"</f>
        <v>Logitech H800 BWH</v>
      </c>
    </row>
    <row r="78" spans="5:8" x14ac:dyDescent="0.25">
      <c r="E78" t="str">
        <f>"23983"</f>
        <v>23983</v>
      </c>
      <c r="F78" t="str">
        <f>"Internal Hard Drives"</f>
        <v>Internal Hard Drives</v>
      </c>
      <c r="G78" s="2">
        <v>399.98</v>
      </c>
      <c r="H78" t="str">
        <f>"Internal Hard Drives"</f>
        <v>Internal Hard Drives</v>
      </c>
    </row>
    <row r="79" spans="5:8" x14ac:dyDescent="0.25">
      <c r="E79" t="str">
        <f>"23994"</f>
        <v>23994</v>
      </c>
      <c r="F79" t="str">
        <f>"ID CLIPS"</f>
        <v>ID CLIPS</v>
      </c>
      <c r="G79" s="2">
        <v>16.98</v>
      </c>
      <c r="H79" t="str">
        <f>"ID CLIPS"</f>
        <v>ID CLIPS</v>
      </c>
    </row>
    <row r="80" spans="5:8" x14ac:dyDescent="0.25">
      <c r="E80" t="str">
        <f>""</f>
        <v/>
      </c>
      <c r="F80" t="str">
        <f>""</f>
        <v/>
      </c>
      <c r="H80" t="str">
        <f>"Shipping"</f>
        <v>Shipping</v>
      </c>
    </row>
    <row r="81" spans="1:8" x14ac:dyDescent="0.25">
      <c r="E81" t="str">
        <f>"24018"</f>
        <v>24018</v>
      </c>
      <c r="F81" t="str">
        <f>"Paper"</f>
        <v>Paper</v>
      </c>
      <c r="G81" s="2">
        <v>2658</v>
      </c>
      <c r="H81" t="str">
        <f>"1 Pallet"</f>
        <v>1 Pallet</v>
      </c>
    </row>
    <row r="82" spans="1:8" x14ac:dyDescent="0.25">
      <c r="E82" t="str">
        <f>""</f>
        <v/>
      </c>
      <c r="F82" t="str">
        <f>""</f>
        <v/>
      </c>
      <c r="H82" t="str">
        <f>"1 Pallet"</f>
        <v>1 Pallet</v>
      </c>
    </row>
    <row r="83" spans="1:8" x14ac:dyDescent="0.25">
      <c r="A83" t="s">
        <v>22</v>
      </c>
      <c r="B83">
        <v>4503</v>
      </c>
      <c r="C83" s="2">
        <v>639.87</v>
      </c>
      <c r="D83" s="1">
        <v>44341</v>
      </c>
      <c r="E83" t="str">
        <f>"202105173243"</f>
        <v>202105173243</v>
      </c>
      <c r="F83" t="str">
        <f>"Displays2goHostessStation"</f>
        <v>Displays2goHostessStation</v>
      </c>
      <c r="G83" s="2">
        <v>186.99</v>
      </c>
      <c r="H83" t="str">
        <f>"Displays2goHostessStation"</f>
        <v>Displays2goHostessStation</v>
      </c>
    </row>
    <row r="84" spans="1:8" x14ac:dyDescent="0.25">
      <c r="E84" t="str">
        <f>""</f>
        <v/>
      </c>
      <c r="F84" t="str">
        <f>""</f>
        <v/>
      </c>
      <c r="H84" t="str">
        <f>"Shipping"</f>
        <v>Shipping</v>
      </c>
    </row>
    <row r="85" spans="1:8" x14ac:dyDescent="0.25">
      <c r="E85" t="str">
        <f>"23199"</f>
        <v>23199</v>
      </c>
      <c r="F85" t="str">
        <f>"SP1297 3AMP 12VOLT"</f>
        <v>SP1297 3AMP 12VOLT</v>
      </c>
      <c r="G85" s="2">
        <v>150.08000000000001</v>
      </c>
      <c r="H85" t="str">
        <f>"SP1297 3AMP 12VOLT"</f>
        <v>SP1297 3AMP 12VOLT</v>
      </c>
    </row>
    <row r="86" spans="1:8" x14ac:dyDescent="0.25">
      <c r="E86" t="str">
        <f>"23992"</f>
        <v>23992</v>
      </c>
      <c r="F86" t="str">
        <f>"BCAS Paper Towels"</f>
        <v>BCAS Paper Towels</v>
      </c>
      <c r="G86" s="2">
        <v>115.98</v>
      </c>
      <c r="H86" t="str">
        <f>"BCAS Paper Towels"</f>
        <v>BCAS Paper Towels</v>
      </c>
    </row>
    <row r="87" spans="1:8" x14ac:dyDescent="0.25">
      <c r="E87" t="str">
        <f>"24088"</f>
        <v>24088</v>
      </c>
      <c r="F87" t="str">
        <f>"Monitor Stand IT"</f>
        <v>Monitor Stand IT</v>
      </c>
      <c r="G87" s="2">
        <v>99.97</v>
      </c>
      <c r="H87" t="str">
        <f>"Monitor Stand IT"</f>
        <v>Monitor Stand IT</v>
      </c>
    </row>
    <row r="88" spans="1:8" x14ac:dyDescent="0.25">
      <c r="E88" t="str">
        <f>"24109"</f>
        <v>24109</v>
      </c>
      <c r="F88" t="str">
        <f>"Ergonomic Mouse"</f>
        <v>Ergonomic Mouse</v>
      </c>
      <c r="G88" s="2">
        <v>86.85</v>
      </c>
      <c r="H88" t="str">
        <f>"Ergonomic Mouse"</f>
        <v>Ergonomic Mouse</v>
      </c>
    </row>
    <row r="89" spans="1:8" x14ac:dyDescent="0.25">
      <c r="A89" t="s">
        <v>23</v>
      </c>
      <c r="B89">
        <v>135447</v>
      </c>
      <c r="C89" s="2">
        <v>28.49</v>
      </c>
      <c r="D89" s="1">
        <v>44326</v>
      </c>
      <c r="E89" t="str">
        <f>"5413296"</f>
        <v>5413296</v>
      </c>
      <c r="F89" t="str">
        <f>"TICKET-3427681/PCT#3"</f>
        <v>TICKET-3427681/PCT#3</v>
      </c>
      <c r="G89" s="2">
        <v>28.49</v>
      </c>
      <c r="H89" t="str">
        <f>"TICKET-3427681/PCT#3"</f>
        <v>TICKET-3427681/PCT#3</v>
      </c>
    </row>
    <row r="90" spans="1:8" x14ac:dyDescent="0.25">
      <c r="A90" t="s">
        <v>24</v>
      </c>
      <c r="B90">
        <v>4465</v>
      </c>
      <c r="C90" s="2">
        <v>950</v>
      </c>
      <c r="D90" s="1">
        <v>44327</v>
      </c>
      <c r="E90" t="str">
        <f>"202104282859"</f>
        <v>202104282859</v>
      </c>
      <c r="F90" t="str">
        <f>"17-070"</f>
        <v>17-070</v>
      </c>
      <c r="G90" s="2">
        <v>600</v>
      </c>
      <c r="H90" t="str">
        <f>"17-070"</f>
        <v>17-070</v>
      </c>
    </row>
    <row r="91" spans="1:8" x14ac:dyDescent="0.25">
      <c r="E91" t="str">
        <f>"202105032903"</f>
        <v>202105032903</v>
      </c>
      <c r="F91" t="str">
        <f>"312152020A"</f>
        <v>312152020A</v>
      </c>
      <c r="G91" s="2">
        <v>250</v>
      </c>
      <c r="H91" t="str">
        <f>"312152020A"</f>
        <v>312152020A</v>
      </c>
    </row>
    <row r="92" spans="1:8" x14ac:dyDescent="0.25">
      <c r="E92" t="str">
        <f>"202105032921"</f>
        <v>202105032921</v>
      </c>
      <c r="F92" t="str">
        <f>"1784-335"</f>
        <v>1784-335</v>
      </c>
      <c r="G92" s="2">
        <v>100</v>
      </c>
      <c r="H92" t="str">
        <f>"1784-335"</f>
        <v>1784-335</v>
      </c>
    </row>
    <row r="93" spans="1:8" x14ac:dyDescent="0.25">
      <c r="A93" t="s">
        <v>24</v>
      </c>
      <c r="B93">
        <v>4541</v>
      </c>
      <c r="C93" s="2">
        <v>3177.5</v>
      </c>
      <c r="D93" s="1">
        <v>44341</v>
      </c>
      <c r="E93" t="str">
        <f>"202105133186"</f>
        <v>202105133186</v>
      </c>
      <c r="F93" t="str">
        <f>"21-20621/21-20620/21-20619"</f>
        <v>21-20621/21-20620/21-20619</v>
      </c>
      <c r="G93" s="2">
        <v>300</v>
      </c>
      <c r="H93" t="str">
        <f>"21-20621/21-20620/21-20619"</f>
        <v>21-20621/21-20620/21-20619</v>
      </c>
    </row>
    <row r="94" spans="1:8" x14ac:dyDescent="0.25">
      <c r="E94" t="str">
        <f>"202105133187"</f>
        <v>202105133187</v>
      </c>
      <c r="F94" t="str">
        <f>"20-20030"</f>
        <v>20-20030</v>
      </c>
      <c r="G94" s="2">
        <v>82.5</v>
      </c>
      <c r="H94" t="str">
        <f>"20-20030"</f>
        <v>20-20030</v>
      </c>
    </row>
    <row r="95" spans="1:8" x14ac:dyDescent="0.25">
      <c r="E95" t="str">
        <f>"202105133188"</f>
        <v>202105133188</v>
      </c>
      <c r="F95" t="str">
        <f>"21-20562"</f>
        <v>21-20562</v>
      </c>
      <c r="G95" s="2">
        <v>217.5</v>
      </c>
      <c r="H95" t="str">
        <f>"21-20562"</f>
        <v>21-20562</v>
      </c>
    </row>
    <row r="96" spans="1:8" x14ac:dyDescent="0.25">
      <c r="E96" t="str">
        <f>"202105133189"</f>
        <v>202105133189</v>
      </c>
      <c r="F96" t="str">
        <f>"20-20527"</f>
        <v>20-20527</v>
      </c>
      <c r="G96" s="2">
        <v>105</v>
      </c>
      <c r="H96" t="str">
        <f>"20-20527"</f>
        <v>20-20527</v>
      </c>
    </row>
    <row r="97" spans="1:8" x14ac:dyDescent="0.25">
      <c r="E97" t="str">
        <f>"202105133190"</f>
        <v>202105133190</v>
      </c>
      <c r="F97" t="str">
        <f>"20-20056"</f>
        <v>20-20056</v>
      </c>
      <c r="G97" s="2">
        <v>892.5</v>
      </c>
      <c r="H97" t="str">
        <f>"20-20056"</f>
        <v>20-20056</v>
      </c>
    </row>
    <row r="98" spans="1:8" x14ac:dyDescent="0.25">
      <c r="E98" t="str">
        <f>"202105133191"</f>
        <v>202105133191</v>
      </c>
      <c r="F98" t="str">
        <f>"20-20293"</f>
        <v>20-20293</v>
      </c>
      <c r="G98" s="2">
        <v>187.5</v>
      </c>
      <c r="H98" t="str">
        <f>"20-20293"</f>
        <v>20-20293</v>
      </c>
    </row>
    <row r="99" spans="1:8" x14ac:dyDescent="0.25">
      <c r="E99" t="str">
        <f>"202105133192"</f>
        <v>202105133192</v>
      </c>
      <c r="F99" t="str">
        <f>"20-20403"</f>
        <v>20-20403</v>
      </c>
      <c r="G99" s="2">
        <v>277.5</v>
      </c>
      <c r="H99" t="str">
        <f>"20-20403"</f>
        <v>20-20403</v>
      </c>
    </row>
    <row r="100" spans="1:8" x14ac:dyDescent="0.25">
      <c r="E100" t="str">
        <f>"202105133193"</f>
        <v>202105133193</v>
      </c>
      <c r="F100" t="str">
        <f>"15-17399"</f>
        <v>15-17399</v>
      </c>
      <c r="G100" s="2">
        <v>202.5</v>
      </c>
      <c r="H100" t="str">
        <f>"15-17399"</f>
        <v>15-17399</v>
      </c>
    </row>
    <row r="101" spans="1:8" x14ac:dyDescent="0.25">
      <c r="E101" t="str">
        <f>"202105133194"</f>
        <v>202105133194</v>
      </c>
      <c r="F101" t="str">
        <f>"1750-21/1753-335"</f>
        <v>1750-21/1753-335</v>
      </c>
      <c r="G101" s="2">
        <v>200</v>
      </c>
      <c r="H101" t="str">
        <f>"1750-21/1753-335"</f>
        <v>1750-21/1753-335</v>
      </c>
    </row>
    <row r="102" spans="1:8" x14ac:dyDescent="0.25">
      <c r="E102" t="str">
        <f>"202105133223"</f>
        <v>202105133223</v>
      </c>
      <c r="F102" t="str">
        <f>"56-352"</f>
        <v>56-352</v>
      </c>
      <c r="G102" s="2">
        <v>250</v>
      </c>
      <c r="H102" t="str">
        <f>"56-352"</f>
        <v>56-352</v>
      </c>
    </row>
    <row r="103" spans="1:8" x14ac:dyDescent="0.25">
      <c r="E103" t="str">
        <f>"202105173275"</f>
        <v>202105173275</v>
      </c>
      <c r="F103" t="str">
        <f>"1767-335"</f>
        <v>1767-335</v>
      </c>
      <c r="G103" s="2">
        <v>100</v>
      </c>
      <c r="H103" t="str">
        <f>"1767-335"</f>
        <v>1767-335</v>
      </c>
    </row>
    <row r="104" spans="1:8" x14ac:dyDescent="0.25">
      <c r="E104" t="str">
        <f>"202105173279"</f>
        <v>202105173279</v>
      </c>
      <c r="F104" t="str">
        <f>"21-20642"</f>
        <v>21-20642</v>
      </c>
      <c r="G104" s="2">
        <v>362.5</v>
      </c>
      <c r="H104" t="str">
        <f>"21-20642"</f>
        <v>21-20642</v>
      </c>
    </row>
    <row r="105" spans="1:8" x14ac:dyDescent="0.25">
      <c r="A105" t="s">
        <v>25</v>
      </c>
      <c r="B105">
        <v>135448</v>
      </c>
      <c r="C105" s="2">
        <v>758</v>
      </c>
      <c r="D105" s="1">
        <v>44326</v>
      </c>
      <c r="E105" t="str">
        <f>"A12099"</f>
        <v>A12099</v>
      </c>
      <c r="F105" t="str">
        <f>"CUST#400290/PCT#3"</f>
        <v>CUST#400290/PCT#3</v>
      </c>
      <c r="G105" s="2">
        <v>375</v>
      </c>
      <c r="H105" t="str">
        <f>"CUST#400290/PCT#3"</f>
        <v>CUST#400290/PCT#3</v>
      </c>
    </row>
    <row r="106" spans="1:8" x14ac:dyDescent="0.25">
      <c r="E106" t="str">
        <f>"A49880"</f>
        <v>A49880</v>
      </c>
      <c r="F106" t="str">
        <f>"CUST#400290/PCT#3"</f>
        <v>CUST#400290/PCT#3</v>
      </c>
      <c r="G106" s="2">
        <v>383</v>
      </c>
      <c r="H106" t="str">
        <f>"CUST#400290/PCT#3"</f>
        <v>CUST#400290/PCT#3</v>
      </c>
    </row>
    <row r="107" spans="1:8" x14ac:dyDescent="0.25">
      <c r="A107" t="s">
        <v>26</v>
      </c>
      <c r="B107">
        <v>135449</v>
      </c>
      <c r="C107" s="2">
        <v>6225.41</v>
      </c>
      <c r="D107" s="1">
        <v>44326</v>
      </c>
      <c r="E107" t="str">
        <f>"202105043004"</f>
        <v>202105043004</v>
      </c>
      <c r="F107" t="str">
        <f>"2017 EXPLORER UNIT 6535"</f>
        <v>2017 EXPLORER UNIT 6535</v>
      </c>
      <c r="G107" s="2">
        <v>2718.13</v>
      </c>
      <c r="H107" t="str">
        <f>"2017 EXPLORER UNIT 6535"</f>
        <v>2017 EXPLORER UNIT 6535</v>
      </c>
    </row>
    <row r="108" spans="1:8" x14ac:dyDescent="0.25">
      <c r="E108" t="str">
        <f>"202105043006"</f>
        <v>202105043006</v>
      </c>
      <c r="F108" t="str">
        <f>"2018 CHEVY TAHOE 9646"</f>
        <v>2018 CHEVY TAHOE 9646</v>
      </c>
      <c r="G108" s="2">
        <v>3507.28</v>
      </c>
      <c r="H108" t="str">
        <f>"2018 CHEVY TAHOE 9646"</f>
        <v>2018 CHEVY TAHOE 9646</v>
      </c>
    </row>
    <row r="109" spans="1:8" x14ac:dyDescent="0.25">
      <c r="A109" t="s">
        <v>27</v>
      </c>
      <c r="B109">
        <v>135450</v>
      </c>
      <c r="C109" s="2">
        <v>207</v>
      </c>
      <c r="D109" s="1">
        <v>44326</v>
      </c>
      <c r="E109" t="str">
        <f>"202104292882"</f>
        <v>202104292882</v>
      </c>
      <c r="F109" t="str">
        <f>"ACCT#3-3053/PCT#2"</f>
        <v>ACCT#3-3053/PCT#2</v>
      </c>
      <c r="G109" s="2">
        <v>207</v>
      </c>
      <c r="H109" t="str">
        <f>"ACCT#3-3053/PCT#2"</f>
        <v>ACCT#3-3053/PCT#2</v>
      </c>
    </row>
    <row r="110" spans="1:8" x14ac:dyDescent="0.25">
      <c r="A110" t="s">
        <v>28</v>
      </c>
      <c r="B110">
        <v>135451</v>
      </c>
      <c r="C110" s="2">
        <v>453.96</v>
      </c>
      <c r="D110" s="1">
        <v>44326</v>
      </c>
      <c r="E110" t="str">
        <f>"202105053027"</f>
        <v>202105053027</v>
      </c>
      <c r="F110" t="str">
        <f>"ACCT#011280/COUNTY CLERK"</f>
        <v>ACCT#011280/COUNTY CLERK</v>
      </c>
      <c r="G110" s="2">
        <v>54</v>
      </c>
      <c r="H110" t="str">
        <f>"ACCT#011280/COUNTY CLERK"</f>
        <v>ACCT#011280/COUNTY CLERK</v>
      </c>
    </row>
    <row r="111" spans="1:8" x14ac:dyDescent="0.25">
      <c r="E111" t="str">
        <f>"202105053030"</f>
        <v>202105053030</v>
      </c>
      <c r="F111" t="str">
        <f>"ACCT#011280/COMMISSIONERS"</f>
        <v>ACCT#011280/COMMISSIONERS</v>
      </c>
      <c r="G111" s="2">
        <v>9</v>
      </c>
      <c r="H111" t="str">
        <f>"ACCT#011280/COMMISSIONERS"</f>
        <v>ACCT#011280/COMMISSIONERS</v>
      </c>
    </row>
    <row r="112" spans="1:8" x14ac:dyDescent="0.25">
      <c r="E112" t="str">
        <f>"202105053031"</f>
        <v>202105053031</v>
      </c>
      <c r="F112" t="str">
        <f>"ACCT#011280/AG EXTENSION"</f>
        <v>ACCT#011280/AG EXTENSION</v>
      </c>
      <c r="G112" s="2">
        <v>35.49</v>
      </c>
      <c r="H112" t="str">
        <f>"ACCT#011280/AG EXTENSION"</f>
        <v>ACCT#011280/AG EXTENSION</v>
      </c>
    </row>
    <row r="113" spans="1:8" x14ac:dyDescent="0.25">
      <c r="E113" t="str">
        <f>"202105053032"</f>
        <v>202105053032</v>
      </c>
      <c r="F113" t="str">
        <f>"ACCT#011280/COMM. PCT#1"</f>
        <v>ACCT#011280/COMM. PCT#1</v>
      </c>
      <c r="G113" s="2">
        <v>19.489999999999998</v>
      </c>
      <c r="H113" t="str">
        <f>"ACCT#011280/COMM. PCT#1"</f>
        <v>ACCT#011280/COMM. PCT#1</v>
      </c>
    </row>
    <row r="114" spans="1:8" x14ac:dyDescent="0.25">
      <c r="E114" t="str">
        <f>"202105053033"</f>
        <v>202105053033</v>
      </c>
      <c r="F114" t="str">
        <f>"ACCT#011280/GENERAL SRVS"</f>
        <v>ACCT#011280/GENERAL SRVS</v>
      </c>
      <c r="G114" s="2">
        <v>73.489999999999995</v>
      </c>
      <c r="H114" t="str">
        <f>"ACCT#011280/GENERAL SRVS"</f>
        <v>ACCT#011280/GENERAL SRVS</v>
      </c>
    </row>
    <row r="115" spans="1:8" x14ac:dyDescent="0.25">
      <c r="E115" t="str">
        <f>"202105053034"</f>
        <v>202105053034</v>
      </c>
      <c r="F115" t="str">
        <f>"ACCT#011280/ELECTIONS"</f>
        <v>ACCT#011280/ELECTIONS</v>
      </c>
      <c r="G115" s="2">
        <v>25</v>
      </c>
      <c r="H115" t="str">
        <f>"ACCT#011280/ELECTIONS"</f>
        <v>ACCT#011280/ELECTIONS</v>
      </c>
    </row>
    <row r="116" spans="1:8" x14ac:dyDescent="0.25">
      <c r="E116" t="str">
        <f>"202105053035"</f>
        <v>202105053035</v>
      </c>
      <c r="F116" t="str">
        <f>"ACCT#011280/DISTRICT CLERK"</f>
        <v>ACCT#011280/DISTRICT CLERK</v>
      </c>
      <c r="G116" s="2">
        <v>96</v>
      </c>
      <c r="H116" t="str">
        <f>"ACCT#011280/DISTRICT CLERK"</f>
        <v>ACCT#011280/DISTRICT CLERK</v>
      </c>
    </row>
    <row r="117" spans="1:8" x14ac:dyDescent="0.25">
      <c r="E117" t="str">
        <f>"202105053036"</f>
        <v>202105053036</v>
      </c>
      <c r="F117" t="str">
        <f>"ACCT#011280/DISTRICT JUDGE"</f>
        <v>ACCT#011280/DISTRICT JUDGE</v>
      </c>
      <c r="G117" s="2">
        <v>10</v>
      </c>
      <c r="H117" t="str">
        <f>"ACCT#011280/DISTRICT JUDGE"</f>
        <v>ACCT#011280/DISTRICT JUDGE</v>
      </c>
    </row>
    <row r="118" spans="1:8" x14ac:dyDescent="0.25">
      <c r="E118" t="str">
        <f>"202105053038"</f>
        <v>202105053038</v>
      </c>
      <c r="F118" t="str">
        <f>"ACCT#011280/DISTRICT CLERK"</f>
        <v>ACCT#011280/DISTRICT CLERK</v>
      </c>
      <c r="G118" s="2">
        <v>12</v>
      </c>
      <c r="H118" t="str">
        <f>"ACCT#011280/DISTRICT CLERK"</f>
        <v>ACCT#011280/DISTRICT CLERK</v>
      </c>
    </row>
    <row r="119" spans="1:8" x14ac:dyDescent="0.25">
      <c r="E119" t="str">
        <f>"202105053039"</f>
        <v>202105053039</v>
      </c>
      <c r="F119" t="str">
        <f>"ACCT#011280/COUNTY COURT"</f>
        <v>ACCT#011280/COUNTY COURT</v>
      </c>
      <c r="G119" s="2">
        <v>9</v>
      </c>
      <c r="H119" t="str">
        <f>"ACCT#011280/COUNTY COURT"</f>
        <v>ACCT#011280/COUNTY COURT</v>
      </c>
    </row>
    <row r="120" spans="1:8" x14ac:dyDescent="0.25">
      <c r="E120" t="str">
        <f>"202105053040"</f>
        <v>202105053040</v>
      </c>
      <c r="F120" t="str">
        <f>"ACCT#011280/ANIMAL SVCS"</f>
        <v>ACCT#011280/ANIMAL SVCS</v>
      </c>
      <c r="G120" s="2">
        <v>54.99</v>
      </c>
      <c r="H120" t="str">
        <f>"ACCT#011280/ANIMAL SVCS"</f>
        <v>ACCT#011280/ANIMAL SVCS</v>
      </c>
    </row>
    <row r="121" spans="1:8" x14ac:dyDescent="0.25">
      <c r="E121" t="str">
        <f>"202105053041"</f>
        <v>202105053041</v>
      </c>
      <c r="F121" t="str">
        <f>"ACCT#011280/HUMAN RES."</f>
        <v>ACCT#011280/HUMAN RES.</v>
      </c>
      <c r="G121" s="2">
        <v>27</v>
      </c>
      <c r="H121" t="str">
        <f>"ACCT#011280/HUMAN RES."</f>
        <v>ACCT#011280/HUMAN RES.</v>
      </c>
    </row>
    <row r="122" spans="1:8" x14ac:dyDescent="0.25">
      <c r="E122" t="str">
        <f>"202105053042"</f>
        <v>202105053042</v>
      </c>
      <c r="F122" t="str">
        <f>"ACCT#011280/ IT"</f>
        <v>ACCT#011280/ IT</v>
      </c>
      <c r="G122" s="2">
        <v>9</v>
      </c>
      <c r="H122" t="str">
        <f>"ACCT#011280/ IT"</f>
        <v>ACCT#011280/ IT</v>
      </c>
    </row>
    <row r="123" spans="1:8" x14ac:dyDescent="0.25">
      <c r="E123" t="str">
        <f>"202105053043"</f>
        <v>202105053043</v>
      </c>
      <c r="F123" t="str">
        <f>"ACCT#011280/JP#1"</f>
        <v>ACCT#011280/JP#1</v>
      </c>
      <c r="G123" s="2">
        <v>9</v>
      </c>
      <c r="H123" t="str">
        <f>"ACCT#011280/JP#1"</f>
        <v>ACCT#011280/JP#1</v>
      </c>
    </row>
    <row r="124" spans="1:8" x14ac:dyDescent="0.25">
      <c r="E124" t="str">
        <f>"202105053044"</f>
        <v>202105053044</v>
      </c>
      <c r="F124" t="str">
        <f>"ACCT#011280/TREASURER"</f>
        <v>ACCT#011280/TREASURER</v>
      </c>
      <c r="G124" s="2">
        <v>10.5</v>
      </c>
      <c r="H124" t="str">
        <f>"ACCT#011280/TREASURER"</f>
        <v>ACCT#011280/TREASURER</v>
      </c>
    </row>
    <row r="125" spans="1:8" x14ac:dyDescent="0.25">
      <c r="A125" t="s">
        <v>28</v>
      </c>
      <c r="B125">
        <v>135591</v>
      </c>
      <c r="C125" s="2">
        <v>70.48</v>
      </c>
      <c r="D125" s="1">
        <v>44340</v>
      </c>
      <c r="E125" t="str">
        <f>"014877"</f>
        <v>014877</v>
      </c>
      <c r="F125" t="str">
        <f>"ACCT#014877/INDIGENT HEALTH"</f>
        <v>ACCT#014877/INDIGENT HEALTH</v>
      </c>
      <c r="G125" s="2">
        <v>41.99</v>
      </c>
      <c r="H125" t="str">
        <f>"ACCT#014877/INDIGENT HEALTH"</f>
        <v>ACCT#014877/INDIGENT HEALTH</v>
      </c>
    </row>
    <row r="126" spans="1:8" x14ac:dyDescent="0.25">
      <c r="E126" t="str">
        <f>"202105133166"</f>
        <v>202105133166</v>
      </c>
      <c r="F126" t="str">
        <f>"ACCT#015476/PURCHASING DEP."</f>
        <v>ACCT#015476/PURCHASING DEP.</v>
      </c>
      <c r="G126" s="2">
        <v>11.99</v>
      </c>
      <c r="H126" t="str">
        <f>"ACCT#015476/PURCHASING DEP."</f>
        <v>ACCT#015476/PURCHASING DEP.</v>
      </c>
    </row>
    <row r="127" spans="1:8" x14ac:dyDescent="0.25">
      <c r="E127" t="str">
        <f>"202105133167"</f>
        <v>202105133167</v>
      </c>
      <c r="F127" t="str">
        <f>"ACCT#0122803/JUDGE"</f>
        <v>ACCT#0122803/JUDGE</v>
      </c>
      <c r="G127" s="2">
        <v>16.5</v>
      </c>
      <c r="H127" t="str">
        <f>"ACCT#0122803/JUDGE"</f>
        <v>ACCT#0122803/JUDGE</v>
      </c>
    </row>
    <row r="128" spans="1:8" x14ac:dyDescent="0.25">
      <c r="A128" t="s">
        <v>29</v>
      </c>
      <c r="B128">
        <v>135434</v>
      </c>
      <c r="C128" s="2">
        <v>109.5</v>
      </c>
      <c r="D128" s="1">
        <v>44322</v>
      </c>
      <c r="E128" t="str">
        <f>"202105063134"</f>
        <v>202105063134</v>
      </c>
      <c r="F128" t="str">
        <f>"ACCT#0201855301 / 04052021"</f>
        <v>ACCT#0201855301 / 04052021</v>
      </c>
      <c r="G128" s="2">
        <v>51.98</v>
      </c>
      <c r="H128" t="str">
        <f>"AQUA WATER SUPPLY CORPORATION"</f>
        <v>AQUA WATER SUPPLY CORPORATION</v>
      </c>
    </row>
    <row r="129" spans="1:8" x14ac:dyDescent="0.25">
      <c r="E129" t="str">
        <f>"202105063135"</f>
        <v>202105063135</v>
      </c>
      <c r="F129" t="str">
        <f>"ACCT#0201891401 / 04052021"</f>
        <v>ACCT#0201891401 / 04052021</v>
      </c>
      <c r="G129" s="2">
        <v>25.28</v>
      </c>
      <c r="H129" t="str">
        <f>"AQUA WATER SUPPLY CORPORATION"</f>
        <v>AQUA WATER SUPPLY CORPORATION</v>
      </c>
    </row>
    <row r="130" spans="1:8" x14ac:dyDescent="0.25">
      <c r="E130" t="str">
        <f>"202105063136"</f>
        <v>202105063136</v>
      </c>
      <c r="F130" t="str">
        <f>"ACCT#0202496901 / 04152021"</f>
        <v>ACCT#0202496901 / 04152021</v>
      </c>
      <c r="G130" s="2">
        <v>32.24</v>
      </c>
      <c r="H130" t="str">
        <f>"AQUA WATER SUPPLY CORPORATION"</f>
        <v>AQUA WATER SUPPLY CORPORATION</v>
      </c>
    </row>
    <row r="131" spans="1:8" x14ac:dyDescent="0.25">
      <c r="A131" t="s">
        <v>29</v>
      </c>
      <c r="B131">
        <v>135592</v>
      </c>
      <c r="C131" s="2">
        <v>1496.5</v>
      </c>
      <c r="D131" s="1">
        <v>44340</v>
      </c>
      <c r="E131" t="str">
        <f>"202105133180"</f>
        <v>202105133180</v>
      </c>
      <c r="F131" t="str">
        <f>"ACCT#7700010026/PCT#3"</f>
        <v>ACCT#7700010026/PCT#3</v>
      </c>
      <c r="G131" s="2">
        <v>881.5</v>
      </c>
      <c r="H131" t="str">
        <f>"ACCT#7700010026/PCT#3"</f>
        <v>ACCT#7700010026/PCT#3</v>
      </c>
    </row>
    <row r="132" spans="1:8" x14ac:dyDescent="0.25">
      <c r="E132" t="str">
        <f>"202105133181"</f>
        <v>202105133181</v>
      </c>
      <c r="F132" t="str">
        <f>"ACCT#7700010025/PCT#2"</f>
        <v>ACCT#7700010025/PCT#2</v>
      </c>
      <c r="G132" s="2">
        <v>123</v>
      </c>
      <c r="H132" t="str">
        <f>"ACCT#7700010025/PCT#2"</f>
        <v>ACCT#7700010025/PCT#2</v>
      </c>
    </row>
    <row r="133" spans="1:8" x14ac:dyDescent="0.25">
      <c r="E133" t="str">
        <f>"202105133183"</f>
        <v>202105133183</v>
      </c>
      <c r="F133" t="str">
        <f>"ACCT#7700010027/PCT#4"</f>
        <v>ACCT#7700010027/PCT#4</v>
      </c>
      <c r="G133" s="2">
        <v>492</v>
      </c>
      <c r="H133" t="str">
        <f>"ACCT#7700010027/PCT#4"</f>
        <v>ACCT#7700010027/PCT#4</v>
      </c>
    </row>
    <row r="134" spans="1:8" x14ac:dyDescent="0.25">
      <c r="A134" t="s">
        <v>29</v>
      </c>
      <c r="B134">
        <v>135731</v>
      </c>
      <c r="C134" s="2">
        <v>903.77</v>
      </c>
      <c r="D134" s="1">
        <v>44344</v>
      </c>
      <c r="E134" t="str">
        <f>"202105283456"</f>
        <v>202105283456</v>
      </c>
      <c r="F134" t="str">
        <f>"ACCT#0102120801 / 05052021"</f>
        <v>ACCT#0102120801 / 05052021</v>
      </c>
      <c r="G134" s="2">
        <v>94.53</v>
      </c>
      <c r="H134" t="str">
        <f>"AQUA WATER SUPPLY CORPORATION"</f>
        <v>AQUA WATER SUPPLY CORPORATION</v>
      </c>
    </row>
    <row r="135" spans="1:8" x14ac:dyDescent="0.25">
      <c r="E135" t="str">
        <f>"202105283457"</f>
        <v>202105283457</v>
      </c>
      <c r="F135" t="str">
        <f>"ACCT#0400785803 / 05042021"</f>
        <v>ACCT#0400785803 / 05042021</v>
      </c>
      <c r="G135" s="2">
        <v>173.71</v>
      </c>
      <c r="H135" t="str">
        <f>"AQUA WATER SUPPLY CORPORATION"</f>
        <v>AQUA WATER SUPPLY CORPORATION</v>
      </c>
    </row>
    <row r="136" spans="1:8" x14ac:dyDescent="0.25">
      <c r="E136" t="str">
        <f>"202105283458"</f>
        <v>202105283458</v>
      </c>
      <c r="F136" t="str">
        <f>"ACCT#0401408501 / 04052021"</f>
        <v>ACCT#0401408501 / 04052021</v>
      </c>
      <c r="G136" s="2">
        <v>559.44000000000005</v>
      </c>
      <c r="H136" t="str">
        <f>"AQUA WATER SUPPLY CORPORATION"</f>
        <v>AQUA WATER SUPPLY CORPORATION</v>
      </c>
    </row>
    <row r="137" spans="1:8" x14ac:dyDescent="0.25">
      <c r="E137" t="str">
        <f>"202105283459"</f>
        <v>202105283459</v>
      </c>
      <c r="F137" t="str">
        <f>"ACCT#0800042801 / 05052021"</f>
        <v>ACCT#0800042801 / 05052021</v>
      </c>
      <c r="G137" s="2">
        <v>50.81</v>
      </c>
      <c r="H137" t="str">
        <f>"AQUA WATER SUPPLY CORPORATION"</f>
        <v>AQUA WATER SUPPLY CORPORATION</v>
      </c>
    </row>
    <row r="138" spans="1:8" x14ac:dyDescent="0.25">
      <c r="E138" t="str">
        <f>"202105283460"</f>
        <v>202105283460</v>
      </c>
      <c r="F138" t="str">
        <f>"ACCT#0802361501 / 05042021"</f>
        <v>ACCT#0802361501 / 05042021</v>
      </c>
      <c r="G138" s="2">
        <v>25.28</v>
      </c>
      <c r="H138" t="str">
        <f>"ACCT#0802361501 / 04032021"</f>
        <v>ACCT#0802361501 / 04032021</v>
      </c>
    </row>
    <row r="139" spans="1:8" x14ac:dyDescent="0.25">
      <c r="A139" t="s">
        <v>30</v>
      </c>
      <c r="B139">
        <v>135593</v>
      </c>
      <c r="C139" s="2">
        <v>82.07</v>
      </c>
      <c r="D139" s="1">
        <v>44340</v>
      </c>
      <c r="E139" t="str">
        <f>"202105193333"</f>
        <v>202105193333</v>
      </c>
      <c r="F139" t="str">
        <f>"INDIGENT HEALTH"</f>
        <v>INDIGENT HEALTH</v>
      </c>
      <c r="G139" s="2">
        <v>82.07</v>
      </c>
      <c r="H139" t="str">
        <f>"INDIGENT HEALTH"</f>
        <v>INDIGENT HEALTH</v>
      </c>
    </row>
    <row r="140" spans="1:8" x14ac:dyDescent="0.25">
      <c r="A140" t="s">
        <v>31</v>
      </c>
      <c r="B140">
        <v>4420</v>
      </c>
      <c r="C140" s="2">
        <v>5316.62</v>
      </c>
      <c r="D140" s="1">
        <v>44327</v>
      </c>
      <c r="E140" t="str">
        <f>"15166"</f>
        <v>15166</v>
      </c>
      <c r="F140" t="str">
        <f>"SOCIAL MEDIA MGMT/ADENA LWEIS"</f>
        <v>SOCIAL MEDIA MGMT/ADENA LWEIS</v>
      </c>
      <c r="G140" s="2">
        <v>4416.62</v>
      </c>
      <c r="H140" t="str">
        <f>"SOCIAL MEDIA MGMT/ADENA LWEIS"</f>
        <v>SOCIAL MEDIA MGMT/ADENA LWEIS</v>
      </c>
    </row>
    <row r="141" spans="1:8" x14ac:dyDescent="0.25">
      <c r="E141" t="str">
        <f>"15169"</f>
        <v>15169</v>
      </c>
      <c r="F141" t="str">
        <f>"WEBSITE/ADENA LEWIS"</f>
        <v>WEBSITE/ADENA LEWIS</v>
      </c>
      <c r="G141" s="2">
        <v>900</v>
      </c>
      <c r="H141" t="str">
        <f>"WEBSITE/ADENA LEWIS"</f>
        <v>WEBSITE/ADENA LEWIS</v>
      </c>
    </row>
    <row r="142" spans="1:8" x14ac:dyDescent="0.25">
      <c r="A142" t="s">
        <v>32</v>
      </c>
      <c r="B142">
        <v>135594</v>
      </c>
      <c r="C142" s="2">
        <v>31299.63</v>
      </c>
      <c r="D142" s="1">
        <v>44340</v>
      </c>
      <c r="E142" t="str">
        <f>"202105193362"</f>
        <v>202105193362</v>
      </c>
      <c r="F142" t="str">
        <f>"JAIL MEDICAL"</f>
        <v>JAIL MEDICAL</v>
      </c>
      <c r="G142" s="2">
        <v>31299.63</v>
      </c>
      <c r="H142" t="str">
        <f>"JAIL MEDICAL"</f>
        <v>JAIL MEDICAL</v>
      </c>
    </row>
    <row r="143" spans="1:8" x14ac:dyDescent="0.25">
      <c r="A143" t="s">
        <v>33</v>
      </c>
      <c r="B143">
        <v>135452</v>
      </c>
      <c r="C143" s="2">
        <v>48.46</v>
      </c>
      <c r="D143" s="1">
        <v>44326</v>
      </c>
      <c r="E143" t="str">
        <f>"202105053025"</f>
        <v>202105053025</v>
      </c>
      <c r="F143" t="str">
        <f>"REIMBURSEMENT/ASHLEY HERMANS"</f>
        <v>REIMBURSEMENT/ASHLEY HERMANS</v>
      </c>
      <c r="G143" s="2">
        <v>48.46</v>
      </c>
      <c r="H143" t="str">
        <f>"REIMBURSEMENT/ASHLEY HERMANS"</f>
        <v>REIMBURSEMENT/ASHLEY HERMANS</v>
      </c>
    </row>
    <row r="144" spans="1:8" x14ac:dyDescent="0.25">
      <c r="A144" t="s">
        <v>33</v>
      </c>
      <c r="B144">
        <v>135595</v>
      </c>
      <c r="C144" s="2">
        <v>85.94</v>
      </c>
      <c r="D144" s="1">
        <v>44340</v>
      </c>
      <c r="E144" t="str">
        <f>"202105183308"</f>
        <v>202105183308</v>
      </c>
      <c r="F144" t="str">
        <f>"REIMBURSEMENT/ASHLEY HERMANS"</f>
        <v>REIMBURSEMENT/ASHLEY HERMANS</v>
      </c>
      <c r="G144" s="2">
        <v>50.95</v>
      </c>
      <c r="H144" t="str">
        <f>"REIMBURSEMENT/ASHLEY HERMANS"</f>
        <v>REIMBURSEMENT/ASHLEY HERMANS</v>
      </c>
    </row>
    <row r="145" spans="1:8" x14ac:dyDescent="0.25">
      <c r="E145" t="str">
        <f>"202105183309"</f>
        <v>202105183309</v>
      </c>
      <c r="F145" t="str">
        <f>"REIMBURSEMENT/ASHLEY HERMANS"</f>
        <v>REIMBURSEMENT/ASHLEY HERMANS</v>
      </c>
      <c r="G145" s="2">
        <v>34.99</v>
      </c>
      <c r="H145" t="str">
        <f>"REIMBURSEMENT/ASHLEY HERMANS"</f>
        <v>REIMBURSEMENT/ASHLEY HERMANS</v>
      </c>
    </row>
    <row r="146" spans="1:8" x14ac:dyDescent="0.25">
      <c r="A146" t="s">
        <v>34</v>
      </c>
      <c r="B146">
        <v>135453</v>
      </c>
      <c r="C146" s="2">
        <v>6091.77</v>
      </c>
      <c r="D146" s="1">
        <v>44326</v>
      </c>
      <c r="E146" t="str">
        <f>"202105032883"</f>
        <v>202105032883</v>
      </c>
      <c r="F146" t="str">
        <f>"ACCT#51230898705307"</f>
        <v>ACCT#51230898705307</v>
      </c>
      <c r="G146" s="2">
        <v>1087.52</v>
      </c>
      <c r="H146" t="str">
        <f>"ACCT#51230898705307"</f>
        <v>ACCT#51230898705307</v>
      </c>
    </row>
    <row r="147" spans="1:8" x14ac:dyDescent="0.25">
      <c r="E147" t="str">
        <f>"202105032884"</f>
        <v>202105032884</v>
      </c>
      <c r="F147" t="str">
        <f>"ACCT#512A49-0048-1933"</f>
        <v>ACCT#512A49-0048-1933</v>
      </c>
      <c r="G147" s="2">
        <v>5004.25</v>
      </c>
      <c r="H147" t="str">
        <f t="shared" ref="H147:H154" si="2">"ACCT#512A49-0048-1933"</f>
        <v>ACCT#512A49-0048-1933</v>
      </c>
    </row>
    <row r="148" spans="1:8" x14ac:dyDescent="0.25">
      <c r="E148" t="str">
        <f>""</f>
        <v/>
      </c>
      <c r="F148" t="str">
        <f>""</f>
        <v/>
      </c>
      <c r="H148" t="str">
        <f t="shared" si="2"/>
        <v>ACCT#512A49-0048-1933</v>
      </c>
    </row>
    <row r="149" spans="1:8" x14ac:dyDescent="0.25">
      <c r="E149" t="str">
        <f>""</f>
        <v/>
      </c>
      <c r="F149" t="str">
        <f>""</f>
        <v/>
      </c>
      <c r="H149" t="str">
        <f t="shared" si="2"/>
        <v>ACCT#512A49-0048-1933</v>
      </c>
    </row>
    <row r="150" spans="1:8" x14ac:dyDescent="0.25">
      <c r="E150" t="str">
        <f>""</f>
        <v/>
      </c>
      <c r="F150" t="str">
        <f>""</f>
        <v/>
      </c>
      <c r="H150" t="str">
        <f t="shared" si="2"/>
        <v>ACCT#512A49-0048-1933</v>
      </c>
    </row>
    <row r="151" spans="1:8" x14ac:dyDescent="0.25">
      <c r="E151" t="str">
        <f>""</f>
        <v/>
      </c>
      <c r="F151" t="str">
        <f>""</f>
        <v/>
      </c>
      <c r="H151" t="str">
        <f t="shared" si="2"/>
        <v>ACCT#512A49-0048-1933</v>
      </c>
    </row>
    <row r="152" spans="1:8" x14ac:dyDescent="0.25">
      <c r="E152" t="str">
        <f>""</f>
        <v/>
      </c>
      <c r="F152" t="str">
        <f>""</f>
        <v/>
      </c>
      <c r="H152" t="str">
        <f t="shared" si="2"/>
        <v>ACCT#512A49-0048-1933</v>
      </c>
    </row>
    <row r="153" spans="1:8" x14ac:dyDescent="0.25">
      <c r="E153" t="str">
        <f>""</f>
        <v/>
      </c>
      <c r="F153" t="str">
        <f>""</f>
        <v/>
      </c>
      <c r="H153" t="str">
        <f t="shared" si="2"/>
        <v>ACCT#512A49-0048-1933</v>
      </c>
    </row>
    <row r="154" spans="1:8" x14ac:dyDescent="0.25">
      <c r="E154" t="str">
        <f>""</f>
        <v/>
      </c>
      <c r="F154" t="str">
        <f>""</f>
        <v/>
      </c>
      <c r="H154" t="str">
        <f t="shared" si="2"/>
        <v>ACCT#512A49-0048-1933</v>
      </c>
    </row>
    <row r="155" spans="1:8" x14ac:dyDescent="0.25">
      <c r="A155" t="s">
        <v>34</v>
      </c>
      <c r="B155">
        <v>135454</v>
      </c>
      <c r="C155" s="2">
        <v>6693.88</v>
      </c>
      <c r="D155" s="1">
        <v>44326</v>
      </c>
      <c r="E155" t="str">
        <f>"0139061600"</f>
        <v>0139061600</v>
      </c>
      <c r="F155" t="str">
        <f>"ACCT#8310007919623"</f>
        <v>ACCT#8310007919623</v>
      </c>
      <c r="G155" s="2">
        <v>2000.38</v>
      </c>
      <c r="H155" t="str">
        <f>"ACCT#8310007919623"</f>
        <v>ACCT#8310007919623</v>
      </c>
    </row>
    <row r="156" spans="1:8" x14ac:dyDescent="0.25">
      <c r="E156" t="str">
        <f>"04812222603"</f>
        <v>04812222603</v>
      </c>
      <c r="F156" t="str">
        <f>"ACCT#8310009850451"</f>
        <v>ACCT#8310009850451</v>
      </c>
      <c r="G156" s="2">
        <v>2134.56</v>
      </c>
      <c r="H156" t="str">
        <f>"ACCT#8310009850451"</f>
        <v>ACCT#8310009850451</v>
      </c>
    </row>
    <row r="157" spans="1:8" x14ac:dyDescent="0.25">
      <c r="E157" t="str">
        <f>"2055051608"</f>
        <v>2055051608</v>
      </c>
      <c r="F157" t="str">
        <f>"ACCT#8310007218923"</f>
        <v>ACCT#8310007218923</v>
      </c>
      <c r="G157" s="2">
        <v>874.25</v>
      </c>
      <c r="H157" t="str">
        <f>"ACCT#8310007218923"</f>
        <v>ACCT#8310007218923</v>
      </c>
    </row>
    <row r="158" spans="1:8" x14ac:dyDescent="0.25">
      <c r="E158" t="str">
        <f>"8310006084095"</f>
        <v>8310006084095</v>
      </c>
      <c r="F158" t="str">
        <f>"ACCT#8310006084095"</f>
        <v>ACCT#8310006084095</v>
      </c>
      <c r="G158" s="2">
        <v>1684.69</v>
      </c>
      <c r="H158" t="str">
        <f>"ACCT#8310006084095"</f>
        <v>ACCT#8310006084095</v>
      </c>
    </row>
    <row r="159" spans="1:8" x14ac:dyDescent="0.25">
      <c r="A159" t="s">
        <v>35</v>
      </c>
      <c r="B159">
        <v>135455</v>
      </c>
      <c r="C159" s="2">
        <v>4516.26</v>
      </c>
      <c r="D159" s="1">
        <v>44326</v>
      </c>
      <c r="E159" t="str">
        <f>"202105053054"</f>
        <v>202105053054</v>
      </c>
      <c r="F159" t="str">
        <f>"ACCT#287290524359"</f>
        <v>ACCT#287290524359</v>
      </c>
      <c r="G159" s="2">
        <v>4516.26</v>
      </c>
      <c r="H159" t="str">
        <f t="shared" ref="H159:H172" si="3">"ACCT#287290524359"</f>
        <v>ACCT#287290524359</v>
      </c>
    </row>
    <row r="160" spans="1:8" x14ac:dyDescent="0.25">
      <c r="E160" t="str">
        <f>""</f>
        <v/>
      </c>
      <c r="F160" t="str">
        <f>""</f>
        <v/>
      </c>
      <c r="H160" t="str">
        <f t="shared" si="3"/>
        <v>ACCT#287290524359</v>
      </c>
    </row>
    <row r="161" spans="1:8" x14ac:dyDescent="0.25">
      <c r="E161" t="str">
        <f>""</f>
        <v/>
      </c>
      <c r="F161" t="str">
        <f>""</f>
        <v/>
      </c>
      <c r="H161" t="str">
        <f t="shared" si="3"/>
        <v>ACCT#287290524359</v>
      </c>
    </row>
    <row r="162" spans="1:8" x14ac:dyDescent="0.25">
      <c r="E162" t="str">
        <f>""</f>
        <v/>
      </c>
      <c r="F162" t="str">
        <f>""</f>
        <v/>
      </c>
      <c r="H162" t="str">
        <f t="shared" si="3"/>
        <v>ACCT#287290524359</v>
      </c>
    </row>
    <row r="163" spans="1:8" x14ac:dyDescent="0.25">
      <c r="E163" t="str">
        <f>""</f>
        <v/>
      </c>
      <c r="F163" t="str">
        <f>""</f>
        <v/>
      </c>
      <c r="H163" t="str">
        <f t="shared" si="3"/>
        <v>ACCT#287290524359</v>
      </c>
    </row>
    <row r="164" spans="1:8" x14ac:dyDescent="0.25">
      <c r="E164" t="str">
        <f>""</f>
        <v/>
      </c>
      <c r="F164" t="str">
        <f>""</f>
        <v/>
      </c>
      <c r="H164" t="str">
        <f t="shared" si="3"/>
        <v>ACCT#287290524359</v>
      </c>
    </row>
    <row r="165" spans="1:8" x14ac:dyDescent="0.25">
      <c r="E165" t="str">
        <f>""</f>
        <v/>
      </c>
      <c r="F165" t="str">
        <f>""</f>
        <v/>
      </c>
      <c r="H165" t="str">
        <f t="shared" si="3"/>
        <v>ACCT#287290524359</v>
      </c>
    </row>
    <row r="166" spans="1:8" x14ac:dyDescent="0.25">
      <c r="E166" t="str">
        <f>""</f>
        <v/>
      </c>
      <c r="F166" t="str">
        <f>""</f>
        <v/>
      </c>
      <c r="H166" t="str">
        <f t="shared" si="3"/>
        <v>ACCT#287290524359</v>
      </c>
    </row>
    <row r="167" spans="1:8" x14ac:dyDescent="0.25">
      <c r="E167" t="str">
        <f>""</f>
        <v/>
      </c>
      <c r="F167" t="str">
        <f>""</f>
        <v/>
      </c>
      <c r="H167" t="str">
        <f t="shared" si="3"/>
        <v>ACCT#287290524359</v>
      </c>
    </row>
    <row r="168" spans="1:8" x14ac:dyDescent="0.25">
      <c r="E168" t="str">
        <f>""</f>
        <v/>
      </c>
      <c r="F168" t="str">
        <f>""</f>
        <v/>
      </c>
      <c r="H168" t="str">
        <f t="shared" si="3"/>
        <v>ACCT#287290524359</v>
      </c>
    </row>
    <row r="169" spans="1:8" x14ac:dyDescent="0.25">
      <c r="E169" t="str">
        <f>""</f>
        <v/>
      </c>
      <c r="F169" t="str">
        <f>""</f>
        <v/>
      </c>
      <c r="H169" t="str">
        <f t="shared" si="3"/>
        <v>ACCT#287290524359</v>
      </c>
    </row>
    <row r="170" spans="1:8" x14ac:dyDescent="0.25">
      <c r="E170" t="str">
        <f>""</f>
        <v/>
      </c>
      <c r="F170" t="str">
        <f>""</f>
        <v/>
      </c>
      <c r="H170" t="str">
        <f t="shared" si="3"/>
        <v>ACCT#287290524359</v>
      </c>
    </row>
    <row r="171" spans="1:8" x14ac:dyDescent="0.25">
      <c r="E171" t="str">
        <f>""</f>
        <v/>
      </c>
      <c r="F171" t="str">
        <f>""</f>
        <v/>
      </c>
      <c r="H171" t="str">
        <f t="shared" si="3"/>
        <v>ACCT#287290524359</v>
      </c>
    </row>
    <row r="172" spans="1:8" x14ac:dyDescent="0.25">
      <c r="E172" t="str">
        <f>""</f>
        <v/>
      </c>
      <c r="F172" t="str">
        <f>""</f>
        <v/>
      </c>
      <c r="H172" t="str">
        <f t="shared" si="3"/>
        <v>ACCT#287290524359</v>
      </c>
    </row>
    <row r="173" spans="1:8" x14ac:dyDescent="0.25">
      <c r="A173" t="s">
        <v>35</v>
      </c>
      <c r="B173">
        <v>135596</v>
      </c>
      <c r="C173" s="2">
        <v>1755.65</v>
      </c>
      <c r="D173" s="1">
        <v>44340</v>
      </c>
      <c r="E173" t="str">
        <f>"202105183311"</f>
        <v>202105183311</v>
      </c>
      <c r="F173" t="str">
        <f>"ACCT#287263291654"</f>
        <v>ACCT#287263291654</v>
      </c>
      <c r="G173" s="2">
        <v>1490.05</v>
      </c>
      <c r="H173" t="str">
        <f t="shared" ref="H173:H188" si="4">"ACCT#287263291654"</f>
        <v>ACCT#287263291654</v>
      </c>
    </row>
    <row r="174" spans="1:8" x14ac:dyDescent="0.25">
      <c r="E174" t="str">
        <f>""</f>
        <v/>
      </c>
      <c r="F174" t="str">
        <f>""</f>
        <v/>
      </c>
      <c r="H174" t="str">
        <f t="shared" si="4"/>
        <v>ACCT#287263291654</v>
      </c>
    </row>
    <row r="175" spans="1:8" x14ac:dyDescent="0.25">
      <c r="E175" t="str">
        <f>""</f>
        <v/>
      </c>
      <c r="F175" t="str">
        <f>""</f>
        <v/>
      </c>
      <c r="H175" t="str">
        <f t="shared" si="4"/>
        <v>ACCT#287263291654</v>
      </c>
    </row>
    <row r="176" spans="1:8" x14ac:dyDescent="0.25">
      <c r="E176" t="str">
        <f>""</f>
        <v/>
      </c>
      <c r="F176" t="str">
        <f>""</f>
        <v/>
      </c>
      <c r="H176" t="str">
        <f t="shared" si="4"/>
        <v>ACCT#287263291654</v>
      </c>
    </row>
    <row r="177" spans="1:8" x14ac:dyDescent="0.25">
      <c r="E177" t="str">
        <f>""</f>
        <v/>
      </c>
      <c r="F177" t="str">
        <f>""</f>
        <v/>
      </c>
      <c r="H177" t="str">
        <f t="shared" si="4"/>
        <v>ACCT#287263291654</v>
      </c>
    </row>
    <row r="178" spans="1:8" x14ac:dyDescent="0.25">
      <c r="E178" t="str">
        <f>""</f>
        <v/>
      </c>
      <c r="F178" t="str">
        <f>""</f>
        <v/>
      </c>
      <c r="H178" t="str">
        <f t="shared" si="4"/>
        <v>ACCT#287263291654</v>
      </c>
    </row>
    <row r="179" spans="1:8" x14ac:dyDescent="0.25">
      <c r="E179" t="str">
        <f>""</f>
        <v/>
      </c>
      <c r="F179" t="str">
        <f>""</f>
        <v/>
      </c>
      <c r="H179" t="str">
        <f t="shared" si="4"/>
        <v>ACCT#287263291654</v>
      </c>
    </row>
    <row r="180" spans="1:8" x14ac:dyDescent="0.25">
      <c r="E180" t="str">
        <f>""</f>
        <v/>
      </c>
      <c r="F180" t="str">
        <f>""</f>
        <v/>
      </c>
      <c r="H180" t="str">
        <f t="shared" si="4"/>
        <v>ACCT#287263291654</v>
      </c>
    </row>
    <row r="181" spans="1:8" x14ac:dyDescent="0.25">
      <c r="E181" t="str">
        <f>""</f>
        <v/>
      </c>
      <c r="F181" t="str">
        <f>""</f>
        <v/>
      </c>
      <c r="H181" t="str">
        <f t="shared" si="4"/>
        <v>ACCT#287263291654</v>
      </c>
    </row>
    <row r="182" spans="1:8" x14ac:dyDescent="0.25">
      <c r="E182" t="str">
        <f>""</f>
        <v/>
      </c>
      <c r="F182" t="str">
        <f>""</f>
        <v/>
      </c>
      <c r="H182" t="str">
        <f t="shared" si="4"/>
        <v>ACCT#287263291654</v>
      </c>
    </row>
    <row r="183" spans="1:8" x14ac:dyDescent="0.25">
      <c r="E183" t="str">
        <f>""</f>
        <v/>
      </c>
      <c r="F183" t="str">
        <f>""</f>
        <v/>
      </c>
      <c r="H183" t="str">
        <f t="shared" si="4"/>
        <v>ACCT#287263291654</v>
      </c>
    </row>
    <row r="184" spans="1:8" x14ac:dyDescent="0.25">
      <c r="E184" t="str">
        <f>""</f>
        <v/>
      </c>
      <c r="F184" t="str">
        <f>""</f>
        <v/>
      </c>
      <c r="H184" t="str">
        <f t="shared" si="4"/>
        <v>ACCT#287263291654</v>
      </c>
    </row>
    <row r="185" spans="1:8" x14ac:dyDescent="0.25">
      <c r="E185" t="str">
        <f>""</f>
        <v/>
      </c>
      <c r="F185" t="str">
        <f>""</f>
        <v/>
      </c>
      <c r="H185" t="str">
        <f t="shared" si="4"/>
        <v>ACCT#287263291654</v>
      </c>
    </row>
    <row r="186" spans="1:8" x14ac:dyDescent="0.25">
      <c r="E186" t="str">
        <f>""</f>
        <v/>
      </c>
      <c r="F186" t="str">
        <f>""</f>
        <v/>
      </c>
      <c r="H186" t="str">
        <f t="shared" si="4"/>
        <v>ACCT#287263291654</v>
      </c>
    </row>
    <row r="187" spans="1:8" x14ac:dyDescent="0.25">
      <c r="E187" t="str">
        <f>""</f>
        <v/>
      </c>
      <c r="F187" t="str">
        <f>""</f>
        <v/>
      </c>
      <c r="H187" t="str">
        <f t="shared" si="4"/>
        <v>ACCT#287263291654</v>
      </c>
    </row>
    <row r="188" spans="1:8" x14ac:dyDescent="0.25">
      <c r="E188" t="str">
        <f>""</f>
        <v/>
      </c>
      <c r="F188" t="str">
        <f>""</f>
        <v/>
      </c>
      <c r="H188" t="str">
        <f t="shared" si="4"/>
        <v>ACCT#287263291654</v>
      </c>
    </row>
    <row r="189" spans="1:8" x14ac:dyDescent="0.25">
      <c r="E189" t="str">
        <f>"202105183325"</f>
        <v>202105183325</v>
      </c>
      <c r="F189" t="str">
        <f>"INV 287280903541X05202021"</f>
        <v>INV 287280903541X05202021</v>
      </c>
      <c r="G189" s="2">
        <v>265.60000000000002</v>
      </c>
      <c r="H189" t="str">
        <f>"INV 287280903541X05202021"</f>
        <v>INV 287280903541X05202021</v>
      </c>
    </row>
    <row r="190" spans="1:8" x14ac:dyDescent="0.25">
      <c r="A190" t="s">
        <v>36</v>
      </c>
      <c r="B190">
        <v>135597</v>
      </c>
      <c r="C190" s="2">
        <v>343.32</v>
      </c>
      <c r="D190" s="1">
        <v>44340</v>
      </c>
      <c r="E190" t="str">
        <f>"SO-11168652"</f>
        <v>SO-11168652</v>
      </c>
      <c r="F190" t="str">
        <f>"INV - SO-11168652"</f>
        <v>INV - SO-11168652</v>
      </c>
      <c r="G190" s="2">
        <v>343.32</v>
      </c>
      <c r="H190" t="str">
        <f>"INV - SO-11168652"</f>
        <v>INV - SO-11168652</v>
      </c>
    </row>
    <row r="191" spans="1:8" x14ac:dyDescent="0.25">
      <c r="A191" t="s">
        <v>37</v>
      </c>
      <c r="B191">
        <v>4517</v>
      </c>
      <c r="C191" s="2">
        <v>317</v>
      </c>
      <c r="D191" s="1">
        <v>44341</v>
      </c>
      <c r="E191" t="str">
        <f>"4317"</f>
        <v>4317</v>
      </c>
      <c r="F191" t="str">
        <f>"CAMLOCK/PCT#2"</f>
        <v>CAMLOCK/PCT#2</v>
      </c>
      <c r="G191" s="2">
        <v>317</v>
      </c>
      <c r="H191" t="str">
        <f>"CAMLOCK/PCT#2"</f>
        <v>CAMLOCK/PCT#2</v>
      </c>
    </row>
    <row r="192" spans="1:8" x14ac:dyDescent="0.25">
      <c r="A192" t="s">
        <v>38</v>
      </c>
      <c r="B192">
        <v>135456</v>
      </c>
      <c r="C192" s="2">
        <v>238.87</v>
      </c>
      <c r="D192" s="1">
        <v>44326</v>
      </c>
      <c r="E192" t="str">
        <f>"0000631305"</f>
        <v>0000631305</v>
      </c>
      <c r="F192" t="str">
        <f>"Notice"</f>
        <v>Notice</v>
      </c>
      <c r="G192" s="2">
        <v>238.87</v>
      </c>
      <c r="H192" t="str">
        <f>"Credit"</f>
        <v>Credit</v>
      </c>
    </row>
    <row r="193" spans="1:8" x14ac:dyDescent="0.25">
      <c r="E193" t="str">
        <f>""</f>
        <v/>
      </c>
      <c r="F193" t="str">
        <f>""</f>
        <v/>
      </c>
      <c r="H193" t="str">
        <f>"0000631305"</f>
        <v>0000631305</v>
      </c>
    </row>
    <row r="194" spans="1:8" x14ac:dyDescent="0.25">
      <c r="E194" t="str">
        <f>""</f>
        <v/>
      </c>
      <c r="F194" t="str">
        <f>""</f>
        <v/>
      </c>
      <c r="H194" t="str">
        <f>"0000631306"</f>
        <v>0000631306</v>
      </c>
    </row>
    <row r="195" spans="1:8" x14ac:dyDescent="0.25">
      <c r="A195" t="s">
        <v>39</v>
      </c>
      <c r="B195">
        <v>135570</v>
      </c>
      <c r="C195" s="2">
        <v>1000</v>
      </c>
      <c r="D195" s="1">
        <v>44328</v>
      </c>
      <c r="E195" t="str">
        <f>"202105123164"</f>
        <v>202105123164</v>
      </c>
      <c r="F195" t="str">
        <f>"EARNEST MONEY/5.010 ACRES"</f>
        <v>EARNEST MONEY/5.010 ACRES</v>
      </c>
      <c r="G195" s="2">
        <v>1000</v>
      </c>
      <c r="H195" t="str">
        <f>"EARNEST MONEY/5.010 ACRES"</f>
        <v>EARNEST MONEY/5.010 ACRES</v>
      </c>
    </row>
    <row r="196" spans="1:8" x14ac:dyDescent="0.25">
      <c r="A196" t="s">
        <v>39</v>
      </c>
      <c r="B196">
        <v>135730</v>
      </c>
      <c r="C196" s="2">
        <v>269239.09999999998</v>
      </c>
      <c r="D196" s="1">
        <v>44341</v>
      </c>
      <c r="E196" t="str">
        <f>"202105253394"</f>
        <v>202105253394</v>
      </c>
      <c r="F196" t="str">
        <f>"LOVER'S LANE (TRACT 3)"</f>
        <v>LOVER'S LANE (TRACT 3)</v>
      </c>
      <c r="G196" s="2">
        <v>269239.09999999998</v>
      </c>
      <c r="H196" t="str">
        <f>"AUSTIN TITLE COMPANY"</f>
        <v>AUSTIN TITLE COMPANY</v>
      </c>
    </row>
    <row r="197" spans="1:8" x14ac:dyDescent="0.25">
      <c r="A197" t="s">
        <v>40</v>
      </c>
      <c r="B197">
        <v>4489</v>
      </c>
      <c r="C197" s="2">
        <v>500</v>
      </c>
      <c r="D197" s="1">
        <v>44341</v>
      </c>
      <c r="E197" t="str">
        <f>"202105173283"</f>
        <v>202105173283</v>
      </c>
      <c r="F197" t="str">
        <f>"423-7065"</f>
        <v>423-7065</v>
      </c>
      <c r="G197" s="2">
        <v>500</v>
      </c>
      <c r="H197" t="str">
        <f>"423-7065"</f>
        <v>423-7065</v>
      </c>
    </row>
    <row r="198" spans="1:8" x14ac:dyDescent="0.25">
      <c r="A198" t="s">
        <v>41</v>
      </c>
      <c r="B198">
        <v>135598</v>
      </c>
      <c r="C198" s="2">
        <v>8.9499999999999993</v>
      </c>
      <c r="D198" s="1">
        <v>44340</v>
      </c>
      <c r="E198" t="str">
        <f>"1522696"</f>
        <v>1522696</v>
      </c>
      <c r="F198" t="str">
        <f>"JIM ATTRA INC"</f>
        <v>JIM ATTRA INC</v>
      </c>
      <c r="G198" s="2">
        <v>8.9499999999999993</v>
      </c>
      <c r="H198" t="str">
        <f>""</f>
        <v/>
      </c>
    </row>
    <row r="199" spans="1:8" x14ac:dyDescent="0.25">
      <c r="A199" t="s">
        <v>42</v>
      </c>
      <c r="B199">
        <v>4442</v>
      </c>
      <c r="C199" s="2">
        <v>1990.89</v>
      </c>
      <c r="D199" s="1">
        <v>44327</v>
      </c>
      <c r="E199" t="str">
        <f>"202105042975"</f>
        <v>202105042975</v>
      </c>
      <c r="F199" t="str">
        <f>"CUST#0010/PCT#2"</f>
        <v>CUST#0010/PCT#2</v>
      </c>
      <c r="G199" s="2">
        <v>638.49</v>
      </c>
      <c r="H199" t="str">
        <f>"CUST#0010/PCT#2"</f>
        <v>CUST#0010/PCT#2</v>
      </c>
    </row>
    <row r="200" spans="1:8" x14ac:dyDescent="0.25">
      <c r="E200" t="str">
        <f>"202105042985"</f>
        <v>202105042985</v>
      </c>
      <c r="F200" t="str">
        <f>"CUST#0011/PCT#3"</f>
        <v>CUST#0011/PCT#3</v>
      </c>
      <c r="G200" s="2">
        <v>1124.9100000000001</v>
      </c>
      <c r="H200" t="str">
        <f>"CUST#0011/PCT#3"</f>
        <v>CUST#0011/PCT#3</v>
      </c>
    </row>
    <row r="201" spans="1:8" x14ac:dyDescent="0.25">
      <c r="E201" t="str">
        <f>"202105053047"</f>
        <v>202105053047</v>
      </c>
      <c r="F201" t="str">
        <f>"CUST#0009/PCT#1"</f>
        <v>CUST#0009/PCT#1</v>
      </c>
      <c r="G201" s="2">
        <v>227.49</v>
      </c>
      <c r="H201" t="str">
        <f>"CUST#0009/PCT#1"</f>
        <v>CUST#0009/PCT#1</v>
      </c>
    </row>
    <row r="202" spans="1:8" x14ac:dyDescent="0.25">
      <c r="A202" t="s">
        <v>43</v>
      </c>
      <c r="B202">
        <v>4405</v>
      </c>
      <c r="C202" s="2">
        <v>11900</v>
      </c>
      <c r="D202" s="1">
        <v>44327</v>
      </c>
      <c r="E202" t="str">
        <f>"1632"</f>
        <v>1632</v>
      </c>
      <c r="F202" t="str">
        <f>"FLOWABLE FILL/COPPERAS CREEK"</f>
        <v>FLOWABLE FILL/COPPERAS CREEK</v>
      </c>
      <c r="G202" s="2">
        <v>4950</v>
      </c>
      <c r="H202" t="str">
        <f>"FLOWABLE FILL/COPPERAS CREEK"</f>
        <v>FLOWABLE FILL/COPPERAS CREEK</v>
      </c>
    </row>
    <row r="203" spans="1:8" x14ac:dyDescent="0.25">
      <c r="E203" t="str">
        <f>"1635"</f>
        <v>1635</v>
      </c>
      <c r="F203" t="str">
        <f>"REMOVE TREES/NEW COUNTY PARK"</f>
        <v>REMOVE TREES/NEW COUNTY PARK</v>
      </c>
      <c r="G203" s="2">
        <v>5000</v>
      </c>
      <c r="H203" t="str">
        <f>"REMOVE TREES/NEW COUNTY PARK"</f>
        <v>REMOVE TREES/NEW COUNTY PARK</v>
      </c>
    </row>
    <row r="204" spans="1:8" x14ac:dyDescent="0.25">
      <c r="E204" t="str">
        <f>"1637"</f>
        <v>1637</v>
      </c>
      <c r="F204" t="str">
        <f>"REMOVED LARGE TREE HACKBERRY"</f>
        <v>REMOVED LARGE TREE HACKBERRY</v>
      </c>
      <c r="G204" s="2">
        <v>1950</v>
      </c>
      <c r="H204" t="str">
        <f>"REMOVED LARGE TREE HACKBERRY"</f>
        <v>REMOVED LARGE TREE HACKBERRY</v>
      </c>
    </row>
    <row r="205" spans="1:8" x14ac:dyDescent="0.25">
      <c r="A205" t="s">
        <v>43</v>
      </c>
      <c r="B205">
        <v>4481</v>
      </c>
      <c r="C205" s="2">
        <v>6200</v>
      </c>
      <c r="D205" s="1">
        <v>44341</v>
      </c>
      <c r="E205" t="str">
        <f>"1640"</f>
        <v>1640</v>
      </c>
      <c r="F205" t="str">
        <f>"PINE TREE/CR 196/PCT#2"</f>
        <v>PINE TREE/CR 196/PCT#2</v>
      </c>
      <c r="G205" s="2">
        <v>2500</v>
      </c>
      <c r="H205" t="str">
        <f>"PINE TREE/CR 196/PCT#2"</f>
        <v>PINE TREE/CR 196/PCT#2</v>
      </c>
    </row>
    <row r="206" spans="1:8" x14ac:dyDescent="0.25">
      <c r="E206" t="str">
        <f>"1936"</f>
        <v>1936</v>
      </c>
      <c r="F206" t="str">
        <f>"PINE TREE/NINK ROAD/PCT#2"</f>
        <v>PINE TREE/NINK ROAD/PCT#2</v>
      </c>
      <c r="G206" s="2">
        <v>2500</v>
      </c>
      <c r="H206" t="str">
        <f>"PINE TREE/NINK ROAD/PCT#2"</f>
        <v>PINE TREE/NINK ROAD/PCT#2</v>
      </c>
    </row>
    <row r="207" spans="1:8" x14ac:dyDescent="0.25">
      <c r="E207" t="str">
        <f>"1938"</f>
        <v>1938</v>
      </c>
      <c r="F207" t="str">
        <f>"LARGE PINE TREE/PUU ROAD/PCT#1"</f>
        <v>LARGE PINE TREE/PUU ROAD/PCT#1</v>
      </c>
      <c r="G207" s="2">
        <v>1200</v>
      </c>
      <c r="H207" t="str">
        <f>"LARGE PINE TREE/PUU ROAD/PCT#1"</f>
        <v>LARGE PINE TREE/PUU ROAD/PCT#1</v>
      </c>
    </row>
    <row r="208" spans="1:8" x14ac:dyDescent="0.25">
      <c r="A208" t="s">
        <v>44</v>
      </c>
      <c r="B208">
        <v>135599</v>
      </c>
      <c r="C208" s="2">
        <v>154634.20000000001</v>
      </c>
      <c r="D208" s="1">
        <v>44340</v>
      </c>
      <c r="E208" t="str">
        <f>"202105173286"</f>
        <v>202105173286</v>
      </c>
      <c r="F208" t="str">
        <f>"BCAD LOCAL SUPPORT/3RD QTR"</f>
        <v>BCAD LOCAL SUPPORT/3RD QTR</v>
      </c>
      <c r="G208" s="2">
        <v>154634.20000000001</v>
      </c>
      <c r="H208" t="str">
        <f>"BCAD LOCAL SUPPORT/3RD QTR"</f>
        <v>BCAD LOCAL SUPPORT/3RD QTR</v>
      </c>
    </row>
    <row r="209" spans="1:8" x14ac:dyDescent="0.25">
      <c r="A209" t="s">
        <v>45</v>
      </c>
      <c r="B209">
        <v>135457</v>
      </c>
      <c r="C209" s="2">
        <v>1219</v>
      </c>
      <c r="D209" s="1">
        <v>44326</v>
      </c>
      <c r="E209" t="str">
        <f>"12159"</f>
        <v>12159</v>
      </c>
      <c r="F209" t="str">
        <f t="shared" ref="F209:F214" si="5">"SERVICE"</f>
        <v>SERVICE</v>
      </c>
      <c r="G209" s="2">
        <v>275</v>
      </c>
      <c r="H209" t="str">
        <f t="shared" ref="H209:H214" si="6">"SERVICE"</f>
        <v>SERVICE</v>
      </c>
    </row>
    <row r="210" spans="1:8" x14ac:dyDescent="0.25">
      <c r="E210" t="str">
        <f>"12763"</f>
        <v>12763</v>
      </c>
      <c r="F210" t="str">
        <f t="shared" si="5"/>
        <v>SERVICE</v>
      </c>
      <c r="G210" s="2">
        <v>325</v>
      </c>
      <c r="H210" t="str">
        <f t="shared" si="6"/>
        <v>SERVICE</v>
      </c>
    </row>
    <row r="211" spans="1:8" x14ac:dyDescent="0.25">
      <c r="E211" t="str">
        <f>"12787"</f>
        <v>12787</v>
      </c>
      <c r="F211" t="str">
        <f t="shared" si="5"/>
        <v>SERVICE</v>
      </c>
      <c r="G211" s="2">
        <v>300</v>
      </c>
      <c r="H211" t="str">
        <f t="shared" si="6"/>
        <v>SERVICE</v>
      </c>
    </row>
    <row r="212" spans="1:8" x14ac:dyDescent="0.25">
      <c r="E212" t="str">
        <f>"13464"</f>
        <v>13464</v>
      </c>
      <c r="F212" t="str">
        <f t="shared" si="5"/>
        <v>SERVICE</v>
      </c>
      <c r="G212" s="2">
        <v>225</v>
      </c>
      <c r="H212" t="str">
        <f t="shared" si="6"/>
        <v>SERVICE</v>
      </c>
    </row>
    <row r="213" spans="1:8" x14ac:dyDescent="0.25">
      <c r="E213" t="str">
        <f>"13603"</f>
        <v>13603</v>
      </c>
      <c r="F213" t="str">
        <f t="shared" si="5"/>
        <v>SERVICE</v>
      </c>
      <c r="G213" s="2">
        <v>37</v>
      </c>
      <c r="H213" t="str">
        <f t="shared" si="6"/>
        <v>SERVICE</v>
      </c>
    </row>
    <row r="214" spans="1:8" x14ac:dyDescent="0.25">
      <c r="E214" t="str">
        <f>"13611"</f>
        <v>13611</v>
      </c>
      <c r="F214" t="str">
        <f t="shared" si="5"/>
        <v>SERVICE</v>
      </c>
      <c r="G214" s="2">
        <v>57</v>
      </c>
      <c r="H214" t="str">
        <f t="shared" si="6"/>
        <v>SERVICE</v>
      </c>
    </row>
    <row r="215" spans="1:8" x14ac:dyDescent="0.25">
      <c r="A215" t="s">
        <v>46</v>
      </c>
      <c r="B215">
        <v>4441</v>
      </c>
      <c r="C215" s="2">
        <v>140.16999999999999</v>
      </c>
      <c r="D215" s="1">
        <v>44327</v>
      </c>
      <c r="E215" t="str">
        <f>"16609"</f>
        <v>16609</v>
      </c>
      <c r="F215" t="str">
        <f>"ACCT# BC01"</f>
        <v>ACCT# BC01</v>
      </c>
      <c r="G215" s="2">
        <v>140.16999999999999</v>
      </c>
      <c r="H215" t="str">
        <f>"ACCT# BC01"</f>
        <v>ACCT# BC01</v>
      </c>
    </row>
    <row r="216" spans="1:8" x14ac:dyDescent="0.25">
      <c r="E216" t="str">
        <f>""</f>
        <v/>
      </c>
      <c r="F216" t="str">
        <f>""</f>
        <v/>
      </c>
      <c r="H216" t="str">
        <f>"ACCT# BC01"</f>
        <v>ACCT# BC01</v>
      </c>
    </row>
    <row r="217" spans="1:8" x14ac:dyDescent="0.25">
      <c r="E217" t="str">
        <f>""</f>
        <v/>
      </c>
      <c r="F217" t="str">
        <f>""</f>
        <v/>
      </c>
      <c r="H217" t="str">
        <f>"ACCT# BC01"</f>
        <v>ACCT# BC01</v>
      </c>
    </row>
    <row r="218" spans="1:8" x14ac:dyDescent="0.25">
      <c r="A218" t="s">
        <v>46</v>
      </c>
      <c r="B218">
        <v>4519</v>
      </c>
      <c r="C218" s="2">
        <v>748.9</v>
      </c>
      <c r="D218" s="1">
        <v>44341</v>
      </c>
      <c r="E218" t="str">
        <f>"202105133172"</f>
        <v>202105133172</v>
      </c>
      <c r="F218" t="str">
        <f>"ACCT#BC01/BASTROP COPIER"</f>
        <v>ACCT#BC01/BASTROP COPIER</v>
      </c>
      <c r="G218" s="2">
        <v>748.9</v>
      </c>
      <c r="H218" t="str">
        <f>"ACCT#BC01/BASTROP COPIER"</f>
        <v>ACCT#BC01/BASTROP COPIER</v>
      </c>
    </row>
    <row r="219" spans="1:8" x14ac:dyDescent="0.25">
      <c r="E219" t="str">
        <f>""</f>
        <v/>
      </c>
      <c r="F219" t="str">
        <f>""</f>
        <v/>
      </c>
      <c r="H219" t="str">
        <f>"ACCT#BC01/BASTROP COPIER"</f>
        <v>ACCT#BC01/BASTROP COPIER</v>
      </c>
    </row>
    <row r="220" spans="1:8" x14ac:dyDescent="0.25">
      <c r="E220" t="str">
        <f>""</f>
        <v/>
      </c>
      <c r="F220" t="str">
        <f>""</f>
        <v/>
      </c>
      <c r="H220" t="str">
        <f>"ACCT#BC01/BASTROP COPIER"</f>
        <v>ACCT#BC01/BASTROP COPIER</v>
      </c>
    </row>
    <row r="221" spans="1:8" x14ac:dyDescent="0.25">
      <c r="A221" t="s">
        <v>47</v>
      </c>
      <c r="B221">
        <v>4455</v>
      </c>
      <c r="C221" s="2">
        <v>127.5</v>
      </c>
      <c r="D221" s="1">
        <v>44327</v>
      </c>
      <c r="E221" t="str">
        <f>"202105042970"</f>
        <v>202105042970</v>
      </c>
      <c r="F221" t="str">
        <f>"VEHICLE REGISTRATIONS 5/4/21"</f>
        <v>VEHICLE REGISTRATIONS 5/4/21</v>
      </c>
      <c r="G221" s="2">
        <v>127.5</v>
      </c>
      <c r="H221" t="str">
        <f t="shared" ref="H221:H237" si="7">"VEHICLE REGISTRATIONS 5/4/21"</f>
        <v>VEHICLE REGISTRATIONS 5/4/21</v>
      </c>
    </row>
    <row r="222" spans="1:8" x14ac:dyDescent="0.25">
      <c r="E222" t="str">
        <f>""</f>
        <v/>
      </c>
      <c r="F222" t="str">
        <f>""</f>
        <v/>
      </c>
      <c r="H222" t="str">
        <f t="shared" si="7"/>
        <v>VEHICLE REGISTRATIONS 5/4/21</v>
      </c>
    </row>
    <row r="223" spans="1:8" x14ac:dyDescent="0.25">
      <c r="E223" t="str">
        <f>""</f>
        <v/>
      </c>
      <c r="F223" t="str">
        <f>""</f>
        <v/>
      </c>
      <c r="H223" t="str">
        <f t="shared" si="7"/>
        <v>VEHICLE REGISTRATIONS 5/4/21</v>
      </c>
    </row>
    <row r="224" spans="1:8" x14ac:dyDescent="0.25">
      <c r="E224" t="str">
        <f>""</f>
        <v/>
      </c>
      <c r="F224" t="str">
        <f>""</f>
        <v/>
      </c>
      <c r="H224" t="str">
        <f t="shared" si="7"/>
        <v>VEHICLE REGISTRATIONS 5/4/21</v>
      </c>
    </row>
    <row r="225" spans="1:8" x14ac:dyDescent="0.25">
      <c r="E225" t="str">
        <f>""</f>
        <v/>
      </c>
      <c r="F225" t="str">
        <f>""</f>
        <v/>
      </c>
      <c r="H225" t="str">
        <f t="shared" si="7"/>
        <v>VEHICLE REGISTRATIONS 5/4/21</v>
      </c>
    </row>
    <row r="226" spans="1:8" x14ac:dyDescent="0.25">
      <c r="E226" t="str">
        <f>""</f>
        <v/>
      </c>
      <c r="F226" t="str">
        <f>""</f>
        <v/>
      </c>
      <c r="H226" t="str">
        <f t="shared" si="7"/>
        <v>VEHICLE REGISTRATIONS 5/4/21</v>
      </c>
    </row>
    <row r="227" spans="1:8" x14ac:dyDescent="0.25">
      <c r="E227" t="str">
        <f>""</f>
        <v/>
      </c>
      <c r="F227" t="str">
        <f>""</f>
        <v/>
      </c>
      <c r="H227" t="str">
        <f t="shared" si="7"/>
        <v>VEHICLE REGISTRATIONS 5/4/21</v>
      </c>
    </row>
    <row r="228" spans="1:8" x14ac:dyDescent="0.25">
      <c r="E228" t="str">
        <f>""</f>
        <v/>
      </c>
      <c r="F228" t="str">
        <f>""</f>
        <v/>
      </c>
      <c r="H228" t="str">
        <f t="shared" si="7"/>
        <v>VEHICLE REGISTRATIONS 5/4/21</v>
      </c>
    </row>
    <row r="229" spans="1:8" x14ac:dyDescent="0.25">
      <c r="E229" t="str">
        <f>""</f>
        <v/>
      </c>
      <c r="F229" t="str">
        <f>""</f>
        <v/>
      </c>
      <c r="H229" t="str">
        <f t="shared" si="7"/>
        <v>VEHICLE REGISTRATIONS 5/4/21</v>
      </c>
    </row>
    <row r="230" spans="1:8" x14ac:dyDescent="0.25">
      <c r="E230" t="str">
        <f>""</f>
        <v/>
      </c>
      <c r="F230" t="str">
        <f>""</f>
        <v/>
      </c>
      <c r="H230" t="str">
        <f t="shared" si="7"/>
        <v>VEHICLE REGISTRATIONS 5/4/21</v>
      </c>
    </row>
    <row r="231" spans="1:8" x14ac:dyDescent="0.25">
      <c r="E231" t="str">
        <f>""</f>
        <v/>
      </c>
      <c r="F231" t="str">
        <f>""</f>
        <v/>
      </c>
      <c r="H231" t="str">
        <f t="shared" si="7"/>
        <v>VEHICLE REGISTRATIONS 5/4/21</v>
      </c>
    </row>
    <row r="232" spans="1:8" x14ac:dyDescent="0.25">
      <c r="E232" t="str">
        <f>""</f>
        <v/>
      </c>
      <c r="F232" t="str">
        <f>""</f>
        <v/>
      </c>
      <c r="H232" t="str">
        <f t="shared" si="7"/>
        <v>VEHICLE REGISTRATIONS 5/4/21</v>
      </c>
    </row>
    <row r="233" spans="1:8" x14ac:dyDescent="0.25">
      <c r="E233" t="str">
        <f>""</f>
        <v/>
      </c>
      <c r="F233" t="str">
        <f>""</f>
        <v/>
      </c>
      <c r="H233" t="str">
        <f t="shared" si="7"/>
        <v>VEHICLE REGISTRATIONS 5/4/21</v>
      </c>
    </row>
    <row r="234" spans="1:8" x14ac:dyDescent="0.25">
      <c r="E234" t="str">
        <f>""</f>
        <v/>
      </c>
      <c r="F234" t="str">
        <f>""</f>
        <v/>
      </c>
      <c r="H234" t="str">
        <f t="shared" si="7"/>
        <v>VEHICLE REGISTRATIONS 5/4/21</v>
      </c>
    </row>
    <row r="235" spans="1:8" x14ac:dyDescent="0.25">
      <c r="E235" t="str">
        <f>""</f>
        <v/>
      </c>
      <c r="F235" t="str">
        <f>""</f>
        <v/>
      </c>
      <c r="H235" t="str">
        <f t="shared" si="7"/>
        <v>VEHICLE REGISTRATIONS 5/4/21</v>
      </c>
    </row>
    <row r="236" spans="1:8" x14ac:dyDescent="0.25">
      <c r="E236" t="str">
        <f>""</f>
        <v/>
      </c>
      <c r="F236" t="str">
        <f>""</f>
        <v/>
      </c>
      <c r="H236" t="str">
        <f t="shared" si="7"/>
        <v>VEHICLE REGISTRATIONS 5/4/21</v>
      </c>
    </row>
    <row r="237" spans="1:8" x14ac:dyDescent="0.25">
      <c r="E237" t="str">
        <f>""</f>
        <v/>
      </c>
      <c r="F237" t="str">
        <f>""</f>
        <v/>
      </c>
      <c r="H237" t="str">
        <f t="shared" si="7"/>
        <v>VEHICLE REGISTRATIONS 5/4/21</v>
      </c>
    </row>
    <row r="238" spans="1:8" x14ac:dyDescent="0.25">
      <c r="A238" t="s">
        <v>48</v>
      </c>
      <c r="B238">
        <v>4506</v>
      </c>
      <c r="C238" s="2">
        <v>22801.77</v>
      </c>
      <c r="D238" s="1">
        <v>44341</v>
      </c>
      <c r="E238" t="str">
        <f>"202105173254"</f>
        <v>202105173254</v>
      </c>
      <c r="F238" t="str">
        <f>"HOME VISIT GRANT/COUNTY CARES"</f>
        <v>HOME VISIT GRANT/COUNTY CARES</v>
      </c>
      <c r="G238" s="2">
        <v>4980.01</v>
      </c>
      <c r="H238" t="str">
        <f>"HOME VISIT GRANT/COUNTY CARES"</f>
        <v>HOME VISIT GRANT/COUNTY CARES</v>
      </c>
    </row>
    <row r="239" spans="1:8" x14ac:dyDescent="0.25">
      <c r="E239" t="str">
        <f>"202105173284"</f>
        <v>202105173284</v>
      </c>
      <c r="F239" t="str">
        <f>"ST DAVIDS GRANT/APRIL 2021"</f>
        <v>ST DAVIDS GRANT/APRIL 2021</v>
      </c>
      <c r="G239" s="2">
        <v>3000</v>
      </c>
      <c r="H239" t="str">
        <f>"ST DAVIDS GRANT/APRIL 2021"</f>
        <v>ST DAVIDS GRANT/APRIL 2021</v>
      </c>
    </row>
    <row r="240" spans="1:8" x14ac:dyDescent="0.25">
      <c r="E240" t="str">
        <f>"202105173289"</f>
        <v>202105173289</v>
      </c>
      <c r="F240" t="str">
        <f>"HOGG GRANT/APRIL"</f>
        <v>HOGG GRANT/APRIL</v>
      </c>
      <c r="G240" s="2">
        <v>14821.76</v>
      </c>
      <c r="H240" t="str">
        <f>"HOGG GRANT/APRIL"</f>
        <v>HOGG GRANT/APRIL</v>
      </c>
    </row>
    <row r="241" spans="1:8" x14ac:dyDescent="0.25">
      <c r="A241" t="s">
        <v>47</v>
      </c>
      <c r="B241">
        <v>4530</v>
      </c>
      <c r="C241" s="2">
        <v>364</v>
      </c>
      <c r="D241" s="1">
        <v>44341</v>
      </c>
      <c r="E241" t="str">
        <f>"202105193374"</f>
        <v>202105193374</v>
      </c>
      <c r="F241" t="str">
        <f>"VEHICLE REGISTRATIONS"</f>
        <v>VEHICLE REGISTRATIONS</v>
      </c>
      <c r="G241" s="2">
        <v>364</v>
      </c>
      <c r="H241" t="str">
        <f>"VEHICLE REGISTRATIONS"</f>
        <v>VEHICLE REGISTRATIONS</v>
      </c>
    </row>
    <row r="242" spans="1:8" x14ac:dyDescent="0.25">
      <c r="E242" t="str">
        <f>""</f>
        <v/>
      </c>
      <c r="F242" t="str">
        <f>""</f>
        <v/>
      </c>
      <c r="H242" t="str">
        <f>"VEHICLE REGISTRATIONS"</f>
        <v>VEHICLE REGISTRATIONS</v>
      </c>
    </row>
    <row r="243" spans="1:8" x14ac:dyDescent="0.25">
      <c r="E243" t="str">
        <f>""</f>
        <v/>
      </c>
      <c r="F243" t="str">
        <f>""</f>
        <v/>
      </c>
      <c r="H243" t="str">
        <f>"VEHICLE REGISTRATIONS"</f>
        <v>VEHICLE REGISTRATIONS</v>
      </c>
    </row>
    <row r="244" spans="1:8" x14ac:dyDescent="0.25">
      <c r="E244" t="str">
        <f>""</f>
        <v/>
      </c>
      <c r="F244" t="str">
        <f>""</f>
        <v/>
      </c>
      <c r="H244" t="str">
        <f>"VEHICLE REGISTRATIONS"</f>
        <v>VEHICLE REGISTRATIONS</v>
      </c>
    </row>
    <row r="245" spans="1:8" x14ac:dyDescent="0.25">
      <c r="A245" t="s">
        <v>47</v>
      </c>
      <c r="B245">
        <v>135458</v>
      </c>
      <c r="C245" s="2">
        <v>50</v>
      </c>
      <c r="D245" s="1">
        <v>44326</v>
      </c>
      <c r="E245" t="str">
        <f>"05042021DC"</f>
        <v>05042021DC</v>
      </c>
      <c r="F245" t="str">
        <f>"NEW ELGIN WORKSTATION"</f>
        <v>NEW ELGIN WORKSTATION</v>
      </c>
      <c r="G245" s="2">
        <v>50</v>
      </c>
      <c r="H245" t="str">
        <f>"NEW ELGIN WORKSTATION"</f>
        <v>NEW ELGIN WORKSTATION</v>
      </c>
    </row>
    <row r="246" spans="1:8" x14ac:dyDescent="0.25">
      <c r="A246" t="s">
        <v>49</v>
      </c>
      <c r="B246">
        <v>4536</v>
      </c>
      <c r="C246" s="2">
        <v>33.270000000000003</v>
      </c>
      <c r="D246" s="1">
        <v>44341</v>
      </c>
      <c r="E246" t="str">
        <f>"202105193335"</f>
        <v>202105193335</v>
      </c>
      <c r="F246" t="str">
        <f>"INDIGENT HEALTH"</f>
        <v>INDIGENT HEALTH</v>
      </c>
      <c r="G246" s="2">
        <v>33.270000000000003</v>
      </c>
      <c r="H246" t="str">
        <f>"INDIGENT HEALTH"</f>
        <v>INDIGENT HEALTH</v>
      </c>
    </row>
    <row r="247" spans="1:8" x14ac:dyDescent="0.25">
      <c r="A247" t="s">
        <v>50</v>
      </c>
      <c r="B247">
        <v>135459</v>
      </c>
      <c r="C247" s="2">
        <v>11.09</v>
      </c>
      <c r="D247" s="1">
        <v>44326</v>
      </c>
      <c r="E247" t="str">
        <f>"202105032886"</f>
        <v>202105032886</v>
      </c>
      <c r="F247" t="str">
        <f>"BPD-7-1-2020/9-30-2020"</f>
        <v>BPD-7-1-2020/9-30-2020</v>
      </c>
      <c r="G247" s="2">
        <v>3.6</v>
      </c>
      <c r="H247" t="str">
        <f>"BPD-7-1-2020/9-30-2020"</f>
        <v>BPD-7-1-2020/9-30-2020</v>
      </c>
    </row>
    <row r="248" spans="1:8" x14ac:dyDescent="0.25">
      <c r="E248" t="str">
        <f>"202105032887"</f>
        <v>202105032887</v>
      </c>
      <c r="F248" t="str">
        <f>"BPD 10-1-2020/12-31-2020"</f>
        <v>BPD 10-1-2020/12-31-2020</v>
      </c>
      <c r="G248" s="2">
        <v>4.5999999999999996</v>
      </c>
      <c r="H248" t="str">
        <f>"BPD 10-1-2020/12-31-2020"</f>
        <v>BPD 10-1-2020/12-31-2020</v>
      </c>
    </row>
    <row r="249" spans="1:8" x14ac:dyDescent="0.25">
      <c r="E249" t="str">
        <f>"202105032888"</f>
        <v>202105032888</v>
      </c>
      <c r="F249" t="str">
        <f>"BPD 1-1-2021/3-31-2021"</f>
        <v>BPD 1-1-2021/3-31-2021</v>
      </c>
      <c r="G249" s="2">
        <v>2.89</v>
      </c>
      <c r="H249" t="str">
        <f>"BPD 1-1-2021/3-31-2021"</f>
        <v>BPD 1-1-2021/3-31-2021</v>
      </c>
    </row>
    <row r="250" spans="1:8" x14ac:dyDescent="0.25">
      <c r="A250" t="s">
        <v>51</v>
      </c>
      <c r="B250">
        <v>4479</v>
      </c>
      <c r="C250" s="2">
        <v>5251</v>
      </c>
      <c r="D250" s="1">
        <v>44341</v>
      </c>
      <c r="E250" t="str">
        <f>"202105133174"</f>
        <v>202105133174</v>
      </c>
      <c r="F250" t="str">
        <f>"TRANSPORT/LARRY BERRY"</f>
        <v>TRANSPORT/LARRY BERRY</v>
      </c>
      <c r="G250" s="2">
        <v>1021</v>
      </c>
      <c r="H250" t="str">
        <f>"TRANSPORT/LARRY BERRY"</f>
        <v>TRANSPORT/LARRY BERRY</v>
      </c>
    </row>
    <row r="251" spans="1:8" x14ac:dyDescent="0.25">
      <c r="E251" t="str">
        <f>"2021079"</f>
        <v>2021079</v>
      </c>
      <c r="F251" t="str">
        <f>"TRANSPORT/TRENT BUTLER"</f>
        <v>TRANSPORT/TRENT BUTLER</v>
      </c>
      <c r="G251" s="2">
        <v>640</v>
      </c>
      <c r="H251" t="str">
        <f>"TRANSPORT/TRENT BUTLER"</f>
        <v>TRANSPORT/TRENT BUTLER</v>
      </c>
    </row>
    <row r="252" spans="1:8" x14ac:dyDescent="0.25">
      <c r="E252" t="str">
        <f>"2021080"</f>
        <v>2021080</v>
      </c>
      <c r="F252" t="str">
        <f>"TRANSPORT/SANTOS CRUZ"</f>
        <v>TRANSPORT/SANTOS CRUZ</v>
      </c>
      <c r="G252" s="2">
        <v>390</v>
      </c>
      <c r="H252" t="str">
        <f>"TRANSPORT/SANTOS CRUZ"</f>
        <v>TRANSPORT/SANTOS CRUZ</v>
      </c>
    </row>
    <row r="253" spans="1:8" x14ac:dyDescent="0.25">
      <c r="E253" t="str">
        <f>"2021082"</f>
        <v>2021082</v>
      </c>
      <c r="F253" t="str">
        <f>"TRANSPORT/JON EBERLE"</f>
        <v>TRANSPORT/JON EBERLE</v>
      </c>
      <c r="G253" s="2">
        <v>640</v>
      </c>
      <c r="H253" t="str">
        <f>"TRANSPORT/JON EBERLE"</f>
        <v>TRANSPORT/JON EBERLE</v>
      </c>
    </row>
    <row r="254" spans="1:8" x14ac:dyDescent="0.25">
      <c r="E254" t="str">
        <f>"2021093"</f>
        <v>2021093</v>
      </c>
      <c r="F254" t="str">
        <f>"TRANSPORT/JASON OYER"</f>
        <v>TRANSPORT/JASON OYER</v>
      </c>
      <c r="G254" s="2">
        <v>640</v>
      </c>
      <c r="H254" t="str">
        <f>"TRANSPORT/JASON OYER"</f>
        <v>TRANSPORT/JASON OYER</v>
      </c>
    </row>
    <row r="255" spans="1:8" x14ac:dyDescent="0.25">
      <c r="E255" t="str">
        <f>"2021094"</f>
        <v>2021094</v>
      </c>
      <c r="F255" t="str">
        <f>"TRANSPORT/GUY HOWZE"</f>
        <v>TRANSPORT/GUY HOWZE</v>
      </c>
      <c r="G255" s="2">
        <v>640</v>
      </c>
      <c r="H255" t="str">
        <f>"TRANSPORT/GUY HOWZE"</f>
        <v>TRANSPORT/GUY HOWZE</v>
      </c>
    </row>
    <row r="256" spans="1:8" x14ac:dyDescent="0.25">
      <c r="E256" t="str">
        <f>"2021095"</f>
        <v>2021095</v>
      </c>
      <c r="F256" t="str">
        <f>"TRANSPORT/MARGARET WALKER"</f>
        <v>TRANSPORT/MARGARET WALKER</v>
      </c>
      <c r="G256" s="2">
        <v>640</v>
      </c>
      <c r="H256" t="str">
        <f>"TRANSPORT/MARGARET WALKER"</f>
        <v>TRANSPORT/MARGARET WALKER</v>
      </c>
    </row>
    <row r="257" spans="1:8" x14ac:dyDescent="0.25">
      <c r="E257" t="str">
        <f>"2021097"</f>
        <v>2021097</v>
      </c>
      <c r="F257" t="str">
        <f>"TRANSPORT/ELVIN PEREZ"</f>
        <v>TRANSPORT/ELVIN PEREZ</v>
      </c>
      <c r="G257" s="2">
        <v>640</v>
      </c>
      <c r="H257" t="str">
        <f>"TRANSPORT/ELVIN PEREZ"</f>
        <v>TRANSPORT/ELVIN PEREZ</v>
      </c>
    </row>
    <row r="258" spans="1:8" x14ac:dyDescent="0.25">
      <c r="A258" t="s">
        <v>52</v>
      </c>
      <c r="B258">
        <v>4400</v>
      </c>
      <c r="C258" s="2">
        <v>1633.38</v>
      </c>
      <c r="D258" s="1">
        <v>44327</v>
      </c>
      <c r="E258" t="str">
        <f>"202105042971"</f>
        <v>202105042971</v>
      </c>
      <c r="F258" t="str">
        <f>"BACKGROUD- 911/COMMUNICATIONS"</f>
        <v>BACKGROUD- 911/COMMUNICATIONS</v>
      </c>
      <c r="G258" s="2">
        <v>752.5</v>
      </c>
      <c r="H258" t="str">
        <f>"BACKGROUD- 911/COMMUNICATIONS"</f>
        <v>BACKGROUD- 911/COMMUNICATIONS</v>
      </c>
    </row>
    <row r="259" spans="1:8" x14ac:dyDescent="0.25">
      <c r="E259" t="str">
        <f>"202105043009"</f>
        <v>202105043009</v>
      </c>
      <c r="F259" t="str">
        <f>"APRIL SERVICES"</f>
        <v>APRIL SERVICES</v>
      </c>
      <c r="G259" s="2">
        <v>880.88</v>
      </c>
      <c r="H259" t="str">
        <f>"APRIL SERVICES JAIL"</f>
        <v>APRIL SERVICES JAIL</v>
      </c>
    </row>
    <row r="260" spans="1:8" x14ac:dyDescent="0.25">
      <c r="E260" t="str">
        <f>""</f>
        <v/>
      </c>
      <c r="F260" t="str">
        <f>""</f>
        <v/>
      </c>
      <c r="H260" t="str">
        <f>"APRIL SERVICES LE"</f>
        <v>APRIL SERVICES LE</v>
      </c>
    </row>
    <row r="261" spans="1:8" x14ac:dyDescent="0.25">
      <c r="A261" t="s">
        <v>53</v>
      </c>
      <c r="B261">
        <v>135600</v>
      </c>
      <c r="C261" s="2">
        <v>686</v>
      </c>
      <c r="D261" s="1">
        <v>44340</v>
      </c>
      <c r="E261" t="str">
        <f>"202105133168"</f>
        <v>202105133168</v>
      </c>
      <c r="F261" t="str">
        <f>"MI-15135/GEOVANI HERNANDEZ"</f>
        <v>MI-15135/GEOVANI HERNANDEZ</v>
      </c>
      <c r="G261" s="2">
        <v>686</v>
      </c>
      <c r="H261" t="str">
        <f>"MI-15135/GEOVANI HERNANDEZ"</f>
        <v>MI-15135/GEOVANI HERNANDEZ</v>
      </c>
    </row>
    <row r="262" spans="1:8" x14ac:dyDescent="0.25">
      <c r="A262" t="s">
        <v>54</v>
      </c>
      <c r="B262">
        <v>135460</v>
      </c>
      <c r="C262" s="2">
        <v>1655.37</v>
      </c>
      <c r="D262" s="1">
        <v>44326</v>
      </c>
      <c r="E262" t="str">
        <f>"75917596"</f>
        <v>75917596</v>
      </c>
      <c r="F262" t="str">
        <f>"INV 75917596  75927272"</f>
        <v>INV 75917596  75927272</v>
      </c>
      <c r="G262" s="2">
        <v>1655.37</v>
      </c>
      <c r="H262" t="str">
        <f>"INV 75917596"</f>
        <v>INV 75917596</v>
      </c>
    </row>
    <row r="263" spans="1:8" x14ac:dyDescent="0.25">
      <c r="E263" t="str">
        <f>""</f>
        <v/>
      </c>
      <c r="F263" t="str">
        <f>""</f>
        <v/>
      </c>
      <c r="H263" t="str">
        <f>"INV 75927272"</f>
        <v>INV 75927272</v>
      </c>
    </row>
    <row r="264" spans="1:8" x14ac:dyDescent="0.25">
      <c r="A264" t="s">
        <v>54</v>
      </c>
      <c r="B264">
        <v>135601</v>
      </c>
      <c r="C264" s="2">
        <v>1492.17</v>
      </c>
      <c r="D264" s="1">
        <v>44340</v>
      </c>
      <c r="E264" t="str">
        <f>"75936089"</f>
        <v>75936089</v>
      </c>
      <c r="F264" t="str">
        <f>"INV 75936089  75945255"</f>
        <v>INV 75936089  75945255</v>
      </c>
      <c r="G264" s="2">
        <v>1492.17</v>
      </c>
      <c r="H264" t="str">
        <f>"INV 75936089"</f>
        <v>INV 75936089</v>
      </c>
    </row>
    <row r="265" spans="1:8" x14ac:dyDescent="0.25">
      <c r="E265" t="str">
        <f>""</f>
        <v/>
      </c>
      <c r="F265" t="str">
        <f>""</f>
        <v/>
      </c>
      <c r="H265" t="str">
        <f>"INV 75945255"</f>
        <v>INV 75945255</v>
      </c>
    </row>
    <row r="266" spans="1:8" x14ac:dyDescent="0.25">
      <c r="A266" t="s">
        <v>55</v>
      </c>
      <c r="B266">
        <v>4522</v>
      </c>
      <c r="C266" s="2">
        <v>330</v>
      </c>
      <c r="D266" s="1">
        <v>44341</v>
      </c>
      <c r="E266" t="str">
        <f>"202105133169"</f>
        <v>202105133169</v>
      </c>
      <c r="F266" t="str">
        <f>"REIMBURSEMNET/BENTON ESKEW"</f>
        <v>REIMBURSEMNET/BENTON ESKEW</v>
      </c>
      <c r="G266" s="2">
        <v>330</v>
      </c>
      <c r="H266" t="str">
        <f>"REIMBURSEMNET/BENTON ESKEW"</f>
        <v>REIMBURSEMNET/BENTON ESKEW</v>
      </c>
    </row>
    <row r="267" spans="1:8" x14ac:dyDescent="0.25">
      <c r="A267" t="s">
        <v>56</v>
      </c>
      <c r="B267">
        <v>135602</v>
      </c>
      <c r="C267" s="2">
        <v>1197.72</v>
      </c>
      <c r="D267" s="1">
        <v>44340</v>
      </c>
      <c r="E267" t="str">
        <f>"202105193355"</f>
        <v>202105193355</v>
      </c>
      <c r="F267" t="str">
        <f>"UNIFORMS/COLLIN TYLER/PCT#3"</f>
        <v>UNIFORMS/COLLIN TYLER/PCT#3</v>
      </c>
      <c r="G267" s="2">
        <v>624.86</v>
      </c>
      <c r="H267" t="str">
        <f>"UNIFORMS/COLLIN TYLER/PCT#3"</f>
        <v>UNIFORMS/COLLIN TYLER/PCT#3</v>
      </c>
    </row>
    <row r="268" spans="1:8" x14ac:dyDescent="0.25">
      <c r="E268" t="str">
        <f>"202105193356"</f>
        <v>202105193356</v>
      </c>
      <c r="F268" t="str">
        <f>"UNIFORMS/DAVID DANGER/PCT#3"</f>
        <v>UNIFORMS/DAVID DANGER/PCT#3</v>
      </c>
      <c r="G268" s="2">
        <v>572.86</v>
      </c>
      <c r="H268" t="str">
        <f>"UNIFORMS/DAVID DANGER/PCT#3"</f>
        <v>UNIFORMS/DAVID DANGER/PCT#3</v>
      </c>
    </row>
    <row r="269" spans="1:8" x14ac:dyDescent="0.25">
      <c r="A269" t="s">
        <v>57</v>
      </c>
      <c r="B269">
        <v>4456</v>
      </c>
      <c r="C269" s="2">
        <v>1297.1300000000001</v>
      </c>
      <c r="D269" s="1">
        <v>44327</v>
      </c>
      <c r="E269" t="str">
        <f>"25151"</f>
        <v>25151</v>
      </c>
      <c r="F269" t="str">
        <f>"INV 25151"</f>
        <v>INV 25151</v>
      </c>
      <c r="G269" s="2">
        <v>1297.1300000000001</v>
      </c>
      <c r="H269" t="str">
        <f>"INV 25151"</f>
        <v>INV 25151</v>
      </c>
    </row>
    <row r="270" spans="1:8" x14ac:dyDescent="0.25">
      <c r="A270" t="s">
        <v>57</v>
      </c>
      <c r="B270">
        <v>4531</v>
      </c>
      <c r="C270" s="2">
        <v>2338.67</v>
      </c>
      <c r="D270" s="1">
        <v>44341</v>
      </c>
      <c r="E270" t="str">
        <f>"25177"</f>
        <v>25177</v>
      </c>
      <c r="F270" t="str">
        <f>"INV 25177"</f>
        <v>INV 25177</v>
      </c>
      <c r="G270" s="2">
        <v>2338.67</v>
      </c>
      <c r="H270" t="str">
        <f>"INV 25177"</f>
        <v>INV 25177</v>
      </c>
    </row>
    <row r="271" spans="1:8" x14ac:dyDescent="0.25">
      <c r="A271" t="s">
        <v>58</v>
      </c>
      <c r="B271">
        <v>135461</v>
      </c>
      <c r="C271" s="2">
        <v>19331.439999999999</v>
      </c>
      <c r="D271" s="1">
        <v>44326</v>
      </c>
      <c r="E271" t="str">
        <f>"S1258389"</f>
        <v>S1258389</v>
      </c>
      <c r="F271" t="str">
        <f>"CUST#C27762"</f>
        <v>CUST#C27762</v>
      </c>
      <c r="G271" s="2">
        <v>4301.01</v>
      </c>
      <c r="H271" t="str">
        <f>"CUST#C27762"</f>
        <v>CUST#C27762</v>
      </c>
    </row>
    <row r="272" spans="1:8" x14ac:dyDescent="0.25">
      <c r="E272" t="str">
        <f>"S1260362"</f>
        <v>S1260362</v>
      </c>
      <c r="F272" t="str">
        <f>"CUST#C27745/PCT#1"</f>
        <v>CUST#C27745/PCT#1</v>
      </c>
      <c r="G272" s="2">
        <v>2977.45</v>
      </c>
      <c r="H272" t="str">
        <f>"CUST#C27745/PCT#1"</f>
        <v>CUST#C27745/PCT#1</v>
      </c>
    </row>
    <row r="273" spans="1:8" x14ac:dyDescent="0.25">
      <c r="E273" t="str">
        <f>"S1260363"</f>
        <v>S1260363</v>
      </c>
      <c r="F273" t="str">
        <f>"CUST#C27762/PCT#2"</f>
        <v>CUST#C27762/PCT#2</v>
      </c>
      <c r="G273" s="2">
        <v>12052.98</v>
      </c>
      <c r="H273" t="str">
        <f>"CUST#C27762/PCT#2"</f>
        <v>CUST#C27762/PCT#2</v>
      </c>
    </row>
    <row r="274" spans="1:8" x14ac:dyDescent="0.25">
      <c r="A274" t="s">
        <v>58</v>
      </c>
      <c r="B274">
        <v>135603</v>
      </c>
      <c r="C274" s="2">
        <v>33718.68</v>
      </c>
      <c r="D274" s="1">
        <v>44340</v>
      </c>
      <c r="E274" t="str">
        <f>"S1261149"</f>
        <v>S1261149</v>
      </c>
      <c r="F274" t="str">
        <f>"CUST#C27762/PCT#2"</f>
        <v>CUST#C27762/PCT#2</v>
      </c>
      <c r="G274" s="2">
        <v>15925.68</v>
      </c>
      <c r="H274" t="str">
        <f>"CUST#C27762/PCT#2"</f>
        <v>CUST#C27762/PCT#2</v>
      </c>
    </row>
    <row r="275" spans="1:8" x14ac:dyDescent="0.25">
      <c r="E275" t="str">
        <f>"S1261824"</f>
        <v>S1261824</v>
      </c>
      <c r="F275" t="str">
        <f>"ACCT#C27745/PCT#1"</f>
        <v>ACCT#C27745/PCT#1</v>
      </c>
      <c r="G275" s="2">
        <v>270.45</v>
      </c>
      <c r="H275" t="str">
        <f>"ACCT#C27745/PCT#1"</f>
        <v>ACCT#C27745/PCT#1</v>
      </c>
    </row>
    <row r="276" spans="1:8" x14ac:dyDescent="0.25">
      <c r="E276" t="str">
        <f>"S1261826"</f>
        <v>S1261826</v>
      </c>
      <c r="F276" t="str">
        <f>"FLEX/PCT#2"</f>
        <v>FLEX/PCT#2</v>
      </c>
      <c r="G276" s="2">
        <v>12616.56</v>
      </c>
      <c r="H276" t="str">
        <f>"FLEX/PCT#2"</f>
        <v>FLEX/PCT#2</v>
      </c>
    </row>
    <row r="277" spans="1:8" x14ac:dyDescent="0.25">
      <c r="E277" t="str">
        <f>"S1262726"</f>
        <v>S1262726</v>
      </c>
      <c r="F277" t="str">
        <f>"ACCT#C27745/PCT#1"</f>
        <v>ACCT#C27745/PCT#1</v>
      </c>
      <c r="G277" s="2">
        <v>4905.99</v>
      </c>
      <c r="H277" t="str">
        <f>"ACCT#C27745/PCT#1"</f>
        <v>ACCT#C27745/PCT#1</v>
      </c>
    </row>
    <row r="278" spans="1:8" x14ac:dyDescent="0.25">
      <c r="A278" t="s">
        <v>59</v>
      </c>
      <c r="B278">
        <v>4421</v>
      </c>
      <c r="C278" s="2">
        <v>1127.71</v>
      </c>
      <c r="D278" s="1">
        <v>44327</v>
      </c>
      <c r="E278" t="str">
        <f>"5922"</f>
        <v>5922</v>
      </c>
      <c r="F278" t="str">
        <f>"2007 FREIGHTLINER 5976/PCT#4"</f>
        <v>2007 FREIGHTLINER 5976/PCT#4</v>
      </c>
      <c r="G278" s="2">
        <v>392.71</v>
      </c>
      <c r="H278" t="str">
        <f>"2007 FREIGHTLINER 5976/PCT#4"</f>
        <v>2007 FREIGHTLINER 5976/PCT#4</v>
      </c>
    </row>
    <row r="279" spans="1:8" x14ac:dyDescent="0.25">
      <c r="E279" t="str">
        <f>"5969"</f>
        <v>5969</v>
      </c>
      <c r="F279" t="str">
        <f>"ARM BRUSH MOWER/PCT#4"</f>
        <v>ARM BRUSH MOWER/PCT#4</v>
      </c>
      <c r="G279" s="2">
        <v>735</v>
      </c>
      <c r="H279" t="str">
        <f>"ARM BRUSH MOWER/PCT#4"</f>
        <v>ARM BRUSH MOWER/PCT#4</v>
      </c>
    </row>
    <row r="280" spans="1:8" x14ac:dyDescent="0.25">
      <c r="A280" t="s">
        <v>59</v>
      </c>
      <c r="B280">
        <v>4497</v>
      </c>
      <c r="C280" s="2">
        <v>1092.6500000000001</v>
      </c>
      <c r="D280" s="1">
        <v>44341</v>
      </c>
      <c r="E280" t="str">
        <f>"5887"</f>
        <v>5887</v>
      </c>
      <c r="F280" t="str">
        <f>"2017 INTERNATIONAL/PCT#1"</f>
        <v>2017 INTERNATIONAL/PCT#1</v>
      </c>
      <c r="G280" s="2">
        <v>539.38</v>
      </c>
      <c r="H280" t="str">
        <f>"2017 INTERNATIONAL/PCT#1"</f>
        <v>2017 INTERNATIONAL/PCT#1</v>
      </c>
    </row>
    <row r="281" spans="1:8" x14ac:dyDescent="0.25">
      <c r="E281" t="str">
        <f>"6011"</f>
        <v>6011</v>
      </c>
      <c r="F281" t="str">
        <f>"2017 INTERNATIONAL/PCT#1"</f>
        <v>2017 INTERNATIONAL/PCT#1</v>
      </c>
      <c r="G281" s="2">
        <v>553.27</v>
      </c>
      <c r="H281" t="str">
        <f>"2017 INTERNATIONAL/PCT#1"</f>
        <v>2017 INTERNATIONAL/PCT#1</v>
      </c>
    </row>
    <row r="282" spans="1:8" x14ac:dyDescent="0.25">
      <c r="A282" t="s">
        <v>60</v>
      </c>
      <c r="B282">
        <v>135462</v>
      </c>
      <c r="C282" s="2">
        <v>499.26</v>
      </c>
      <c r="D282" s="1">
        <v>44326</v>
      </c>
      <c r="E282" t="str">
        <f>"84078908606"</f>
        <v>84078908606</v>
      </c>
      <c r="F282" t="str">
        <f>"INV 84078908606  84078908"</f>
        <v>INV 84078908606  84078908</v>
      </c>
      <c r="G282" s="2">
        <v>499.26</v>
      </c>
      <c r="H282" t="str">
        <f>"INV 84078908606"</f>
        <v>INV 84078908606</v>
      </c>
    </row>
    <row r="283" spans="1:8" x14ac:dyDescent="0.25">
      <c r="E283" t="str">
        <f>""</f>
        <v/>
      </c>
      <c r="F283" t="str">
        <f>""</f>
        <v/>
      </c>
      <c r="H283" t="str">
        <f>"INV 84078908662"</f>
        <v>INV 84078908662</v>
      </c>
    </row>
    <row r="284" spans="1:8" x14ac:dyDescent="0.25">
      <c r="A284" t="s">
        <v>60</v>
      </c>
      <c r="B284">
        <v>135604</v>
      </c>
      <c r="C284" s="2">
        <v>514.94000000000005</v>
      </c>
      <c r="D284" s="1">
        <v>44340</v>
      </c>
      <c r="E284" t="str">
        <f>"84078908716"</f>
        <v>84078908716</v>
      </c>
      <c r="F284" t="str">
        <f>"INV 84078908716"</f>
        <v>INV 84078908716</v>
      </c>
      <c r="G284" s="2">
        <v>514.94000000000005</v>
      </c>
      <c r="H284" t="str">
        <f>"INV 84078908716"</f>
        <v>INV 84078908716</v>
      </c>
    </row>
    <row r="285" spans="1:8" x14ac:dyDescent="0.25">
      <c r="E285" t="str">
        <f>""</f>
        <v/>
      </c>
      <c r="F285" t="str">
        <f>""</f>
        <v/>
      </c>
      <c r="H285" t="str">
        <f>"INV 84078908776"</f>
        <v>INV 84078908776</v>
      </c>
    </row>
    <row r="286" spans="1:8" x14ac:dyDescent="0.25">
      <c r="A286" t="s">
        <v>61</v>
      </c>
      <c r="B286">
        <v>135605</v>
      </c>
      <c r="C286" s="2">
        <v>1071.05</v>
      </c>
      <c r="D286" s="1">
        <v>44340</v>
      </c>
      <c r="E286" t="str">
        <f>"202105133239"</f>
        <v>202105133239</v>
      </c>
      <c r="F286" t="str">
        <f>"CRIMESTOPPERS/APRIL 2021"</f>
        <v>CRIMESTOPPERS/APRIL 2021</v>
      </c>
      <c r="G286" s="2">
        <v>1071.05</v>
      </c>
      <c r="H286" t="str">
        <f>"CRIMESTOPPERS/APRIL 2021"</f>
        <v>CRIMESTOPPERS/APRIL 2021</v>
      </c>
    </row>
    <row r="287" spans="1:8" x14ac:dyDescent="0.25">
      <c r="A287" t="s">
        <v>62</v>
      </c>
      <c r="B287">
        <v>135583</v>
      </c>
      <c r="C287" s="2">
        <v>2615.16</v>
      </c>
      <c r="D287" s="1">
        <v>44335</v>
      </c>
      <c r="E287" t="str">
        <f>"202105193389"</f>
        <v>202105193389</v>
      </c>
      <c r="F287" t="str">
        <f>"ACCT#5000057374 / 05012021"</f>
        <v>ACCT#5000057374 / 05012021</v>
      </c>
      <c r="G287" s="2">
        <v>2504.98</v>
      </c>
      <c r="H287" t="str">
        <f>"BLUEBONNET ELECTRIC COOPERATIV"</f>
        <v>BLUEBONNET ELECTRIC COOPERATIV</v>
      </c>
    </row>
    <row r="288" spans="1:8" x14ac:dyDescent="0.25">
      <c r="E288" t="str">
        <f>""</f>
        <v/>
      </c>
      <c r="F288" t="str">
        <f>""</f>
        <v/>
      </c>
      <c r="H288" t="str">
        <f>"BLUEBONNET ELECTRIC COOPERATIV"</f>
        <v>BLUEBONNET ELECTRIC COOPERATIV</v>
      </c>
    </row>
    <row r="289" spans="1:8" x14ac:dyDescent="0.25">
      <c r="E289" t="str">
        <f>""</f>
        <v/>
      </c>
      <c r="F289" t="str">
        <f>""</f>
        <v/>
      </c>
      <c r="H289" t="str">
        <f>"BLUEBONNET ELECTRIC COOPERATIV"</f>
        <v>BLUEBONNET ELECTRIC COOPERATIV</v>
      </c>
    </row>
    <row r="290" spans="1:8" x14ac:dyDescent="0.25">
      <c r="E290" t="str">
        <f>""</f>
        <v/>
      </c>
      <c r="F290" t="str">
        <f>""</f>
        <v/>
      </c>
      <c r="H290" t="str">
        <f>"BLUEBONNET ELECTRIC COOPERATIV"</f>
        <v>BLUEBONNET ELECTRIC COOPERATIV</v>
      </c>
    </row>
    <row r="291" spans="1:8" x14ac:dyDescent="0.25">
      <c r="E291" t="str">
        <f>"202105193391"</f>
        <v>202105193391</v>
      </c>
      <c r="F291" t="str">
        <f>"ACCT#5500090397 / 05012021"</f>
        <v>ACCT#5500090397 / 05012021</v>
      </c>
      <c r="G291" s="2">
        <v>110.18</v>
      </c>
      <c r="H291" t="str">
        <f>"ACCT#5500090397 / 05012021"</f>
        <v>ACCT#5500090397 / 05012021</v>
      </c>
    </row>
    <row r="292" spans="1:8" x14ac:dyDescent="0.25">
      <c r="A292" t="s">
        <v>63</v>
      </c>
      <c r="B292">
        <v>4540</v>
      </c>
      <c r="C292" s="2">
        <v>25798.71</v>
      </c>
      <c r="D292" s="1">
        <v>44341</v>
      </c>
      <c r="E292" t="str">
        <f>"202105173255"</f>
        <v>202105173255</v>
      </c>
      <c r="F292" t="str">
        <f>"HOME VISIT/IBLUEBONNET TRAILS"</f>
        <v>HOME VISIT/IBLUEBONNET TRAILS</v>
      </c>
      <c r="G292" s="2">
        <v>24873.71</v>
      </c>
      <c r="H292" t="str">
        <f>"HOME VISIT/IBLUEBONNET TRAILS"</f>
        <v>HOME VISIT/IBLUEBONNET TRAILS</v>
      </c>
    </row>
    <row r="293" spans="1:8" x14ac:dyDescent="0.25">
      <c r="E293" t="str">
        <f>"25042021"</f>
        <v>25042021</v>
      </c>
      <c r="F293" t="str">
        <f>"INV 25042021"</f>
        <v>INV 25042021</v>
      </c>
      <c r="G293" s="2">
        <v>925</v>
      </c>
      <c r="H293" t="str">
        <f>"INV 25042021"</f>
        <v>INV 25042021</v>
      </c>
    </row>
    <row r="294" spans="1:8" x14ac:dyDescent="0.25">
      <c r="A294" t="s">
        <v>64</v>
      </c>
      <c r="B294">
        <v>135463</v>
      </c>
      <c r="C294" s="2">
        <v>1384.64</v>
      </c>
      <c r="D294" s="1">
        <v>44326</v>
      </c>
      <c r="E294" t="str">
        <f>"CT195344"</f>
        <v>CT195344</v>
      </c>
      <c r="F294" t="str">
        <f>"ACCT#B02137/PCT#3"</f>
        <v>ACCT#B02137/PCT#3</v>
      </c>
      <c r="G294" s="2">
        <v>1384.64</v>
      </c>
      <c r="H294" t="str">
        <f>"ACCT#B02137/PCT#3"</f>
        <v>ACCT#B02137/PCT#3</v>
      </c>
    </row>
    <row r="295" spans="1:8" x14ac:dyDescent="0.25">
      <c r="A295" t="s">
        <v>64</v>
      </c>
      <c r="B295">
        <v>135606</v>
      </c>
      <c r="C295" s="2">
        <v>497.92</v>
      </c>
      <c r="D295" s="1">
        <v>44340</v>
      </c>
      <c r="E295" t="str">
        <f>"CT195398"</f>
        <v>CT195398</v>
      </c>
      <c r="F295" t="str">
        <f>"ACCT#B02137/PCT#3"</f>
        <v>ACCT#B02137/PCT#3</v>
      </c>
      <c r="G295" s="2">
        <v>497.92</v>
      </c>
      <c r="H295" t="str">
        <f>"ACCT#B02137/PCT#3"</f>
        <v>ACCT#B02137/PCT#3</v>
      </c>
    </row>
    <row r="296" spans="1:8" x14ac:dyDescent="0.25">
      <c r="A296" t="s">
        <v>65</v>
      </c>
      <c r="B296">
        <v>135607</v>
      </c>
      <c r="C296" s="2">
        <v>1117.4000000000001</v>
      </c>
      <c r="D296" s="1">
        <v>44340</v>
      </c>
      <c r="E296" t="str">
        <f>"12532299"</f>
        <v>12532299</v>
      </c>
      <c r="F296" t="str">
        <f>"CUST#300362"</f>
        <v>CUST#300362</v>
      </c>
      <c r="G296" s="2">
        <v>1117.4000000000001</v>
      </c>
      <c r="H296" t="str">
        <f>"CUST#300362"</f>
        <v>CUST#300362</v>
      </c>
    </row>
    <row r="297" spans="1:8" x14ac:dyDescent="0.25">
      <c r="A297" t="s">
        <v>66</v>
      </c>
      <c r="B297">
        <v>135464</v>
      </c>
      <c r="C297" s="2">
        <v>30088.799999999999</v>
      </c>
      <c r="D297" s="1">
        <v>44326</v>
      </c>
      <c r="E297" t="str">
        <f>"121303"</f>
        <v>121303</v>
      </c>
      <c r="F297" t="str">
        <f>"ACCT#1268/PCT#2"</f>
        <v>ACCT#1268/PCT#2</v>
      </c>
      <c r="G297" s="2">
        <v>15554.4</v>
      </c>
      <c r="H297" t="str">
        <f>"ACCT#1268/PCT#2"</f>
        <v>ACCT#1268/PCT#2</v>
      </c>
    </row>
    <row r="298" spans="1:8" x14ac:dyDescent="0.25">
      <c r="E298" t="str">
        <f>"121304"</f>
        <v>121304</v>
      </c>
      <c r="F298" t="str">
        <f>"ACCT#1268/PCT#3"</f>
        <v>ACCT#1268/PCT#3</v>
      </c>
      <c r="G298" s="2">
        <v>1095.96</v>
      </c>
      <c r="H298" t="str">
        <f>"ACCT#1268/PCT#3"</f>
        <v>ACCT#1268/PCT#3</v>
      </c>
    </row>
    <row r="299" spans="1:8" x14ac:dyDescent="0.25">
      <c r="E299" t="str">
        <f>"121546"</f>
        <v>121546</v>
      </c>
      <c r="F299" t="str">
        <f>"ACCT#1268/PCT#3"</f>
        <v>ACCT#1268/PCT#3</v>
      </c>
      <c r="G299" s="2">
        <v>12876.8</v>
      </c>
      <c r="H299" t="str">
        <f>"ACCT#1268/PCT#3"</f>
        <v>ACCT#1268/PCT#3</v>
      </c>
    </row>
    <row r="300" spans="1:8" x14ac:dyDescent="0.25">
      <c r="E300" t="str">
        <f>"121547"</f>
        <v>121547</v>
      </c>
      <c r="F300" t="str">
        <f>"ACCT#1268/PCT#3"</f>
        <v>ACCT#1268/PCT#3</v>
      </c>
      <c r="G300" s="2">
        <v>561.64</v>
      </c>
      <c r="H300" t="str">
        <f>"ACCT#1268/PCT#3"</f>
        <v>ACCT#1268/PCT#3</v>
      </c>
    </row>
    <row r="301" spans="1:8" x14ac:dyDescent="0.25">
      <c r="A301" t="s">
        <v>66</v>
      </c>
      <c r="B301">
        <v>135608</v>
      </c>
      <c r="C301" s="2">
        <v>2453.48</v>
      </c>
      <c r="D301" s="1">
        <v>44340</v>
      </c>
      <c r="E301" t="str">
        <f>"122049"</f>
        <v>122049</v>
      </c>
      <c r="F301" t="str">
        <f>"ACCT#1268/PCT#3"</f>
        <v>ACCT#1268/PCT#3</v>
      </c>
      <c r="G301" s="2">
        <v>2074.8000000000002</v>
      </c>
      <c r="H301" t="str">
        <f>"ACCT#1268/PCT#3"</f>
        <v>ACCT#1268/PCT#3</v>
      </c>
    </row>
    <row r="302" spans="1:8" x14ac:dyDescent="0.25">
      <c r="E302" t="str">
        <f>"122200"</f>
        <v>122200</v>
      </c>
      <c r="F302" t="str">
        <f>"ACCT#1268/PCT#3"</f>
        <v>ACCT#1268/PCT#3</v>
      </c>
      <c r="G302" s="2">
        <v>378.68</v>
      </c>
      <c r="H302" t="str">
        <f>"ACCT#1268/PCT#3"</f>
        <v>ACCT#1268/PCT#3</v>
      </c>
    </row>
    <row r="303" spans="1:8" x14ac:dyDescent="0.25">
      <c r="A303" t="s">
        <v>67</v>
      </c>
      <c r="B303">
        <v>135465</v>
      </c>
      <c r="C303" s="2">
        <v>15</v>
      </c>
      <c r="D303" s="1">
        <v>44326</v>
      </c>
      <c r="E303" t="str">
        <f>"21-20675"</f>
        <v>21-20675</v>
      </c>
      <c r="F303" t="str">
        <f>"CENTRAL ADOPTION REGISTRY FUND"</f>
        <v>CENTRAL ADOPTION REGISTRY FUND</v>
      </c>
      <c r="G303" s="2">
        <v>15</v>
      </c>
      <c r="H303" t="str">
        <f>"CENTRAL ADOPTION REGISTRY FUND"</f>
        <v>CENTRAL ADOPTION REGISTRY FUND</v>
      </c>
    </row>
    <row r="304" spans="1:8" x14ac:dyDescent="0.25">
      <c r="A304" t="s">
        <v>67</v>
      </c>
      <c r="B304">
        <v>135609</v>
      </c>
      <c r="C304" s="2">
        <v>15</v>
      </c>
      <c r="D304" s="1">
        <v>44340</v>
      </c>
      <c r="E304" t="str">
        <f>"21-20696"</f>
        <v>21-20696</v>
      </c>
      <c r="F304" t="str">
        <f>"CAR FUND"</f>
        <v>CAR FUND</v>
      </c>
      <c r="G304" s="2">
        <v>15</v>
      </c>
      <c r="H304" t="str">
        <f>"CAR FUND"</f>
        <v>CAR FUND</v>
      </c>
    </row>
    <row r="305" spans="1:8" x14ac:dyDescent="0.25">
      <c r="A305" t="s">
        <v>68</v>
      </c>
      <c r="B305">
        <v>4439</v>
      </c>
      <c r="C305" s="2">
        <v>4775</v>
      </c>
      <c r="D305" s="1">
        <v>44327</v>
      </c>
      <c r="E305" t="str">
        <f>"124"</f>
        <v>124</v>
      </c>
      <c r="F305" t="str">
        <f>"GAURDRAIL/ULIPAU"</f>
        <v>GAURDRAIL/ULIPAU</v>
      </c>
      <c r="G305" s="2">
        <v>4775</v>
      </c>
      <c r="H305" t="str">
        <f>"GAURDRAIL/ULIPAU"</f>
        <v>GAURDRAIL/ULIPAU</v>
      </c>
    </row>
    <row r="306" spans="1:8" x14ac:dyDescent="0.25">
      <c r="A306" t="s">
        <v>69</v>
      </c>
      <c r="B306">
        <v>135610</v>
      </c>
      <c r="C306" s="2">
        <v>390</v>
      </c>
      <c r="D306" s="1">
        <v>44340</v>
      </c>
      <c r="E306" t="str">
        <f>"202105183323"</f>
        <v>202105183323</v>
      </c>
      <c r="F306" t="str">
        <f>"TRAINING"</f>
        <v>TRAINING</v>
      </c>
      <c r="G306" s="2">
        <v>390</v>
      </c>
      <c r="H306" t="str">
        <f>"TRAINING- D. OWENS"</f>
        <v>TRAINING- D. OWENS</v>
      </c>
    </row>
    <row r="307" spans="1:8" x14ac:dyDescent="0.25">
      <c r="E307" t="str">
        <f>""</f>
        <v/>
      </c>
      <c r="F307" t="str">
        <f>""</f>
        <v/>
      </c>
      <c r="H307" t="str">
        <f>"TRAINING- C. WALSH"</f>
        <v>TRAINING- C. WALSH</v>
      </c>
    </row>
    <row r="308" spans="1:8" x14ac:dyDescent="0.25">
      <c r="A308" t="s">
        <v>70</v>
      </c>
      <c r="B308">
        <v>1046</v>
      </c>
      <c r="C308" s="2">
        <v>1849.49</v>
      </c>
      <c r="D308" s="1">
        <v>44326</v>
      </c>
      <c r="E308" t="str">
        <f>"202105053022"</f>
        <v>202105053022</v>
      </c>
      <c r="F308" t="str">
        <f>"Statement"</f>
        <v>Statement</v>
      </c>
      <c r="G308" s="2">
        <v>1849.49</v>
      </c>
      <c r="H308" t="str">
        <f>"simpliv.com"</f>
        <v>simpliv.com</v>
      </c>
    </row>
    <row r="309" spans="1:8" x14ac:dyDescent="0.25">
      <c r="E309" t="str">
        <f>""</f>
        <v/>
      </c>
      <c r="F309" t="str">
        <f>""</f>
        <v/>
      </c>
      <c r="H309" t="str">
        <f>"cisco"</f>
        <v>cisco</v>
      </c>
    </row>
    <row r="310" spans="1:8" x14ac:dyDescent="0.25">
      <c r="E310" t="str">
        <f>""</f>
        <v/>
      </c>
      <c r="F310" t="str">
        <f>""</f>
        <v/>
      </c>
      <c r="H310" t="str">
        <f>"google"</f>
        <v>google</v>
      </c>
    </row>
    <row r="311" spans="1:8" x14ac:dyDescent="0.25">
      <c r="E311" t="str">
        <f>""</f>
        <v/>
      </c>
      <c r="F311" t="str">
        <f>""</f>
        <v/>
      </c>
      <c r="H311" t="str">
        <f>"rosanna garza"</f>
        <v>rosanna garza</v>
      </c>
    </row>
    <row r="312" spans="1:8" x14ac:dyDescent="0.25">
      <c r="E312" t="str">
        <f>""</f>
        <v/>
      </c>
      <c r="F312" t="str">
        <f>""</f>
        <v/>
      </c>
      <c r="H312" t="str">
        <f>"robert bennett"</f>
        <v>robert bennett</v>
      </c>
    </row>
    <row r="313" spans="1:8" x14ac:dyDescent="0.25">
      <c r="E313" t="str">
        <f>""</f>
        <v/>
      </c>
      <c r="F313" t="str">
        <f>""</f>
        <v/>
      </c>
      <c r="H313" t="str">
        <f>"margarito garcia"</f>
        <v>margarito garcia</v>
      </c>
    </row>
    <row r="314" spans="1:8" x14ac:dyDescent="0.25">
      <c r="E314" t="str">
        <f>""</f>
        <v/>
      </c>
      <c r="F314" t="str">
        <f>""</f>
        <v/>
      </c>
      <c r="H314" t="str">
        <f>"walmart.com"</f>
        <v>walmart.com</v>
      </c>
    </row>
    <row r="315" spans="1:8" x14ac:dyDescent="0.25">
      <c r="E315" t="str">
        <f>""</f>
        <v/>
      </c>
      <c r="F315" t="str">
        <f>""</f>
        <v/>
      </c>
      <c r="H315" t="str">
        <f>"sling"</f>
        <v>sling</v>
      </c>
    </row>
    <row r="316" spans="1:8" x14ac:dyDescent="0.25">
      <c r="E316" t="str">
        <f>""</f>
        <v/>
      </c>
      <c r="F316" t="str">
        <f>""</f>
        <v/>
      </c>
      <c r="H316" t="str">
        <f>"gov't finan office"</f>
        <v>gov't finan office</v>
      </c>
    </row>
    <row r="317" spans="1:8" x14ac:dyDescent="0.25">
      <c r="E317" t="str">
        <f>""</f>
        <v/>
      </c>
      <c r="F317" t="str">
        <f>""</f>
        <v/>
      </c>
      <c r="H317" t="str">
        <f>"clinic hq"</f>
        <v>clinic hq</v>
      </c>
    </row>
    <row r="318" spans="1:8" x14ac:dyDescent="0.25">
      <c r="E318" t="str">
        <f>""</f>
        <v/>
      </c>
      <c r="F318" t="str">
        <f>""</f>
        <v/>
      </c>
      <c r="H318" t="str">
        <f>"j.j. keller"</f>
        <v>j.j. keller</v>
      </c>
    </row>
    <row r="319" spans="1:8" x14ac:dyDescent="0.25">
      <c r="E319" t="str">
        <f>""</f>
        <v/>
      </c>
      <c r="F319" t="str">
        <f>""</f>
        <v/>
      </c>
      <c r="H319" t="str">
        <f>"rapid express"</f>
        <v>rapid express</v>
      </c>
    </row>
    <row r="320" spans="1:8" x14ac:dyDescent="0.25">
      <c r="E320" t="str">
        <f>""</f>
        <v/>
      </c>
      <c r="F320" t="str">
        <f>""</f>
        <v/>
      </c>
      <c r="H320" t="str">
        <f>"he gov't payments"</f>
        <v>he gov't payments</v>
      </c>
    </row>
    <row r="321" spans="1:8" x14ac:dyDescent="0.25">
      <c r="E321" t="str">
        <f>""</f>
        <v/>
      </c>
      <c r="F321" t="str">
        <f>""</f>
        <v/>
      </c>
      <c r="H321" t="str">
        <f>"tractor supply"</f>
        <v>tractor supply</v>
      </c>
    </row>
    <row r="322" spans="1:8" x14ac:dyDescent="0.25">
      <c r="E322" t="str">
        <f>""</f>
        <v/>
      </c>
      <c r="F322" t="str">
        <f>""</f>
        <v/>
      </c>
      <c r="H322" t="str">
        <f>"walmart"</f>
        <v>walmart</v>
      </c>
    </row>
    <row r="323" spans="1:8" x14ac:dyDescent="0.25">
      <c r="E323" t="str">
        <f>""</f>
        <v/>
      </c>
      <c r="F323" t="str">
        <f>""</f>
        <v/>
      </c>
      <c r="H323" t="str">
        <f>"walmart"</f>
        <v>walmart</v>
      </c>
    </row>
    <row r="324" spans="1:8" x14ac:dyDescent="0.25">
      <c r="A324" t="s">
        <v>70</v>
      </c>
      <c r="B324">
        <v>1047</v>
      </c>
      <c r="C324" s="2">
        <v>3665.55</v>
      </c>
      <c r="D324" s="1">
        <v>44326</v>
      </c>
      <c r="E324" t="str">
        <f>"202105063133"</f>
        <v>202105063133</v>
      </c>
      <c r="F324" t="str">
        <f>"STATMENT FOR CARD 0574"</f>
        <v>STATMENT FOR CARD 0574</v>
      </c>
      <c r="G324" s="2">
        <v>3665.55</v>
      </c>
      <c r="H324" t="str">
        <f>"BEST BUY"</f>
        <v>BEST BUY</v>
      </c>
    </row>
    <row r="325" spans="1:8" x14ac:dyDescent="0.25">
      <c r="E325" t="str">
        <f>""</f>
        <v/>
      </c>
      <c r="F325" t="str">
        <f>""</f>
        <v/>
      </c>
      <c r="H325" t="str">
        <f>"BEST WESTERN - ATHEN"</f>
        <v>BEST WESTERN - ATHEN</v>
      </c>
    </row>
    <row r="326" spans="1:8" x14ac:dyDescent="0.25">
      <c r="E326" t="str">
        <f>""</f>
        <v/>
      </c>
      <c r="F326" t="str">
        <f>""</f>
        <v/>
      </c>
      <c r="H326" t="str">
        <f>"BEST WESTERN - ATHEN"</f>
        <v>BEST WESTERN - ATHEN</v>
      </c>
    </row>
    <row r="327" spans="1:8" x14ac:dyDescent="0.25">
      <c r="E327" t="str">
        <f>""</f>
        <v/>
      </c>
      <c r="F327" t="str">
        <f>""</f>
        <v/>
      </c>
      <c r="H327" t="str">
        <f>"BEST WESTERN - ATHEN"</f>
        <v>BEST WESTERN - ATHEN</v>
      </c>
    </row>
    <row r="328" spans="1:8" x14ac:dyDescent="0.25">
      <c r="E328" t="str">
        <f>""</f>
        <v/>
      </c>
      <c r="F328" t="str">
        <f>""</f>
        <v/>
      </c>
      <c r="H328" t="str">
        <f>"HAMPTON INNS"</f>
        <v>HAMPTON INNS</v>
      </c>
    </row>
    <row r="329" spans="1:8" x14ac:dyDescent="0.25">
      <c r="E329" t="str">
        <f>""</f>
        <v/>
      </c>
      <c r="F329" t="str">
        <f>""</f>
        <v/>
      </c>
      <c r="H329" t="str">
        <f>"HAMPTON INNS"</f>
        <v>HAMPTON INNS</v>
      </c>
    </row>
    <row r="330" spans="1:8" x14ac:dyDescent="0.25">
      <c r="E330" t="str">
        <f>""</f>
        <v/>
      </c>
      <c r="F330" t="str">
        <f>""</f>
        <v/>
      </c>
      <c r="H330" t="str">
        <f>"HAMPTON INNS"</f>
        <v>HAMPTON INNS</v>
      </c>
    </row>
    <row r="331" spans="1:8" x14ac:dyDescent="0.25">
      <c r="E331" t="str">
        <f>""</f>
        <v/>
      </c>
      <c r="F331" t="str">
        <f>""</f>
        <v/>
      </c>
      <c r="H331" t="str">
        <f>"TEXAS STATE TECHNICA"</f>
        <v>TEXAS STATE TECHNICA</v>
      </c>
    </row>
    <row r="332" spans="1:8" x14ac:dyDescent="0.25">
      <c r="E332" t="str">
        <f>""</f>
        <v/>
      </c>
      <c r="F332" t="str">
        <f>""</f>
        <v/>
      </c>
      <c r="H332" t="str">
        <f>"ALTERNATIVE WIRELESS"</f>
        <v>ALTERNATIVE WIRELESS</v>
      </c>
    </row>
    <row r="333" spans="1:8" x14ac:dyDescent="0.25">
      <c r="A333" t="s">
        <v>71</v>
      </c>
      <c r="B333">
        <v>4461</v>
      </c>
      <c r="C333" s="2">
        <v>3375.79</v>
      </c>
      <c r="D333" s="1">
        <v>44327</v>
      </c>
      <c r="E333" t="str">
        <f>"12925"</f>
        <v>12925</v>
      </c>
      <c r="F333" t="str">
        <f>"UREACH 1/29 USB DUP"</f>
        <v>UREACH 1/29 USB DUP</v>
      </c>
      <c r="G333" s="2">
        <v>3375.79</v>
      </c>
      <c r="H333" t="str">
        <f>"UREACH 1/29 USB DUP"</f>
        <v>UREACH 1/29 USB DUP</v>
      </c>
    </row>
    <row r="334" spans="1:8" x14ac:dyDescent="0.25">
      <c r="A334" t="s">
        <v>72</v>
      </c>
      <c r="B334">
        <v>135435</v>
      </c>
      <c r="C334" s="2">
        <v>1747.22</v>
      </c>
      <c r="D334" s="1">
        <v>44322</v>
      </c>
      <c r="E334" t="str">
        <f>"202105063143"</f>
        <v>202105063143</v>
      </c>
      <c r="F334" t="str">
        <f>"ACCT#8000081165-5 / 04012021"</f>
        <v>ACCT#8000081165-5 / 04012021</v>
      </c>
      <c r="G334" s="2">
        <v>1747.22</v>
      </c>
      <c r="H334" t="str">
        <f>"CENTERPOINT ENERGY"</f>
        <v>CENTERPOINT ENERGY</v>
      </c>
    </row>
    <row r="335" spans="1:8" x14ac:dyDescent="0.25">
      <c r="E335" t="str">
        <f>""</f>
        <v/>
      </c>
      <c r="F335" t="str">
        <f>""</f>
        <v/>
      </c>
      <c r="H335" t="str">
        <f>"CENTERPOINT ENERGY"</f>
        <v>CENTERPOINT ENERGY</v>
      </c>
    </row>
    <row r="336" spans="1:8" x14ac:dyDescent="0.25">
      <c r="A336" t="s">
        <v>72</v>
      </c>
      <c r="B336">
        <v>135732</v>
      </c>
      <c r="C336" s="2">
        <v>1609.33</v>
      </c>
      <c r="D336" s="1">
        <v>44344</v>
      </c>
      <c r="E336" t="str">
        <f>"202105283471"</f>
        <v>202105283471</v>
      </c>
      <c r="F336" t="str">
        <f>"ACCT#8000081165-5 / 05012021"</f>
        <v>ACCT#8000081165-5 / 05012021</v>
      </c>
      <c r="G336" s="2">
        <v>1609.33</v>
      </c>
      <c r="H336" t="str">
        <f>"ACCT#8000081165-5 / 05012021"</f>
        <v>ACCT#8000081165-5 / 05012021</v>
      </c>
    </row>
    <row r="337" spans="1:8" x14ac:dyDescent="0.25">
      <c r="E337" t="str">
        <f>""</f>
        <v/>
      </c>
      <c r="F337" t="str">
        <f>""</f>
        <v/>
      </c>
      <c r="H337" t="str">
        <f>"ACCT#8000081165-5 / 05012021"</f>
        <v>ACCT#8000081165-5 / 05012021</v>
      </c>
    </row>
    <row r="338" spans="1:8" x14ac:dyDescent="0.25">
      <c r="A338" t="s">
        <v>73</v>
      </c>
      <c r="B338">
        <v>135466</v>
      </c>
      <c r="C338" s="2">
        <v>6451.71</v>
      </c>
      <c r="D338" s="1">
        <v>44326</v>
      </c>
      <c r="E338" t="str">
        <f>"3013807"</f>
        <v>3013807</v>
      </c>
      <c r="F338" t="str">
        <f>"CUST#BASPCT1/PCT#1"</f>
        <v>CUST#BASPCT1/PCT#1</v>
      </c>
      <c r="G338" s="2">
        <v>2142.64</v>
      </c>
      <c r="H338" t="str">
        <f>"CUST#BASPCT1/PCT#1"</f>
        <v>CUST#BASPCT1/PCT#1</v>
      </c>
    </row>
    <row r="339" spans="1:8" x14ac:dyDescent="0.25">
      <c r="E339" t="str">
        <f>"30143782"</f>
        <v>30143782</v>
      </c>
      <c r="F339" t="str">
        <f>"CUST#BASPCT1/PCT#1"</f>
        <v>CUST#BASPCT1/PCT#1</v>
      </c>
      <c r="G339" s="2">
        <v>2149.41</v>
      </c>
      <c r="H339" t="str">
        <f>"CUST#BASPCT1/PCT#1"</f>
        <v>CUST#BASPCT1/PCT#1</v>
      </c>
    </row>
    <row r="340" spans="1:8" x14ac:dyDescent="0.25">
      <c r="E340" t="str">
        <f>"30143861"</f>
        <v>30143861</v>
      </c>
      <c r="F340" t="str">
        <f>"CUST#BASPCT1/PCT#1"</f>
        <v>CUST#BASPCT1/PCT#1</v>
      </c>
      <c r="G340" s="2">
        <v>1099.2</v>
      </c>
      <c r="H340" t="str">
        <f>"CUST#BASPCT1/PCT#1"</f>
        <v>CUST#BASPCT1/PCT#1</v>
      </c>
    </row>
    <row r="341" spans="1:8" x14ac:dyDescent="0.25">
      <c r="E341" t="str">
        <f>"3014831"</f>
        <v>3014831</v>
      </c>
      <c r="F341" t="str">
        <f>"CUST#BASPCT1/PCT#1"</f>
        <v>CUST#BASPCT1/PCT#1</v>
      </c>
      <c r="G341" s="2">
        <v>1060.46</v>
      </c>
      <c r="H341" t="str">
        <f>"CUST#BASPCT1/PCT#1"</f>
        <v>CUST#BASPCT1/PCT#1</v>
      </c>
    </row>
    <row r="342" spans="1:8" x14ac:dyDescent="0.25">
      <c r="A342" t="s">
        <v>74</v>
      </c>
      <c r="B342">
        <v>135467</v>
      </c>
      <c r="C342" s="2">
        <v>119</v>
      </c>
      <c r="D342" s="1">
        <v>44326</v>
      </c>
      <c r="E342" t="str">
        <f>"25385042321"</f>
        <v>25385042321</v>
      </c>
      <c r="F342" t="str">
        <f>"TIMOTHY LYLE HENNING"</f>
        <v>TIMOTHY LYLE HENNING</v>
      </c>
      <c r="G342" s="2">
        <v>119</v>
      </c>
      <c r="H342" t="str">
        <f>"Document Shredding"</f>
        <v>Document Shredding</v>
      </c>
    </row>
    <row r="343" spans="1:8" x14ac:dyDescent="0.25">
      <c r="A343" t="s">
        <v>75</v>
      </c>
      <c r="B343">
        <v>4534</v>
      </c>
      <c r="C343" s="2">
        <v>899</v>
      </c>
      <c r="D343" s="1">
        <v>44341</v>
      </c>
      <c r="E343" t="str">
        <f>"0248639"</f>
        <v>0248639</v>
      </c>
      <c r="F343" t="str">
        <f>"INV 0248639-IN"</f>
        <v>INV 0248639-IN</v>
      </c>
      <c r="G343" s="2">
        <v>899</v>
      </c>
      <c r="H343" t="str">
        <f>"INV 0248639-IN"</f>
        <v>INV 0248639-IN</v>
      </c>
    </row>
    <row r="344" spans="1:8" x14ac:dyDescent="0.25">
      <c r="A344" t="s">
        <v>76</v>
      </c>
      <c r="B344">
        <v>135468</v>
      </c>
      <c r="C344" s="2">
        <v>2600</v>
      </c>
      <c r="D344" s="1">
        <v>44326</v>
      </c>
      <c r="E344" t="str">
        <f>"202105032900"</f>
        <v>202105032900</v>
      </c>
      <c r="F344" t="str">
        <f>"16667"</f>
        <v>16667</v>
      </c>
      <c r="G344" s="2">
        <v>2600</v>
      </c>
      <c r="H344" t="str">
        <f>"16667"</f>
        <v>16667</v>
      </c>
    </row>
    <row r="345" spans="1:8" x14ac:dyDescent="0.25">
      <c r="A345" t="s">
        <v>77</v>
      </c>
      <c r="B345">
        <v>135569</v>
      </c>
      <c r="C345" s="2">
        <v>12500</v>
      </c>
      <c r="D345" s="1">
        <v>44328</v>
      </c>
      <c r="E345" t="str">
        <f>"202105123163"</f>
        <v>202105123163</v>
      </c>
      <c r="F345" t="str">
        <f>"FY 2021"</f>
        <v>FY 2021</v>
      </c>
      <c r="G345" s="2">
        <v>12500</v>
      </c>
      <c r="H345" t="str">
        <f>"FY 2021"</f>
        <v>FY 2021</v>
      </c>
    </row>
    <row r="346" spans="1:8" x14ac:dyDescent="0.25">
      <c r="A346" t="s">
        <v>78</v>
      </c>
      <c r="B346">
        <v>4467</v>
      </c>
      <c r="C346" s="2">
        <v>5275</v>
      </c>
      <c r="D346" s="1">
        <v>44327</v>
      </c>
      <c r="E346" t="str">
        <f>"202105032922"</f>
        <v>202105032922</v>
      </c>
      <c r="F346" t="str">
        <f>"JP1060420191"</f>
        <v>JP1060420191</v>
      </c>
      <c r="G346" s="2">
        <v>400</v>
      </c>
      <c r="H346" t="str">
        <f>"JP1060420191"</f>
        <v>JP1060420191</v>
      </c>
    </row>
    <row r="347" spans="1:8" x14ac:dyDescent="0.25">
      <c r="E347" t="str">
        <f>"202105032923"</f>
        <v>202105032923</v>
      </c>
      <c r="F347" t="str">
        <f>"16-532"</f>
        <v>16-532</v>
      </c>
      <c r="G347" s="2">
        <v>800</v>
      </c>
      <c r="H347" t="str">
        <f>"16-532"</f>
        <v>16-532</v>
      </c>
    </row>
    <row r="348" spans="1:8" x14ac:dyDescent="0.25">
      <c r="E348" t="str">
        <f>"202105032924"</f>
        <v>202105032924</v>
      </c>
      <c r="F348" t="str">
        <f>"1766-21"</f>
        <v>1766-21</v>
      </c>
      <c r="G348" s="2">
        <v>400</v>
      </c>
      <c r="H348" t="str">
        <f>"1766-21"</f>
        <v>1766-21</v>
      </c>
    </row>
    <row r="349" spans="1:8" x14ac:dyDescent="0.25">
      <c r="E349" t="str">
        <f>"202105032925"</f>
        <v>202105032925</v>
      </c>
      <c r="F349" t="str">
        <f>"423-7728"</f>
        <v>423-7728</v>
      </c>
      <c r="G349" s="2">
        <v>100</v>
      </c>
      <c r="H349" t="str">
        <f>"423-7728"</f>
        <v>423-7728</v>
      </c>
    </row>
    <row r="350" spans="1:8" x14ac:dyDescent="0.25">
      <c r="E350" t="str">
        <f>"202105032926"</f>
        <v>202105032926</v>
      </c>
      <c r="F350" t="str">
        <f>"16-848"</f>
        <v>16-848</v>
      </c>
      <c r="G350" s="2">
        <v>1000</v>
      </c>
      <c r="H350" t="str">
        <f>"16-848"</f>
        <v>16-848</v>
      </c>
    </row>
    <row r="351" spans="1:8" x14ac:dyDescent="0.25">
      <c r="E351" t="str">
        <f>"202105032936"</f>
        <v>202105032936</v>
      </c>
      <c r="F351" t="str">
        <f>"21-20642"</f>
        <v>21-20642</v>
      </c>
      <c r="G351" s="2">
        <v>100</v>
      </c>
      <c r="H351" t="str">
        <f>"21-20642"</f>
        <v>21-20642</v>
      </c>
    </row>
    <row r="352" spans="1:8" x14ac:dyDescent="0.25">
      <c r="E352" t="str">
        <f>"202105032937"</f>
        <v>202105032937</v>
      </c>
      <c r="F352" t="str">
        <f>"19-19572"</f>
        <v>19-19572</v>
      </c>
      <c r="G352" s="2">
        <v>600</v>
      </c>
      <c r="H352" t="str">
        <f>"19-19572"</f>
        <v>19-19572</v>
      </c>
    </row>
    <row r="353" spans="1:8" x14ac:dyDescent="0.25">
      <c r="E353" t="str">
        <f>"202105032938"</f>
        <v>202105032938</v>
      </c>
      <c r="F353" t="str">
        <f>"20-20085"</f>
        <v>20-20085</v>
      </c>
      <c r="G353" s="2">
        <v>400</v>
      </c>
      <c r="H353" t="str">
        <f>"20-20085"</f>
        <v>20-20085</v>
      </c>
    </row>
    <row r="354" spans="1:8" x14ac:dyDescent="0.25">
      <c r="E354" t="str">
        <f>"202105032939"</f>
        <v>202105032939</v>
      </c>
      <c r="F354" t="str">
        <f>"21-20608"</f>
        <v>21-20608</v>
      </c>
      <c r="G354" s="2">
        <v>100</v>
      </c>
      <c r="H354" t="str">
        <f>"21-20608"</f>
        <v>21-20608</v>
      </c>
    </row>
    <row r="355" spans="1:8" x14ac:dyDescent="0.25">
      <c r="E355" t="str">
        <f>"202105032940"</f>
        <v>202105032940</v>
      </c>
      <c r="F355" t="str">
        <f>"JP110222019C"</f>
        <v>JP110222019C</v>
      </c>
      <c r="G355" s="2">
        <v>250</v>
      </c>
      <c r="H355" t="str">
        <f>"JP110222019C"</f>
        <v>JP110222019C</v>
      </c>
    </row>
    <row r="356" spans="1:8" x14ac:dyDescent="0.25">
      <c r="E356" t="str">
        <f>"202105032941"</f>
        <v>202105032941</v>
      </c>
      <c r="F356" t="str">
        <f>"312192020C"</f>
        <v>312192020C</v>
      </c>
      <c r="G356" s="2">
        <v>250</v>
      </c>
      <c r="H356" t="str">
        <f>"312192020C"</f>
        <v>312192020C</v>
      </c>
    </row>
    <row r="357" spans="1:8" x14ac:dyDescent="0.25">
      <c r="E357" t="str">
        <f>"202105032942"</f>
        <v>202105032942</v>
      </c>
      <c r="F357" t="str">
        <f>"107099-7/107099-8"</f>
        <v>107099-7/107099-8</v>
      </c>
      <c r="G357" s="2">
        <v>375</v>
      </c>
      <c r="H357" t="str">
        <f>"107099-7/107099-8"</f>
        <v>107099-7/107099-8</v>
      </c>
    </row>
    <row r="358" spans="1:8" x14ac:dyDescent="0.25">
      <c r="E358" t="str">
        <f>"202105032943"</f>
        <v>202105032943</v>
      </c>
      <c r="F358" t="str">
        <f>"57-632"</f>
        <v>57-632</v>
      </c>
      <c r="G358" s="2">
        <v>250</v>
      </c>
      <c r="H358" t="str">
        <f>"57-632"</f>
        <v>57-632</v>
      </c>
    </row>
    <row r="359" spans="1:8" x14ac:dyDescent="0.25">
      <c r="E359" t="str">
        <f>"202105032944"</f>
        <v>202105032944</v>
      </c>
      <c r="F359" t="str">
        <f>"JP108282019B"</f>
        <v>JP108282019B</v>
      </c>
      <c r="G359" s="2">
        <v>250</v>
      </c>
      <c r="H359" t="str">
        <f>"JP108282019B"</f>
        <v>JP108282019B</v>
      </c>
    </row>
    <row r="360" spans="1:8" x14ac:dyDescent="0.25">
      <c r="A360" t="s">
        <v>78</v>
      </c>
      <c r="B360">
        <v>4544</v>
      </c>
      <c r="C360" s="2">
        <v>5150</v>
      </c>
      <c r="D360" s="1">
        <v>44341</v>
      </c>
      <c r="E360" t="str">
        <f>"202105133230"</f>
        <v>202105133230</v>
      </c>
      <c r="F360" t="str">
        <f>"56-916"</f>
        <v>56-916</v>
      </c>
      <c r="G360" s="2">
        <v>250</v>
      </c>
      <c r="H360" t="str">
        <f>"56-916"</f>
        <v>56-916</v>
      </c>
    </row>
    <row r="361" spans="1:8" x14ac:dyDescent="0.25">
      <c r="E361" t="str">
        <f>"202105133231"</f>
        <v>202105133231</v>
      </c>
      <c r="F361" t="str">
        <f>"JP103232021E"</f>
        <v>JP103232021E</v>
      </c>
      <c r="G361" s="2">
        <v>250</v>
      </c>
      <c r="H361" t="str">
        <f>"JP103232021E"</f>
        <v>JP103232021E</v>
      </c>
    </row>
    <row r="362" spans="1:8" x14ac:dyDescent="0.25">
      <c r="E362" t="str">
        <f>"202105133232"</f>
        <v>202105133232</v>
      </c>
      <c r="F362" t="str">
        <f>"4101220-6"</f>
        <v>4101220-6</v>
      </c>
      <c r="G362" s="2">
        <v>250</v>
      </c>
      <c r="H362" t="str">
        <f>"4101220-6"</f>
        <v>4101220-6</v>
      </c>
    </row>
    <row r="363" spans="1:8" x14ac:dyDescent="0.25">
      <c r="E363" t="str">
        <f>"202105133233"</f>
        <v>202105133233</v>
      </c>
      <c r="F363" t="str">
        <f>"102162019"</f>
        <v>102162019</v>
      </c>
      <c r="G363" s="2">
        <v>250</v>
      </c>
      <c r="H363" t="str">
        <f>"102162019"</f>
        <v>102162019</v>
      </c>
    </row>
    <row r="364" spans="1:8" x14ac:dyDescent="0.25">
      <c r="E364" t="str">
        <f>"202105133234"</f>
        <v>202105133234</v>
      </c>
      <c r="F364" t="str">
        <f>"JP103232021C"</f>
        <v>JP103232021C</v>
      </c>
      <c r="G364" s="2">
        <v>600</v>
      </c>
      <c r="H364" t="str">
        <f>"JP103232021C"</f>
        <v>JP103232021C</v>
      </c>
    </row>
    <row r="365" spans="1:8" x14ac:dyDescent="0.25">
      <c r="E365" t="str">
        <f>"202105133235"</f>
        <v>202105133235</v>
      </c>
      <c r="F365" t="str">
        <f>"1787-21/1791-335"</f>
        <v>1787-21/1791-335</v>
      </c>
      <c r="G365" s="2">
        <v>200</v>
      </c>
      <c r="H365" t="str">
        <f>"1787-21/1791-335"</f>
        <v>1787-21/1791-335</v>
      </c>
    </row>
    <row r="366" spans="1:8" x14ac:dyDescent="0.25">
      <c r="E366" t="str">
        <f>"202105133236"</f>
        <v>202105133236</v>
      </c>
      <c r="F366" t="str">
        <f>"17-216"</f>
        <v>17-216</v>
      </c>
      <c r="G366" s="2">
        <v>3150</v>
      </c>
      <c r="H366" t="str">
        <f>"17-216"</f>
        <v>17-216</v>
      </c>
    </row>
    <row r="367" spans="1:8" x14ac:dyDescent="0.25">
      <c r="E367" t="str">
        <f>"202105133237"</f>
        <v>202105133237</v>
      </c>
      <c r="F367" t="str">
        <f>"DCPC 21027"</f>
        <v>DCPC 21027</v>
      </c>
      <c r="G367" s="2">
        <v>200</v>
      </c>
      <c r="H367" t="str">
        <f>"DCPC 21027"</f>
        <v>DCPC 21027</v>
      </c>
    </row>
    <row r="368" spans="1:8" x14ac:dyDescent="0.25">
      <c r="A368" t="s">
        <v>79</v>
      </c>
      <c r="B368">
        <v>135469</v>
      </c>
      <c r="C368" s="2">
        <v>150</v>
      </c>
      <c r="D368" s="1">
        <v>44326</v>
      </c>
      <c r="E368" t="str">
        <f>"9130102412"</f>
        <v>9130102412</v>
      </c>
      <c r="F368" t="str">
        <f>"INV 9130102412"</f>
        <v>INV 9130102412</v>
      </c>
      <c r="G368" s="2">
        <v>100</v>
      </c>
      <c r="H368" t="str">
        <f>"INV 9130102412"</f>
        <v>INV 9130102412</v>
      </c>
    </row>
    <row r="369" spans="1:8" x14ac:dyDescent="0.25">
      <c r="E369" t="str">
        <f>"9130102414"</f>
        <v>9130102414</v>
      </c>
      <c r="F369" t="str">
        <f>"INV 9130102414"</f>
        <v>INV 9130102414</v>
      </c>
      <c r="G369" s="2">
        <v>50</v>
      </c>
      <c r="H369" t="str">
        <f>"INV 9130102414"</f>
        <v>INV 9130102414</v>
      </c>
    </row>
    <row r="370" spans="1:8" x14ac:dyDescent="0.25">
      <c r="A370" t="s">
        <v>79</v>
      </c>
      <c r="B370">
        <v>135611</v>
      </c>
      <c r="C370" s="2">
        <v>256.60000000000002</v>
      </c>
      <c r="D370" s="1">
        <v>44340</v>
      </c>
      <c r="E370" t="str">
        <f>"5062035393"</f>
        <v>5062035393</v>
      </c>
      <c r="F370" t="str">
        <f>"PAYER#11167181/PCT#1"</f>
        <v>PAYER#11167181/PCT#1</v>
      </c>
      <c r="G370" s="2">
        <v>256.60000000000002</v>
      </c>
      <c r="H370" t="str">
        <f>"PAYER#11167181/PCT#1"</f>
        <v>PAYER#11167181/PCT#1</v>
      </c>
    </row>
    <row r="371" spans="1:8" x14ac:dyDescent="0.25">
      <c r="A371" t="s">
        <v>80</v>
      </c>
      <c r="B371">
        <v>135470</v>
      </c>
      <c r="C371" s="2">
        <v>378.61</v>
      </c>
      <c r="D371" s="1">
        <v>44326</v>
      </c>
      <c r="E371" t="str">
        <f>"8405096879"</f>
        <v>8405096879</v>
      </c>
      <c r="F371" t="str">
        <f>"CUST#10377368/PCT#2"</f>
        <v>CUST#10377368/PCT#2</v>
      </c>
      <c r="G371" s="2">
        <v>49.78</v>
      </c>
      <c r="H371" t="str">
        <f>"CUST#10377368/PCT#2"</f>
        <v>CUST#10377368/PCT#2</v>
      </c>
    </row>
    <row r="372" spans="1:8" x14ac:dyDescent="0.25">
      <c r="E372" t="str">
        <f>"8405103704"</f>
        <v>8405103704</v>
      </c>
      <c r="F372" t="str">
        <f>"PAYER#10377368/PCT#3"</f>
        <v>PAYER#10377368/PCT#3</v>
      </c>
      <c r="G372" s="2">
        <v>328.83</v>
      </c>
      <c r="H372" t="str">
        <f>"PAYER#10377368/PCT#3"</f>
        <v>PAYER#10377368/PCT#3</v>
      </c>
    </row>
    <row r="373" spans="1:8" x14ac:dyDescent="0.25">
      <c r="A373" t="s">
        <v>80</v>
      </c>
      <c r="B373">
        <v>135612</v>
      </c>
      <c r="C373" s="2">
        <v>4456.37</v>
      </c>
      <c r="D373" s="1">
        <v>44340</v>
      </c>
      <c r="E373" t="str">
        <f>"202105133175"</f>
        <v>202105133175</v>
      </c>
      <c r="F373" t="str">
        <f>"PAYER#14108375/GENERAL SRVS"</f>
        <v>PAYER#14108375/GENERAL SRVS</v>
      </c>
      <c r="G373" s="2">
        <v>1704.7</v>
      </c>
      <c r="H373" t="str">
        <f>"PAYER#14108375/GENERAL SRVS"</f>
        <v>PAYER#14108375/GENERAL SRVS</v>
      </c>
    </row>
    <row r="374" spans="1:8" x14ac:dyDescent="0.25">
      <c r="E374" t="str">
        <f>"202105133182"</f>
        <v>202105133182</v>
      </c>
      <c r="F374" t="str">
        <f>"PAYER#14108430/PCT#4"</f>
        <v>PAYER#14108430/PCT#4</v>
      </c>
      <c r="G374" s="2">
        <v>1261.72</v>
      </c>
      <c r="H374" t="str">
        <f>"PAYER#14108430/PCT#4"</f>
        <v>PAYER#14108430/PCT#4</v>
      </c>
    </row>
    <row r="375" spans="1:8" x14ac:dyDescent="0.25">
      <c r="E375" t="str">
        <f>"202105183296"</f>
        <v>202105183296</v>
      </c>
      <c r="F375" t="str">
        <f>"PAYER#1410867/PCT#2"</f>
        <v>PAYER#1410867/PCT#2</v>
      </c>
      <c r="G375" s="2">
        <v>337.56</v>
      </c>
      <c r="H375" t="str">
        <f>"PAYER#1410867/PCT#2"</f>
        <v>PAYER#1410867/PCT#2</v>
      </c>
    </row>
    <row r="376" spans="1:8" x14ac:dyDescent="0.25">
      <c r="E376" t="str">
        <f>"202105183310"</f>
        <v>202105183310</v>
      </c>
      <c r="F376" t="str">
        <f>"PAYER#14108463/ANIMAL SHELTER"</f>
        <v>PAYER#14108463/ANIMAL SHELTER</v>
      </c>
      <c r="G376" s="2">
        <v>252.28</v>
      </c>
      <c r="H376" t="str">
        <f>"PAYER#14108463/ANIMAL SHELTER"</f>
        <v>PAYER#14108463/ANIMAL SHELTER</v>
      </c>
    </row>
    <row r="377" spans="1:8" x14ac:dyDescent="0.25">
      <c r="E377" t="str">
        <f>"202105193368"</f>
        <v>202105193368</v>
      </c>
      <c r="F377" t="str">
        <f>"PAYER#14108431/PCT#1"</f>
        <v>PAYER#14108431/PCT#1</v>
      </c>
      <c r="G377" s="2">
        <v>840.59</v>
      </c>
      <c r="H377" t="str">
        <f>"PAYER#14108431/PCT#1"</f>
        <v>PAYER#14108431/PCT#1</v>
      </c>
    </row>
    <row r="378" spans="1:8" x14ac:dyDescent="0.25">
      <c r="E378" t="str">
        <f>"202105193369"</f>
        <v>202105193369</v>
      </c>
      <c r="F378" t="str">
        <f>"PAYER#14108431/SIGN SHOP"</f>
        <v>PAYER#14108431/SIGN SHOP</v>
      </c>
      <c r="G378" s="2">
        <v>59.52</v>
      </c>
      <c r="H378" t="str">
        <f>"PAYER#14108431/SIGN SHOP"</f>
        <v>PAYER#14108431/SIGN SHOP</v>
      </c>
    </row>
    <row r="379" spans="1:8" x14ac:dyDescent="0.25">
      <c r="A379" t="s">
        <v>81</v>
      </c>
      <c r="B379">
        <v>1072</v>
      </c>
      <c r="C379" s="2">
        <v>8314.08</v>
      </c>
      <c r="D379" s="1">
        <v>44334</v>
      </c>
      <c r="E379" t="str">
        <f>"202105183302"</f>
        <v>202105183302</v>
      </c>
      <c r="F379" t="str">
        <f>"ACCT#72-5613/05032021"</f>
        <v>ACCT#72-5613/05032021</v>
      </c>
      <c r="G379" s="2">
        <v>8314.08</v>
      </c>
      <c r="H379" t="str">
        <f>"ACCT#72-5613/05032021"</f>
        <v>ACCT#72-5613/05032021</v>
      </c>
    </row>
    <row r="380" spans="1:8" x14ac:dyDescent="0.25">
      <c r="A380" t="s">
        <v>82</v>
      </c>
      <c r="B380">
        <v>135436</v>
      </c>
      <c r="C380" s="2">
        <v>41336.81</v>
      </c>
      <c r="D380" s="1">
        <v>44322</v>
      </c>
      <c r="E380" t="str">
        <f>"202105063137"</f>
        <v>202105063137</v>
      </c>
      <c r="F380" t="str">
        <f>"ACCT#02-2083-04 / 04292021"</f>
        <v>ACCT#02-2083-04 / 04292021</v>
      </c>
      <c r="G380" s="2">
        <v>6223.28</v>
      </c>
      <c r="H380" t="str">
        <f>"CITY OF BASTROP"</f>
        <v>CITY OF BASTROP</v>
      </c>
    </row>
    <row r="381" spans="1:8" x14ac:dyDescent="0.25">
      <c r="E381" t="str">
        <f>"202105063138"</f>
        <v>202105063138</v>
      </c>
      <c r="F381" t="str">
        <f>"COUNTY DEV CENTER / 04292021"</f>
        <v>COUNTY DEV CENTER / 04292021</v>
      </c>
      <c r="G381" s="2">
        <v>1677.92</v>
      </c>
      <c r="H381" t="str">
        <f>"CITY OF BASTROP"</f>
        <v>CITY OF BASTROP</v>
      </c>
    </row>
    <row r="382" spans="1:8" x14ac:dyDescent="0.25">
      <c r="E382" t="str">
        <f>"202105063139"</f>
        <v>202105063139</v>
      </c>
      <c r="F382" t="str">
        <f>"COUNTY LAW CENTER / 04292021"</f>
        <v>COUNTY LAW CENTER / 04292021</v>
      </c>
      <c r="G382" s="2">
        <v>22104.04</v>
      </c>
      <c r="H382" t="str">
        <f>"CITY OF BASTROP"</f>
        <v>CITY OF BASTROP</v>
      </c>
    </row>
    <row r="383" spans="1:8" x14ac:dyDescent="0.25">
      <c r="E383" t="str">
        <f>"202105063140"</f>
        <v>202105063140</v>
      </c>
      <c r="F383" t="str">
        <f>"BASTROP COURT HOUSE / 04292021"</f>
        <v>BASTROP COURT HOUSE / 04292021</v>
      </c>
      <c r="G383" s="2">
        <v>11331.57</v>
      </c>
      <c r="H383" t="str">
        <f>"BASTROP COURT HOUSE / 04292021"</f>
        <v>BASTROP COURT HOUSE / 04292021</v>
      </c>
    </row>
    <row r="384" spans="1:8" x14ac:dyDescent="0.25">
      <c r="A384" t="s">
        <v>82</v>
      </c>
      <c r="B384">
        <v>135613</v>
      </c>
      <c r="C384" s="2">
        <v>750</v>
      </c>
      <c r="D384" s="1">
        <v>44340</v>
      </c>
      <c r="E384" t="str">
        <f>"202105133176"</f>
        <v>202105133176</v>
      </c>
      <c r="F384" t="str">
        <f>"PARKING LOT RENTAL"</f>
        <v>PARKING LOT RENTAL</v>
      </c>
      <c r="G384" s="2">
        <v>750</v>
      </c>
      <c r="H384" t="str">
        <f>"PARKING LOT RENTAL"</f>
        <v>PARKING LOT RENTAL</v>
      </c>
    </row>
    <row r="385" spans="1:8" x14ac:dyDescent="0.25">
      <c r="A385" t="s">
        <v>83</v>
      </c>
      <c r="B385">
        <v>135437</v>
      </c>
      <c r="C385" s="2">
        <v>2830.37</v>
      </c>
      <c r="D385" s="1">
        <v>44322</v>
      </c>
      <c r="E385" t="str">
        <f>"202105063151"</f>
        <v>202105063151</v>
      </c>
      <c r="F385" t="str">
        <f>"ACCT#007-0000388-000 / 042821"</f>
        <v>ACCT#007-0000388-000 / 042821</v>
      </c>
      <c r="G385" s="2">
        <v>479.98</v>
      </c>
      <c r="H385" t="str">
        <f t="shared" ref="H385:H390" si="8">"CITY OF SMITHVILLE"</f>
        <v>CITY OF SMITHVILLE</v>
      </c>
    </row>
    <row r="386" spans="1:8" x14ac:dyDescent="0.25">
      <c r="E386" t="str">
        <f>"202105063152"</f>
        <v>202105063152</v>
      </c>
      <c r="F386" t="str">
        <f>"ACCT#007-0000389-000 / 042821"</f>
        <v>ACCT#007-0000389-000 / 042821</v>
      </c>
      <c r="G386" s="2">
        <v>85.02</v>
      </c>
      <c r="H386" t="str">
        <f t="shared" si="8"/>
        <v>CITY OF SMITHVILLE</v>
      </c>
    </row>
    <row r="387" spans="1:8" x14ac:dyDescent="0.25">
      <c r="E387" t="str">
        <f>"202105063153"</f>
        <v>202105063153</v>
      </c>
      <c r="F387" t="str">
        <f>"ACCT#044-0001240-000 / 042821"</f>
        <v>ACCT#044-0001240-000 / 042821</v>
      </c>
      <c r="G387" s="2">
        <v>322.43</v>
      </c>
      <c r="H387" t="str">
        <f t="shared" si="8"/>
        <v>CITY OF SMITHVILLE</v>
      </c>
    </row>
    <row r="388" spans="1:8" x14ac:dyDescent="0.25">
      <c r="E388" t="str">
        <f>"202105063154"</f>
        <v>202105063154</v>
      </c>
      <c r="F388" t="str">
        <f>"ACCT#044-0001250-000 / 042821"</f>
        <v>ACCT#044-0001250-000 / 042821</v>
      </c>
      <c r="G388" s="2">
        <v>114.59</v>
      </c>
      <c r="H388" t="str">
        <f t="shared" si="8"/>
        <v>CITY OF SMITHVILLE</v>
      </c>
    </row>
    <row r="389" spans="1:8" x14ac:dyDescent="0.25">
      <c r="E389" t="str">
        <f>"202105063155"</f>
        <v>202105063155</v>
      </c>
      <c r="F389" t="str">
        <f>"ACCT#044-0001252-000 / 042821"</f>
        <v>ACCT#044-0001252-000 / 042821</v>
      </c>
      <c r="G389" s="2">
        <v>1659.35</v>
      </c>
      <c r="H389" t="str">
        <f t="shared" si="8"/>
        <v>CITY OF SMITHVILLE</v>
      </c>
    </row>
    <row r="390" spans="1:8" x14ac:dyDescent="0.25">
      <c r="E390" t="str">
        <f>"202105063156"</f>
        <v>202105063156</v>
      </c>
      <c r="F390" t="str">
        <f>"ACCT#044-0001253-000 / 042821"</f>
        <v>ACCT#044-0001253-000 / 042821</v>
      </c>
      <c r="G390" s="2">
        <v>169</v>
      </c>
      <c r="H390" t="str">
        <f t="shared" si="8"/>
        <v>CITY OF SMITHVILLE</v>
      </c>
    </row>
    <row r="391" spans="1:8" x14ac:dyDescent="0.25">
      <c r="A391" t="s">
        <v>83</v>
      </c>
      <c r="B391">
        <v>135733</v>
      </c>
      <c r="C391" s="2">
        <v>3080.16</v>
      </c>
      <c r="D391" s="1">
        <v>44344</v>
      </c>
      <c r="E391" t="str">
        <f>"202105283464"</f>
        <v>202105283464</v>
      </c>
      <c r="F391" t="str">
        <f>"ACCT#007-0000338-000 / 052521"</f>
        <v>ACCT#007-0000338-000 / 052521</v>
      </c>
      <c r="G391" s="2">
        <v>586.44000000000005</v>
      </c>
      <c r="H391" t="str">
        <f>"ACCT#007-0000338-000 / 052521"</f>
        <v>ACCT#007-0000338-000 / 052521</v>
      </c>
    </row>
    <row r="392" spans="1:8" x14ac:dyDescent="0.25">
      <c r="E392" t="str">
        <f>"202105283465"</f>
        <v>202105283465</v>
      </c>
      <c r="F392" t="str">
        <f>"ACCT#007-0000389-000 / 052521"</f>
        <v>ACCT#007-0000389-000 / 052521</v>
      </c>
      <c r="G392" s="2">
        <v>64.34</v>
      </c>
      <c r="H392" t="str">
        <f>"CITY OF SMITHVILLE"</f>
        <v>CITY OF SMITHVILLE</v>
      </c>
    </row>
    <row r="393" spans="1:8" x14ac:dyDescent="0.25">
      <c r="E393" t="str">
        <f>"202105283466"</f>
        <v>202105283466</v>
      </c>
      <c r="F393" t="str">
        <f>"ACCT#044-0001240-000 / 050821"</f>
        <v>ACCT#044-0001240-000 / 050821</v>
      </c>
      <c r="G393" s="2">
        <v>385.98</v>
      </c>
      <c r="H393" t="str">
        <f>"CITY OF SMITHVILLE"</f>
        <v>CITY OF SMITHVILLE</v>
      </c>
    </row>
    <row r="394" spans="1:8" x14ac:dyDescent="0.25">
      <c r="E394" t="str">
        <f>"202105283467"</f>
        <v>202105283467</v>
      </c>
      <c r="F394" t="str">
        <f>"ACCT#044-0001250-000 / 052521"</f>
        <v>ACCT#044-0001250-000 / 052521</v>
      </c>
      <c r="G394" s="2">
        <v>116.82</v>
      </c>
      <c r="H394" t="str">
        <f>"CITY OF SMITHVILLE"</f>
        <v>CITY OF SMITHVILLE</v>
      </c>
    </row>
    <row r="395" spans="1:8" x14ac:dyDescent="0.25">
      <c r="E395" t="str">
        <f>"202105283468"</f>
        <v>202105283468</v>
      </c>
      <c r="F395" t="str">
        <f>"ACCT#044-0001252-000 / 052521"</f>
        <v>ACCT#044-0001252-000 / 052521</v>
      </c>
      <c r="G395" s="2">
        <v>1773.72</v>
      </c>
      <c r="H395" t="str">
        <f>"CITY OF SMITHVILLE"</f>
        <v>CITY OF SMITHVILLE</v>
      </c>
    </row>
    <row r="396" spans="1:8" x14ac:dyDescent="0.25">
      <c r="E396" t="str">
        <f>"202105283469"</f>
        <v>202105283469</v>
      </c>
      <c r="F396" t="str">
        <f>"ACCT#044-0001253-000 / 052521"</f>
        <v>ACCT#044-0001253-000 / 052521</v>
      </c>
      <c r="G396" s="2">
        <v>152.86000000000001</v>
      </c>
      <c r="H396" t="str">
        <f>"CITY OF SMITHVILLE"</f>
        <v>CITY OF SMITHVILLE</v>
      </c>
    </row>
    <row r="397" spans="1:8" x14ac:dyDescent="0.25">
      <c r="A397" t="s">
        <v>84</v>
      </c>
      <c r="B397">
        <v>4410</v>
      </c>
      <c r="C397" s="2">
        <v>1088</v>
      </c>
      <c r="D397" s="1">
        <v>44327</v>
      </c>
      <c r="E397" t="str">
        <f>"PMA-0068000"</f>
        <v>PMA-0068000</v>
      </c>
      <c r="F397" t="str">
        <f>"QRTY GENERATOR MAINTENANCE"</f>
        <v>QRTY GENERATOR MAINTENANCE</v>
      </c>
      <c r="G397" s="2">
        <v>1088</v>
      </c>
      <c r="H397" t="str">
        <f>"QRTY GENERATOR MAINTENANCE"</f>
        <v>QRTY GENERATOR MAINTENANCE</v>
      </c>
    </row>
    <row r="398" spans="1:8" x14ac:dyDescent="0.25">
      <c r="A398" t="s">
        <v>84</v>
      </c>
      <c r="B398">
        <v>4485</v>
      </c>
      <c r="C398" s="2">
        <v>459</v>
      </c>
      <c r="D398" s="1">
        <v>44341</v>
      </c>
      <c r="E398" t="str">
        <f>"PMA-0074717"</f>
        <v>PMA-0074717</v>
      </c>
      <c r="F398" t="str">
        <f>"CUST#0020272/"</f>
        <v>CUST#0020272/</v>
      </c>
      <c r="G398" s="2">
        <v>459</v>
      </c>
      <c r="H398" t="str">
        <f>"CUST#0020272/"</f>
        <v>CUST#0020272/</v>
      </c>
    </row>
    <row r="399" spans="1:8" x14ac:dyDescent="0.25">
      <c r="A399" t="s">
        <v>85</v>
      </c>
      <c r="B399">
        <v>4520</v>
      </c>
      <c r="C399" s="2">
        <v>330.06</v>
      </c>
      <c r="D399" s="1">
        <v>44341</v>
      </c>
      <c r="E399" t="str">
        <f>"1278-202104-0"</f>
        <v>1278-202104-0</v>
      </c>
      <c r="F399" t="str">
        <f>"INV 1278-202104-0"</f>
        <v>INV 1278-202104-0</v>
      </c>
      <c r="G399" s="2">
        <v>183.39</v>
      </c>
      <c r="H399" t="str">
        <f>"INV 1278-202104-0"</f>
        <v>INV 1278-202104-0</v>
      </c>
    </row>
    <row r="400" spans="1:8" x14ac:dyDescent="0.25">
      <c r="E400" t="str">
        <f>"202105193337"</f>
        <v>202105193337</v>
      </c>
      <c r="F400" t="str">
        <f>"INDIGENT HEALTH"</f>
        <v>INDIGENT HEALTH</v>
      </c>
      <c r="G400" s="2">
        <v>146.66999999999999</v>
      </c>
      <c r="H400" t="str">
        <f>"INDIGENT HEALTH"</f>
        <v>INDIGENT HEALTH</v>
      </c>
    </row>
    <row r="401" spans="1:8" x14ac:dyDescent="0.25">
      <c r="A401" t="s">
        <v>86</v>
      </c>
      <c r="B401">
        <v>135614</v>
      </c>
      <c r="C401" s="2">
        <v>74.03</v>
      </c>
      <c r="D401" s="1">
        <v>44340</v>
      </c>
      <c r="E401" t="str">
        <f>"202105193336"</f>
        <v>202105193336</v>
      </c>
      <c r="F401" t="str">
        <f>"INDIGENT HEALTH"</f>
        <v>INDIGENT HEALTH</v>
      </c>
      <c r="G401" s="2">
        <v>74.03</v>
      </c>
      <c r="H401" t="str">
        <f>"INDIGENT HEALTH"</f>
        <v>INDIGENT HEALTH</v>
      </c>
    </row>
    <row r="402" spans="1:8" x14ac:dyDescent="0.25">
      <c r="A402" t="s">
        <v>87</v>
      </c>
      <c r="B402">
        <v>135471</v>
      </c>
      <c r="C402" s="2">
        <v>4514.1499999999996</v>
      </c>
      <c r="D402" s="1">
        <v>44326</v>
      </c>
      <c r="E402" t="str">
        <f>"23748"</f>
        <v>23748</v>
      </c>
      <c r="F402" t="str">
        <f>"Comp Warranty Renewal SO"</f>
        <v>Comp Warranty Renewal SO</v>
      </c>
      <c r="G402" s="2">
        <v>4514.1499999999996</v>
      </c>
      <c r="H402" t="str">
        <f>"BLK360SilverCCP1YREX"</f>
        <v>BLK360SilverCCP1YREX</v>
      </c>
    </row>
    <row r="403" spans="1:8" x14ac:dyDescent="0.25">
      <c r="A403" t="s">
        <v>88</v>
      </c>
      <c r="B403">
        <v>4414</v>
      </c>
      <c r="C403" s="2">
        <v>234.8</v>
      </c>
      <c r="D403" s="1">
        <v>44327</v>
      </c>
      <c r="E403" t="str">
        <f>"12457111850"</f>
        <v>12457111850</v>
      </c>
      <c r="F403" t="str">
        <f>"INV 12457111850"</f>
        <v>INV 12457111850</v>
      </c>
      <c r="G403" s="2">
        <v>234.8</v>
      </c>
      <c r="H403" t="str">
        <f>"INV 12457111850"</f>
        <v>INV 12457111850</v>
      </c>
    </row>
    <row r="404" spans="1:8" x14ac:dyDescent="0.25">
      <c r="A404" t="s">
        <v>89</v>
      </c>
      <c r="B404">
        <v>135472</v>
      </c>
      <c r="C404" s="2">
        <v>3503.25</v>
      </c>
      <c r="D404" s="1">
        <v>44326</v>
      </c>
      <c r="E404" t="str">
        <f>"22630982"</f>
        <v>22630982</v>
      </c>
      <c r="F404" t="str">
        <f>"ACCT#434304/PCT#4"</f>
        <v>ACCT#434304/PCT#4</v>
      </c>
      <c r="G404" s="2">
        <v>846.45</v>
      </c>
      <c r="H404" t="str">
        <f>"ACCT#434304/PCT#4"</f>
        <v>ACCT#434304/PCT#4</v>
      </c>
    </row>
    <row r="405" spans="1:8" x14ac:dyDescent="0.25">
      <c r="E405" t="str">
        <f>"22674390"</f>
        <v>22674390</v>
      </c>
      <c r="F405" t="str">
        <f>"CUST#434304/PCT#4"</f>
        <v>CUST#434304/PCT#4</v>
      </c>
      <c r="G405" s="2">
        <v>324</v>
      </c>
      <c r="H405" t="str">
        <f>"CUST#434304/PCT#4"</f>
        <v>CUST#434304/PCT#4</v>
      </c>
    </row>
    <row r="406" spans="1:8" x14ac:dyDescent="0.25">
      <c r="E406" t="str">
        <f>"22712661"</f>
        <v>22712661</v>
      </c>
      <c r="F406" t="str">
        <f>"ACCT#434304/PCT#4"</f>
        <v>ACCT#434304/PCT#4</v>
      </c>
      <c r="G406" s="2">
        <v>2332.8000000000002</v>
      </c>
      <c r="H406" t="str">
        <f>"ACCT#434304/PCT#4"</f>
        <v>ACCT#434304/PCT#4</v>
      </c>
    </row>
    <row r="407" spans="1:8" x14ac:dyDescent="0.25">
      <c r="A407" t="s">
        <v>89</v>
      </c>
      <c r="B407">
        <v>135615</v>
      </c>
      <c r="C407" s="2">
        <v>1360.8</v>
      </c>
      <c r="D407" s="1">
        <v>44340</v>
      </c>
      <c r="E407" t="str">
        <f>"22760095"</f>
        <v>22760095</v>
      </c>
      <c r="F407" t="str">
        <f>"ACCT#434304/PCT#4"</f>
        <v>ACCT#434304/PCT#4</v>
      </c>
      <c r="G407" s="2">
        <v>1360.8</v>
      </c>
      <c r="H407" t="str">
        <f>"ACCT#434304/PCT#4"</f>
        <v>ACCT#434304/PCT#4</v>
      </c>
    </row>
    <row r="408" spans="1:8" x14ac:dyDescent="0.25">
      <c r="A408" t="s">
        <v>90</v>
      </c>
      <c r="B408">
        <v>4493</v>
      </c>
      <c r="C408" s="2">
        <v>1614</v>
      </c>
      <c r="D408" s="1">
        <v>44341</v>
      </c>
      <c r="E408" t="str">
        <f>"20825"</f>
        <v>20825</v>
      </c>
      <c r="F408" t="str">
        <f>"INSTALL CAT6 CAMERAS/IT"</f>
        <v>INSTALL CAT6 CAMERAS/IT</v>
      </c>
      <c r="G408" s="2">
        <v>1614</v>
      </c>
      <c r="H408" t="str">
        <f>"INSTALL CAT6 CAMERAS/IT"</f>
        <v>INSTALL CAT6 CAMERAS/IT</v>
      </c>
    </row>
    <row r="409" spans="1:8" x14ac:dyDescent="0.25">
      <c r="A409" t="s">
        <v>91</v>
      </c>
      <c r="B409">
        <v>4443</v>
      </c>
      <c r="C409" s="2">
        <v>32.369999999999997</v>
      </c>
      <c r="D409" s="1">
        <v>44327</v>
      </c>
      <c r="E409" t="str">
        <f>"IGG00736"</f>
        <v>IGG00736</v>
      </c>
      <c r="F409" t="str">
        <f>"CUST#063 SPRAYBAR/PCT#1"</f>
        <v>CUST#063 SPRAYBAR/PCT#1</v>
      </c>
      <c r="G409" s="2">
        <v>32.369999999999997</v>
      </c>
      <c r="H409" t="str">
        <f>"CUST#063 SPRAYBAR/PCT#1"</f>
        <v>CUST#063 SPRAYBAR/PCT#1</v>
      </c>
    </row>
    <row r="410" spans="1:8" x14ac:dyDescent="0.25">
      <c r="A410" t="s">
        <v>92</v>
      </c>
      <c r="B410">
        <v>135473</v>
      </c>
      <c r="C410" s="2">
        <v>288.58999999999997</v>
      </c>
      <c r="D410" s="1">
        <v>44326</v>
      </c>
      <c r="E410" t="str">
        <f>"UM22942"</f>
        <v>UM22942</v>
      </c>
      <c r="F410" t="str">
        <f>"ACCT#68930-001"</f>
        <v>ACCT#68930-001</v>
      </c>
      <c r="G410" s="2">
        <v>136.22999999999999</v>
      </c>
      <c r="H410" t="str">
        <f>"ACCT#68930-001"</f>
        <v>ACCT#68930-001</v>
      </c>
    </row>
    <row r="411" spans="1:8" x14ac:dyDescent="0.25">
      <c r="E411" t="str">
        <f>""</f>
        <v/>
      </c>
      <c r="F411" t="str">
        <f>""</f>
        <v/>
      </c>
      <c r="H411" t="str">
        <f>"ACCT#68930-001"</f>
        <v>ACCT#68930-001</v>
      </c>
    </row>
    <row r="412" spans="1:8" x14ac:dyDescent="0.25">
      <c r="E412" t="str">
        <f>"um42854"</f>
        <v>um42854</v>
      </c>
      <c r="F412" t="str">
        <f>"ACCT#68930-001"</f>
        <v>ACCT#68930-001</v>
      </c>
      <c r="G412" s="2">
        <v>152.36000000000001</v>
      </c>
      <c r="H412" t="str">
        <f>"ACCT#68930-001"</f>
        <v>ACCT#68930-001</v>
      </c>
    </row>
    <row r="413" spans="1:8" x14ac:dyDescent="0.25">
      <c r="E413" t="str">
        <f>""</f>
        <v/>
      </c>
      <c r="F413" t="str">
        <f>""</f>
        <v/>
      </c>
      <c r="H413" t="str">
        <f>"ACCT#68930-001"</f>
        <v>ACCT#68930-001</v>
      </c>
    </row>
    <row r="414" spans="1:8" x14ac:dyDescent="0.25">
      <c r="A414" t="s">
        <v>92</v>
      </c>
      <c r="B414">
        <v>135616</v>
      </c>
      <c r="C414" s="2">
        <v>1126.83</v>
      </c>
      <c r="D414" s="1">
        <v>44340</v>
      </c>
      <c r="E414" t="str">
        <f>"14448"</f>
        <v>14448</v>
      </c>
      <c r="F414" t="str">
        <f>"ACCT#68930/ANIMAL SHELTER"</f>
        <v>ACCT#68930/ANIMAL SHELTER</v>
      </c>
      <c r="G414" s="2">
        <v>104.35</v>
      </c>
      <c r="H414" t="str">
        <f t="shared" ref="H414:H420" si="9">"ACCT#68930/ANIMAL SHELTER"</f>
        <v>ACCT#68930/ANIMAL SHELTER</v>
      </c>
    </row>
    <row r="415" spans="1:8" x14ac:dyDescent="0.25">
      <c r="E415" t="str">
        <f>""</f>
        <v/>
      </c>
      <c r="F415" t="str">
        <f>""</f>
        <v/>
      </c>
      <c r="H415" t="str">
        <f t="shared" si="9"/>
        <v>ACCT#68930/ANIMAL SHELTER</v>
      </c>
    </row>
    <row r="416" spans="1:8" x14ac:dyDescent="0.25">
      <c r="E416" t="str">
        <f>"UN36380"</f>
        <v>UN36380</v>
      </c>
      <c r="F416" t="str">
        <f>"ACCT#68930/ANIMAL SHELTER"</f>
        <v>ACCT#68930/ANIMAL SHELTER</v>
      </c>
      <c r="G416" s="2">
        <v>99.81</v>
      </c>
      <c r="H416" t="str">
        <f t="shared" si="9"/>
        <v>ACCT#68930/ANIMAL SHELTER</v>
      </c>
    </row>
    <row r="417" spans="1:8" x14ac:dyDescent="0.25">
      <c r="E417" t="str">
        <f>"UN43566"</f>
        <v>UN43566</v>
      </c>
      <c r="F417" t="str">
        <f>"ACCT#68930/ANIMAL SHELTER"</f>
        <v>ACCT#68930/ANIMAL SHELTER</v>
      </c>
      <c r="G417" s="2">
        <v>385.25</v>
      </c>
      <c r="H417" t="str">
        <f t="shared" si="9"/>
        <v>ACCT#68930/ANIMAL SHELTER</v>
      </c>
    </row>
    <row r="418" spans="1:8" x14ac:dyDescent="0.25">
      <c r="E418" t="str">
        <f>""</f>
        <v/>
      </c>
      <c r="F418" t="str">
        <f>""</f>
        <v/>
      </c>
      <c r="H418" t="str">
        <f t="shared" si="9"/>
        <v>ACCT#68930/ANIMAL SHELTER</v>
      </c>
    </row>
    <row r="419" spans="1:8" x14ac:dyDescent="0.25">
      <c r="E419" t="str">
        <f>"UN58665"</f>
        <v>UN58665</v>
      </c>
      <c r="F419" t="str">
        <f>"ACCT#68930/ANIMAL SHELTER"</f>
        <v>ACCT#68930/ANIMAL SHELTER</v>
      </c>
      <c r="G419" s="2">
        <v>436.26</v>
      </c>
      <c r="H419" t="str">
        <f t="shared" si="9"/>
        <v>ACCT#68930/ANIMAL SHELTER</v>
      </c>
    </row>
    <row r="420" spans="1:8" x14ac:dyDescent="0.25">
      <c r="E420" t="str">
        <f>"UN91297"</f>
        <v>UN91297</v>
      </c>
      <c r="F420" t="str">
        <f>"ACCT#68930/ANIMAL SHELTER"</f>
        <v>ACCT#68930/ANIMAL SHELTER</v>
      </c>
      <c r="G420" s="2">
        <v>101.16</v>
      </c>
      <c r="H420" t="str">
        <f t="shared" si="9"/>
        <v>ACCT#68930/ANIMAL SHELTER</v>
      </c>
    </row>
    <row r="421" spans="1:8" x14ac:dyDescent="0.25">
      <c r="A421" t="s">
        <v>93</v>
      </c>
      <c r="B421">
        <v>135617</v>
      </c>
      <c r="C421" s="2">
        <v>3750</v>
      </c>
      <c r="D421" s="1">
        <v>44340</v>
      </c>
      <c r="E421" t="str">
        <f>"202105183324"</f>
        <v>202105183324</v>
      </c>
      <c r="F421" t="str">
        <f>"MARCH  APRIL &amp; MAY"</f>
        <v>MARCH  APRIL &amp; MAY</v>
      </c>
      <c r="G421" s="2">
        <v>3750</v>
      </c>
      <c r="H421" t="str">
        <f>"MARCH  APRIL"</f>
        <v>MARCH  APRIL</v>
      </c>
    </row>
    <row r="422" spans="1:8" x14ac:dyDescent="0.25">
      <c r="E422" t="str">
        <f>""</f>
        <v/>
      </c>
      <c r="F422" t="str">
        <f>""</f>
        <v/>
      </c>
      <c r="H422" t="str">
        <f>"MAY"</f>
        <v>MAY</v>
      </c>
    </row>
    <row r="423" spans="1:8" x14ac:dyDescent="0.25">
      <c r="A423" t="s">
        <v>94</v>
      </c>
      <c r="B423">
        <v>135474</v>
      </c>
      <c r="C423" s="2">
        <v>2230.73</v>
      </c>
      <c r="D423" s="1">
        <v>44326</v>
      </c>
      <c r="E423" t="str">
        <f>"349961"</f>
        <v>349961</v>
      </c>
      <c r="F423" t="str">
        <f>"CUSTOM PRODUCTS CORPORATION"</f>
        <v>CUSTOM PRODUCTS CORPORATION</v>
      </c>
      <c r="G423" s="2">
        <v>90.73</v>
      </c>
      <c r="H423" t="str">
        <f>"Plastic Pocket"</f>
        <v>Plastic Pocket</v>
      </c>
    </row>
    <row r="424" spans="1:8" x14ac:dyDescent="0.25">
      <c r="E424" t="str">
        <f>""</f>
        <v/>
      </c>
      <c r="F424" t="str">
        <f>""</f>
        <v/>
      </c>
      <c r="H424" t="str">
        <f>"Freight"</f>
        <v>Freight</v>
      </c>
    </row>
    <row r="425" spans="1:8" x14ac:dyDescent="0.25">
      <c r="E425" t="str">
        <f>"B393252"</f>
        <v>B393252</v>
      </c>
      <c r="F425" t="str">
        <f>"CUSTOM PRODUCTS CORPORATION"</f>
        <v>CUSTOM PRODUCTS CORPORATION</v>
      </c>
      <c r="G425" s="2">
        <v>2140</v>
      </c>
      <c r="H425" t="str">
        <f>"Roll Up Signs"</f>
        <v>Roll Up Signs</v>
      </c>
    </row>
    <row r="426" spans="1:8" x14ac:dyDescent="0.25">
      <c r="E426" t="str">
        <f>""</f>
        <v/>
      </c>
      <c r="F426" t="str">
        <f>""</f>
        <v/>
      </c>
      <c r="H426" t="str">
        <f>"Symbol Roll Up Signs"</f>
        <v>Symbol Roll Up Signs</v>
      </c>
    </row>
    <row r="427" spans="1:8" x14ac:dyDescent="0.25">
      <c r="E427" t="str">
        <f>""</f>
        <v/>
      </c>
      <c r="F427" t="str">
        <f>""</f>
        <v/>
      </c>
      <c r="H427" t="str">
        <f>"Riibs for 36  Signs"</f>
        <v>Riibs for 36  Signs</v>
      </c>
    </row>
    <row r="428" spans="1:8" x14ac:dyDescent="0.25">
      <c r="E428" t="str">
        <f>""</f>
        <v/>
      </c>
      <c r="F428" t="str">
        <f>""</f>
        <v/>
      </c>
      <c r="H428" t="str">
        <f>"Freight"</f>
        <v>Freight</v>
      </c>
    </row>
    <row r="429" spans="1:8" x14ac:dyDescent="0.25">
      <c r="A429" t="s">
        <v>95</v>
      </c>
      <c r="B429">
        <v>135475</v>
      </c>
      <c r="C429" s="2">
        <v>80</v>
      </c>
      <c r="D429" s="1">
        <v>44326</v>
      </c>
      <c r="E429" t="str">
        <f>"12763"</f>
        <v>12763</v>
      </c>
      <c r="F429" t="str">
        <f>"SERVICE"</f>
        <v>SERVICE</v>
      </c>
      <c r="G429" s="2">
        <v>80</v>
      </c>
      <c r="H429" t="str">
        <f>"SERVICE"</f>
        <v>SERVICE</v>
      </c>
    </row>
    <row r="430" spans="1:8" x14ac:dyDescent="0.25">
      <c r="A430" t="s">
        <v>96</v>
      </c>
      <c r="B430">
        <v>4515</v>
      </c>
      <c r="C430" s="2">
        <v>1550</v>
      </c>
      <c r="D430" s="1">
        <v>44341</v>
      </c>
      <c r="E430" t="str">
        <f>"202105133197"</f>
        <v>202105133197</v>
      </c>
      <c r="F430" t="str">
        <f>"02-1020.3"</f>
        <v>02-1020.3</v>
      </c>
      <c r="G430" s="2">
        <v>250</v>
      </c>
      <c r="H430" t="str">
        <f>"02-1020.3"</f>
        <v>02-1020.3</v>
      </c>
    </row>
    <row r="431" spans="1:8" x14ac:dyDescent="0.25">
      <c r="E431" t="str">
        <f>"202105133204"</f>
        <v>202105133204</v>
      </c>
      <c r="F431" t="str">
        <f>"02-0509.1"</f>
        <v>02-0509.1</v>
      </c>
      <c r="G431" s="2">
        <v>400</v>
      </c>
      <c r="H431" t="str">
        <f>"02-0509.1"</f>
        <v>02-0509.1</v>
      </c>
    </row>
    <row r="432" spans="1:8" x14ac:dyDescent="0.25">
      <c r="E432" t="str">
        <f>"202105133205"</f>
        <v>202105133205</v>
      </c>
      <c r="F432" t="str">
        <f>"16-433"</f>
        <v>16-433</v>
      </c>
      <c r="G432" s="2">
        <v>500</v>
      </c>
      <c r="H432" t="str">
        <f>"16-433"</f>
        <v>16-433</v>
      </c>
    </row>
    <row r="433" spans="1:8" x14ac:dyDescent="0.25">
      <c r="E433" t="str">
        <f>"202105133206"</f>
        <v>202105133206</v>
      </c>
      <c r="F433" t="str">
        <f>"16-358"</f>
        <v>16-358</v>
      </c>
      <c r="G433" s="2">
        <v>400</v>
      </c>
      <c r="H433" t="str">
        <f>"16-358"</f>
        <v>16-358</v>
      </c>
    </row>
    <row r="434" spans="1:8" x14ac:dyDescent="0.25">
      <c r="A434" t="s">
        <v>97</v>
      </c>
      <c r="B434">
        <v>4418</v>
      </c>
      <c r="C434" s="2">
        <v>762.5</v>
      </c>
      <c r="D434" s="1">
        <v>44327</v>
      </c>
      <c r="E434" t="str">
        <f>"202104282855"</f>
        <v>202104282855</v>
      </c>
      <c r="F434" t="str">
        <f>"423-4034"</f>
        <v>423-4034</v>
      </c>
      <c r="G434" s="2">
        <v>100</v>
      </c>
      <c r="H434" t="str">
        <f>"423-4034"</f>
        <v>423-4034</v>
      </c>
    </row>
    <row r="435" spans="1:8" x14ac:dyDescent="0.25">
      <c r="E435" t="str">
        <f>"202105032945"</f>
        <v>202105032945</v>
      </c>
      <c r="F435" t="str">
        <f>"20-20130"</f>
        <v>20-20130</v>
      </c>
      <c r="G435" s="2">
        <v>180</v>
      </c>
      <c r="H435" t="str">
        <f>"20-20130"</f>
        <v>20-20130</v>
      </c>
    </row>
    <row r="436" spans="1:8" x14ac:dyDescent="0.25">
      <c r="E436" t="str">
        <f>"202105032946"</f>
        <v>202105032946</v>
      </c>
      <c r="F436" t="str">
        <f>"19-19967"</f>
        <v>19-19967</v>
      </c>
      <c r="G436" s="2">
        <v>370</v>
      </c>
      <c r="H436" t="str">
        <f>"19-19967"</f>
        <v>19-19967</v>
      </c>
    </row>
    <row r="437" spans="1:8" x14ac:dyDescent="0.25">
      <c r="E437" t="str">
        <f>"202105032947"</f>
        <v>202105032947</v>
      </c>
      <c r="F437" t="str">
        <f>"20-20394"</f>
        <v>20-20394</v>
      </c>
      <c r="G437" s="2">
        <v>112.5</v>
      </c>
      <c r="H437" t="str">
        <f>"20-20394"</f>
        <v>20-20394</v>
      </c>
    </row>
    <row r="438" spans="1:8" x14ac:dyDescent="0.25">
      <c r="A438" t="s">
        <v>98</v>
      </c>
      <c r="B438">
        <v>135618</v>
      </c>
      <c r="C438" s="2">
        <v>135</v>
      </c>
      <c r="D438" s="1">
        <v>44340</v>
      </c>
      <c r="E438" t="str">
        <f>"202105183320"</f>
        <v>202105183320</v>
      </c>
      <c r="F438" t="str">
        <f>"PER DIEM"</f>
        <v>PER DIEM</v>
      </c>
      <c r="G438" s="2">
        <v>135</v>
      </c>
      <c r="H438" t="str">
        <f>"PER DIEM"</f>
        <v>PER DIEM</v>
      </c>
    </row>
    <row r="439" spans="1:8" x14ac:dyDescent="0.25">
      <c r="A439" t="s">
        <v>99</v>
      </c>
      <c r="B439">
        <v>135476</v>
      </c>
      <c r="C439" s="2">
        <v>954.69</v>
      </c>
      <c r="D439" s="1">
        <v>44326</v>
      </c>
      <c r="E439" t="str">
        <f>"2193796"</f>
        <v>2193796</v>
      </c>
      <c r="F439" t="str">
        <f>"INV 2193796  2199382"</f>
        <v>INV 2193796  2199382</v>
      </c>
      <c r="G439" s="2">
        <v>954.69</v>
      </c>
      <c r="H439" t="str">
        <f>"INV 2193796"</f>
        <v>INV 2193796</v>
      </c>
    </row>
    <row r="440" spans="1:8" x14ac:dyDescent="0.25">
      <c r="E440" t="str">
        <f>""</f>
        <v/>
      </c>
      <c r="F440" t="str">
        <f>""</f>
        <v/>
      </c>
      <c r="H440" t="str">
        <f>"INV 2199382"</f>
        <v>INV 2199382</v>
      </c>
    </row>
    <row r="441" spans="1:8" x14ac:dyDescent="0.25">
      <c r="A441" t="s">
        <v>99</v>
      </c>
      <c r="B441">
        <v>135619</v>
      </c>
      <c r="C441" s="2">
        <v>1162.53</v>
      </c>
      <c r="D441" s="1">
        <v>44340</v>
      </c>
      <c r="E441" t="str">
        <f>"2205104"</f>
        <v>2205104</v>
      </c>
      <c r="F441" t="str">
        <f>"INV 2205104"</f>
        <v>INV 2205104</v>
      </c>
      <c r="G441" s="2">
        <v>1162.53</v>
      </c>
      <c r="H441" t="str">
        <f>"INV 2205104"</f>
        <v>INV 2205104</v>
      </c>
    </row>
    <row r="442" spans="1:8" x14ac:dyDescent="0.25">
      <c r="E442" t="str">
        <f>""</f>
        <v/>
      </c>
      <c r="F442" t="str">
        <f>""</f>
        <v/>
      </c>
      <c r="H442" t="str">
        <f>"INV 2210757"</f>
        <v>INV 2210757</v>
      </c>
    </row>
    <row r="443" spans="1:8" x14ac:dyDescent="0.25">
      <c r="A443" t="s">
        <v>100</v>
      </c>
      <c r="B443">
        <v>135477</v>
      </c>
      <c r="C443" s="2">
        <v>4354.1099999999997</v>
      </c>
      <c r="D443" s="1">
        <v>44326</v>
      </c>
      <c r="E443" t="str">
        <f>"22564"</f>
        <v>22564</v>
      </c>
      <c r="F443" t="str">
        <f>"Rugged Warranty Renewal"</f>
        <v>Rugged Warranty Renewal</v>
      </c>
      <c r="G443" s="2">
        <v>175.2</v>
      </c>
      <c r="H443" t="str">
        <f>"Rugged Warranty Renewal"</f>
        <v>Rugged Warranty Renewal</v>
      </c>
    </row>
    <row r="444" spans="1:8" x14ac:dyDescent="0.25">
      <c r="E444" t="str">
        <f>"23377"</f>
        <v>23377</v>
      </c>
      <c r="F444" t="str">
        <f>"Rugged Laptop for Code Of"</f>
        <v>Rugged Laptop for Code Of</v>
      </c>
      <c r="G444" s="2">
        <v>3834.29</v>
      </c>
      <c r="H444" t="str">
        <f>"Laptop 5424 Rugged"</f>
        <v>Laptop 5424 Rugged</v>
      </c>
    </row>
    <row r="445" spans="1:8" x14ac:dyDescent="0.25">
      <c r="E445" t="str">
        <f>"23866"</f>
        <v>23866</v>
      </c>
      <c r="F445" t="str">
        <f>"Wireless Keyboards sets"</f>
        <v>Wireless Keyboards sets</v>
      </c>
      <c r="G445" s="2">
        <v>170.96</v>
      </c>
      <c r="H445" t="str">
        <f>"Wireless Keyboards sets"</f>
        <v>Wireless Keyboards sets</v>
      </c>
    </row>
    <row r="446" spans="1:8" x14ac:dyDescent="0.25">
      <c r="E446" t="str">
        <f>""</f>
        <v/>
      </c>
      <c r="F446" t="str">
        <f>""</f>
        <v/>
      </c>
      <c r="H446" t="str">
        <f>"Savings"</f>
        <v>Savings</v>
      </c>
    </row>
    <row r="447" spans="1:8" x14ac:dyDescent="0.25">
      <c r="E447" t="str">
        <f>"23870"</f>
        <v>23870</v>
      </c>
      <c r="F447" t="str">
        <f>"External DVD Drives DA"</f>
        <v>External DVD Drives DA</v>
      </c>
      <c r="G447" s="2">
        <v>88.18</v>
      </c>
      <c r="H447" t="str">
        <f>"External DVD Drives DA"</f>
        <v>External DVD Drives DA</v>
      </c>
    </row>
    <row r="448" spans="1:8" x14ac:dyDescent="0.25">
      <c r="E448" t="str">
        <f>""</f>
        <v/>
      </c>
      <c r="F448" t="str">
        <f>""</f>
        <v/>
      </c>
      <c r="H448" t="str">
        <f>"Savings"</f>
        <v>Savings</v>
      </c>
    </row>
    <row r="449" spans="1:8" x14ac:dyDescent="0.25">
      <c r="E449" t="str">
        <f>"23884"</f>
        <v>23884</v>
      </c>
      <c r="F449" t="str">
        <f>"Wireless Keyboards"</f>
        <v>Wireless Keyboards</v>
      </c>
      <c r="G449" s="2">
        <v>85.48</v>
      </c>
      <c r="H449" t="str">
        <f>"Wireless Keyboards"</f>
        <v>Wireless Keyboards</v>
      </c>
    </row>
    <row r="450" spans="1:8" x14ac:dyDescent="0.25">
      <c r="E450" t="str">
        <f>""</f>
        <v/>
      </c>
      <c r="F450" t="str">
        <f>""</f>
        <v/>
      </c>
      <c r="H450" t="str">
        <f>"Premier Discount"</f>
        <v>Premier Discount</v>
      </c>
    </row>
    <row r="451" spans="1:8" x14ac:dyDescent="0.25">
      <c r="A451" t="s">
        <v>100</v>
      </c>
      <c r="B451">
        <v>135620</v>
      </c>
      <c r="C451" s="2">
        <v>1359.05</v>
      </c>
      <c r="D451" s="1">
        <v>44340</v>
      </c>
      <c r="E451" t="str">
        <f>"23740"</f>
        <v>23740</v>
      </c>
      <c r="F451" t="str">
        <f>"Batteries and Chargers"</f>
        <v>Batteries and Chargers</v>
      </c>
      <c r="G451" s="2">
        <v>1007.15</v>
      </c>
      <c r="H451" t="str">
        <f>"492-BCNT"</f>
        <v>492-BCNT</v>
      </c>
    </row>
    <row r="452" spans="1:8" x14ac:dyDescent="0.25">
      <c r="E452" t="str">
        <f>""</f>
        <v/>
      </c>
      <c r="F452" t="str">
        <f>""</f>
        <v/>
      </c>
      <c r="H452" t="str">
        <f>"W11Y7"</f>
        <v>W11Y7</v>
      </c>
    </row>
    <row r="453" spans="1:8" x14ac:dyDescent="0.25">
      <c r="E453" t="str">
        <f>"3000084258658"</f>
        <v>3000084258658</v>
      </c>
      <c r="F453" t="str">
        <f>"10 Aditional SSD's"</f>
        <v>10 Aditional SSD's</v>
      </c>
      <c r="G453" s="2">
        <v>351.9</v>
      </c>
      <c r="H453" t="str">
        <f>"10 SSD's"</f>
        <v>10 SSD's</v>
      </c>
    </row>
    <row r="454" spans="1:8" x14ac:dyDescent="0.25">
      <c r="E454" t="str">
        <f>""</f>
        <v/>
      </c>
      <c r="F454" t="str">
        <f>""</f>
        <v/>
      </c>
      <c r="H454" t="str">
        <f>"Savings"</f>
        <v>Savings</v>
      </c>
    </row>
    <row r="455" spans="1:8" x14ac:dyDescent="0.25">
      <c r="A455" t="s">
        <v>101</v>
      </c>
      <c r="B455">
        <v>135478</v>
      </c>
      <c r="C455" s="2">
        <v>55.75</v>
      </c>
      <c r="D455" s="1">
        <v>44326</v>
      </c>
      <c r="E455" t="str">
        <f>"202105043010"</f>
        <v>202105043010</v>
      </c>
      <c r="F455" t="str">
        <f>"REIMBURSEMENT"</f>
        <v>REIMBURSEMENT</v>
      </c>
      <c r="G455" s="2">
        <v>55.75</v>
      </c>
      <c r="H455" t="str">
        <f>"REIMBURSEMENT"</f>
        <v>REIMBURSEMENT</v>
      </c>
    </row>
    <row r="456" spans="1:8" x14ac:dyDescent="0.25">
      <c r="A456" t="s">
        <v>102</v>
      </c>
      <c r="B456">
        <v>135479</v>
      </c>
      <c r="C456" s="2">
        <v>712.5</v>
      </c>
      <c r="D456" s="1">
        <v>44326</v>
      </c>
      <c r="E456" t="str">
        <f>"202105032920"</f>
        <v>202105032920</v>
      </c>
      <c r="F456" t="str">
        <f>"INTERPRETATION"</f>
        <v>INTERPRETATION</v>
      </c>
      <c r="G456" s="2">
        <v>712.5</v>
      </c>
      <c r="H456" t="str">
        <f>"INTERPRETATION"</f>
        <v>INTERPRETATION</v>
      </c>
    </row>
    <row r="457" spans="1:8" x14ac:dyDescent="0.25">
      <c r="A457" t="s">
        <v>102</v>
      </c>
      <c r="B457">
        <v>135621</v>
      </c>
      <c r="C457" s="2">
        <v>190</v>
      </c>
      <c r="D457" s="1">
        <v>44340</v>
      </c>
      <c r="E457" t="str">
        <f>"202105133217"</f>
        <v>202105133217</v>
      </c>
      <c r="F457" t="str">
        <f>"423-7688"</f>
        <v>423-7688</v>
      </c>
      <c r="G457" s="2">
        <v>190</v>
      </c>
      <c r="H457" t="str">
        <f>"423-7688"</f>
        <v>423-7688</v>
      </c>
    </row>
    <row r="458" spans="1:8" x14ac:dyDescent="0.25">
      <c r="A458" t="s">
        <v>103</v>
      </c>
      <c r="B458">
        <v>135480</v>
      </c>
      <c r="C458" s="2">
        <v>20721.2</v>
      </c>
      <c r="D458" s="1">
        <v>44326</v>
      </c>
      <c r="E458" t="str">
        <f>"202105032967"</f>
        <v>202105032967</v>
      </c>
      <c r="F458" t="str">
        <f>"CUST# PKE5000"</f>
        <v>CUST# PKE5000</v>
      </c>
      <c r="G458" s="2">
        <v>20721.2</v>
      </c>
      <c r="H458" t="str">
        <f>"CUST# PKE5000"</f>
        <v>CUST# PKE5000</v>
      </c>
    </row>
    <row r="459" spans="1:8" x14ac:dyDescent="0.25">
      <c r="E459" t="str">
        <f>""</f>
        <v/>
      </c>
      <c r="F459" t="str">
        <f>""</f>
        <v/>
      </c>
      <c r="H459" t="str">
        <f>"CUST# PKE5000"</f>
        <v>CUST# PKE5000</v>
      </c>
    </row>
    <row r="460" spans="1:8" x14ac:dyDescent="0.25">
      <c r="A460" t="s">
        <v>104</v>
      </c>
      <c r="B460">
        <v>135481</v>
      </c>
      <c r="C460" s="2">
        <v>3544.31</v>
      </c>
      <c r="D460" s="1">
        <v>44326</v>
      </c>
      <c r="E460" t="str">
        <f>"23347"</f>
        <v>23347</v>
      </c>
      <c r="F460" t="str">
        <f>"500 AG PropaneTank"</f>
        <v>500 AG PropaneTank</v>
      </c>
      <c r="G460" s="2">
        <v>3544.31</v>
      </c>
      <c r="H460" t="str">
        <f>"500 AG PropaneTank"</f>
        <v>500 AG PropaneTank</v>
      </c>
    </row>
    <row r="461" spans="1:8" x14ac:dyDescent="0.25">
      <c r="E461" t="str">
        <f>""</f>
        <v/>
      </c>
      <c r="F461" t="str">
        <f>""</f>
        <v/>
      </c>
      <c r="H461" t="str">
        <f>"Propane Fill"</f>
        <v>Propane Fill</v>
      </c>
    </row>
    <row r="462" spans="1:8" x14ac:dyDescent="0.25">
      <c r="A462" t="s">
        <v>105</v>
      </c>
      <c r="B462">
        <v>135734</v>
      </c>
      <c r="C462" s="2">
        <v>749.4</v>
      </c>
      <c r="D462" s="1">
        <v>44344</v>
      </c>
      <c r="E462" t="str">
        <f>"202105283461"</f>
        <v>202105283461</v>
      </c>
      <c r="F462" t="str">
        <f>"ACCT#405900028789 / 06012021"</f>
        <v>ACCT#405900028789 / 06012021</v>
      </c>
      <c r="G462" s="2">
        <v>187.35</v>
      </c>
      <c r="H462" t="str">
        <f>"DONNIE STARK"</f>
        <v>DONNIE STARK</v>
      </c>
    </row>
    <row r="463" spans="1:8" x14ac:dyDescent="0.25">
      <c r="E463" t="str">
        <f>"202105283462"</f>
        <v>202105283462</v>
      </c>
      <c r="F463" t="str">
        <f>"ACCT#405900029225 / 06012021"</f>
        <v>ACCT#405900029225 / 06012021</v>
      </c>
      <c r="G463" s="2">
        <v>187.35</v>
      </c>
      <c r="H463" t="str">
        <f>"ACCT#405900029225 / 06012021"</f>
        <v>ACCT#405900029225 / 06012021</v>
      </c>
    </row>
    <row r="464" spans="1:8" x14ac:dyDescent="0.25">
      <c r="E464" t="str">
        <f>"202105283463"</f>
        <v>202105283463</v>
      </c>
      <c r="F464" t="str">
        <f>"ACCT#405900029213 / 06012021"</f>
        <v>ACCT#405900029213 / 06012021</v>
      </c>
      <c r="G464" s="2">
        <v>374.7</v>
      </c>
      <c r="H464" t="str">
        <f>"DONNIE STARK"</f>
        <v>DONNIE STARK</v>
      </c>
    </row>
    <row r="465" spans="1:8" x14ac:dyDescent="0.25">
      <c r="A465" t="s">
        <v>106</v>
      </c>
      <c r="B465">
        <v>4429</v>
      </c>
      <c r="C465" s="2">
        <v>2029.5</v>
      </c>
      <c r="D465" s="1">
        <v>44327</v>
      </c>
      <c r="E465" t="str">
        <f>"29891C"</f>
        <v>29891C</v>
      </c>
      <c r="F465" t="str">
        <f>"INV 29891C"</f>
        <v>INV 29891C</v>
      </c>
      <c r="G465" s="2">
        <v>2029.5</v>
      </c>
      <c r="H465" t="str">
        <f>"INV 29891C"</f>
        <v>INV 29891C</v>
      </c>
    </row>
    <row r="466" spans="1:8" x14ac:dyDescent="0.25">
      <c r="A466" t="s">
        <v>106</v>
      </c>
      <c r="B466">
        <v>4505</v>
      </c>
      <c r="C466" s="2">
        <v>2119.88</v>
      </c>
      <c r="D466" s="1">
        <v>44341</v>
      </c>
      <c r="E466" t="str">
        <f>"29921B"</f>
        <v>29921B</v>
      </c>
      <c r="F466" t="str">
        <f>"INV 29921B"</f>
        <v>INV 29921B</v>
      </c>
      <c r="G466" s="2">
        <v>2119.88</v>
      </c>
      <c r="H466" t="str">
        <f>"INV 29921B"</f>
        <v>INV 29921B</v>
      </c>
    </row>
    <row r="467" spans="1:8" x14ac:dyDescent="0.25">
      <c r="A467" t="s">
        <v>107</v>
      </c>
      <c r="B467">
        <v>135482</v>
      </c>
      <c r="C467" s="2">
        <v>295.5</v>
      </c>
      <c r="D467" s="1">
        <v>44326</v>
      </c>
      <c r="E467" t="str">
        <f>"41287"</f>
        <v>41287</v>
      </c>
      <c r="F467" t="str">
        <f>"MESH TARP/PCT#2"</f>
        <v>MESH TARP/PCT#2</v>
      </c>
      <c r="G467" s="2">
        <v>295.5</v>
      </c>
      <c r="H467" t="str">
        <f>"MESH TARP/PCT#2"</f>
        <v>MESH TARP/PCT#2</v>
      </c>
    </row>
    <row r="468" spans="1:8" x14ac:dyDescent="0.25">
      <c r="A468" t="s">
        <v>108</v>
      </c>
      <c r="B468">
        <v>4468</v>
      </c>
      <c r="C468" s="2">
        <v>7100</v>
      </c>
      <c r="D468" s="1">
        <v>44327</v>
      </c>
      <c r="E468" t="str">
        <f>"202104282857"</f>
        <v>202104282857</v>
      </c>
      <c r="F468" t="str">
        <f>"16366-CT 16366-CT"</f>
        <v>16366-CT 16366-CT</v>
      </c>
      <c r="G468" s="2">
        <v>5400</v>
      </c>
      <c r="H468" t="str">
        <f>"16366-CT 16366-CT"</f>
        <v>16366-CT 16366-CT</v>
      </c>
    </row>
    <row r="469" spans="1:8" x14ac:dyDescent="0.25">
      <c r="E469" t="str">
        <f>"202104282858"</f>
        <v>202104282858</v>
      </c>
      <c r="F469" t="str">
        <f>"20190247"</f>
        <v>20190247</v>
      </c>
      <c r="G469" s="2">
        <v>400</v>
      </c>
      <c r="H469" t="str">
        <f>"20190247"</f>
        <v>20190247</v>
      </c>
    </row>
    <row r="470" spans="1:8" x14ac:dyDescent="0.25">
      <c r="E470" t="str">
        <f>"202104282862"</f>
        <v>202104282862</v>
      </c>
      <c r="F470" t="str">
        <f>"56661"</f>
        <v>56661</v>
      </c>
      <c r="G470" s="2">
        <v>250</v>
      </c>
      <c r="H470" t="str">
        <f>"56661"</f>
        <v>56661</v>
      </c>
    </row>
    <row r="471" spans="1:8" x14ac:dyDescent="0.25">
      <c r="E471" t="str">
        <f>"202104282863"</f>
        <v>202104282863</v>
      </c>
      <c r="F471" t="str">
        <f>"JP104172019C"</f>
        <v>JP104172019C</v>
      </c>
      <c r="G471" s="2">
        <v>250</v>
      </c>
      <c r="H471" t="str">
        <f>"JP104172019C"</f>
        <v>JP104172019C</v>
      </c>
    </row>
    <row r="472" spans="1:8" x14ac:dyDescent="0.25">
      <c r="E472" t="str">
        <f>"202104282864"</f>
        <v>202104282864</v>
      </c>
      <c r="F472" t="str">
        <f>"57413 19-13-0144"</f>
        <v>57413 19-13-0144</v>
      </c>
      <c r="G472" s="2">
        <v>375</v>
      </c>
      <c r="H472" t="str">
        <f>"57413 19-13-0144"</f>
        <v>57413 19-13-0144</v>
      </c>
    </row>
    <row r="473" spans="1:8" x14ac:dyDescent="0.25">
      <c r="E473" t="str">
        <f>"202105032898"</f>
        <v>202105032898</v>
      </c>
      <c r="F473" t="str">
        <f>"21-20664"</f>
        <v>21-20664</v>
      </c>
      <c r="G473" s="2">
        <v>212.5</v>
      </c>
      <c r="H473" t="str">
        <f>"21-20664"</f>
        <v>21-20664</v>
      </c>
    </row>
    <row r="474" spans="1:8" x14ac:dyDescent="0.25">
      <c r="E474" t="str">
        <f>"202105032899"</f>
        <v>202105032899</v>
      </c>
      <c r="F474" t="str">
        <f>"19-19967"</f>
        <v>19-19967</v>
      </c>
      <c r="G474" s="2">
        <v>212.5</v>
      </c>
      <c r="H474" t="str">
        <f>"19-19967"</f>
        <v>19-19967</v>
      </c>
    </row>
    <row r="475" spans="1:8" x14ac:dyDescent="0.25">
      <c r="A475" t="s">
        <v>108</v>
      </c>
      <c r="B475">
        <v>4545</v>
      </c>
      <c r="C475" s="2">
        <v>4337.5</v>
      </c>
      <c r="D475" s="1">
        <v>44341</v>
      </c>
      <c r="E475" t="str">
        <f>"17381"</f>
        <v>17381</v>
      </c>
      <c r="F475" t="str">
        <f>"17381"</f>
        <v>17381</v>
      </c>
      <c r="G475" s="2">
        <v>1000</v>
      </c>
      <c r="H475" t="str">
        <f>"17381"</f>
        <v>17381</v>
      </c>
    </row>
    <row r="476" spans="1:8" x14ac:dyDescent="0.25">
      <c r="E476" t="str">
        <f>"202105133207"</f>
        <v>202105133207</v>
      </c>
      <c r="F476" t="str">
        <f>"423-7780 1776-335"</f>
        <v>423-7780 1776-335</v>
      </c>
      <c r="G476" s="2">
        <v>200</v>
      </c>
      <c r="H476" t="str">
        <f>"423-7780 1776-335"</f>
        <v>423-7780 1776-335</v>
      </c>
    </row>
    <row r="477" spans="1:8" x14ac:dyDescent="0.25">
      <c r="E477" t="str">
        <f>"202105133208"</f>
        <v>202105133208</v>
      </c>
      <c r="F477" t="str">
        <f>"16906"</f>
        <v>16906</v>
      </c>
      <c r="G477" s="2">
        <v>400</v>
      </c>
      <c r="H477" t="str">
        <f>"16906"</f>
        <v>16906</v>
      </c>
    </row>
    <row r="478" spans="1:8" x14ac:dyDescent="0.25">
      <c r="E478" t="str">
        <f>"202105133212"</f>
        <v>202105133212</v>
      </c>
      <c r="F478" t="str">
        <f>"21-20657"</f>
        <v>21-20657</v>
      </c>
      <c r="G478" s="2">
        <v>100</v>
      </c>
      <c r="H478" t="str">
        <f>"21-20657"</f>
        <v>21-20657</v>
      </c>
    </row>
    <row r="479" spans="1:8" x14ac:dyDescent="0.25">
      <c r="E479" t="str">
        <f>"202105133214"</f>
        <v>202105133214</v>
      </c>
      <c r="F479" t="str">
        <f>"21-20593"</f>
        <v>21-20593</v>
      </c>
      <c r="G479" s="2">
        <v>475</v>
      </c>
      <c r="H479" t="str">
        <f>"21-20593"</f>
        <v>21-20593</v>
      </c>
    </row>
    <row r="480" spans="1:8" x14ac:dyDescent="0.25">
      <c r="E480" t="str">
        <f>"202105133215"</f>
        <v>202105133215</v>
      </c>
      <c r="F480" t="str">
        <f>"20-20107"</f>
        <v>20-20107</v>
      </c>
      <c r="G480" s="2">
        <v>487.5</v>
      </c>
      <c r="H480" t="str">
        <f>"20-20107"</f>
        <v>20-20107</v>
      </c>
    </row>
    <row r="481" spans="1:8" x14ac:dyDescent="0.25">
      <c r="E481" t="str">
        <f>"202105133216"</f>
        <v>202105133216</v>
      </c>
      <c r="F481" t="str">
        <f>"20-20208"</f>
        <v>20-20208</v>
      </c>
      <c r="G481" s="2">
        <v>325</v>
      </c>
      <c r="H481" t="str">
        <f>"20-20208"</f>
        <v>20-20208</v>
      </c>
    </row>
    <row r="482" spans="1:8" x14ac:dyDescent="0.25">
      <c r="E482" t="str">
        <f>"202105173280"</f>
        <v>202105173280</v>
      </c>
      <c r="F482" t="str">
        <f>"TX5LJKOUNRIV"</f>
        <v>TX5LJKOUNRIV</v>
      </c>
      <c r="G482" s="2">
        <v>250</v>
      </c>
      <c r="H482" t="str">
        <f>"TX5LJKOUNRIV"</f>
        <v>TX5LJKOUNRIV</v>
      </c>
    </row>
    <row r="483" spans="1:8" x14ac:dyDescent="0.25">
      <c r="E483" t="str">
        <f>"202105173281"</f>
        <v>202105173281</v>
      </c>
      <c r="F483" t="str">
        <f>"21-20703"</f>
        <v>21-20703</v>
      </c>
      <c r="G483" s="2">
        <v>100</v>
      </c>
      <c r="H483" t="str">
        <f>"21-20703"</f>
        <v>21-20703</v>
      </c>
    </row>
    <row r="484" spans="1:8" x14ac:dyDescent="0.25">
      <c r="E484" t="str">
        <f>"202105173292"</f>
        <v>202105173292</v>
      </c>
      <c r="F484" t="str">
        <f>"17122"</f>
        <v>17122</v>
      </c>
      <c r="G484" s="2">
        <v>1000</v>
      </c>
      <c r="H484" t="str">
        <f>"17122"</f>
        <v>17122</v>
      </c>
    </row>
    <row r="485" spans="1:8" x14ac:dyDescent="0.25">
      <c r="A485" t="s">
        <v>109</v>
      </c>
      <c r="B485">
        <v>135483</v>
      </c>
      <c r="C485" s="2">
        <v>1980</v>
      </c>
      <c r="D485" s="1">
        <v>44326</v>
      </c>
      <c r="E485" t="str">
        <f>"029"</f>
        <v>029</v>
      </c>
      <c r="F485" t="str">
        <f>"HAULING/PCT#3"</f>
        <v>HAULING/PCT#3</v>
      </c>
      <c r="G485" s="2">
        <v>1980</v>
      </c>
      <c r="H485" t="str">
        <f>"HAULING/PCT#3"</f>
        <v>HAULING/PCT#3</v>
      </c>
    </row>
    <row r="486" spans="1:8" x14ac:dyDescent="0.25">
      <c r="A486" t="s">
        <v>109</v>
      </c>
      <c r="B486">
        <v>135622</v>
      </c>
      <c r="C486" s="2">
        <v>2200</v>
      </c>
      <c r="D486" s="1">
        <v>44340</v>
      </c>
      <c r="E486" t="str">
        <f>"030"</f>
        <v>030</v>
      </c>
      <c r="F486" t="str">
        <f>"HAULING/DAVID MCMULLEN"</f>
        <v>HAULING/DAVID MCMULLEN</v>
      </c>
      <c r="G486" s="2">
        <v>2200</v>
      </c>
      <c r="H486" t="str">
        <f>"HAULING/DAVID MCMULLEN"</f>
        <v>HAULING/DAVID MCMULLEN</v>
      </c>
    </row>
    <row r="487" spans="1:8" x14ac:dyDescent="0.25">
      <c r="A487" t="s">
        <v>110</v>
      </c>
      <c r="B487">
        <v>4445</v>
      </c>
      <c r="C487" s="2">
        <v>2080</v>
      </c>
      <c r="D487" s="1">
        <v>44327</v>
      </c>
      <c r="E487" t="str">
        <f>"6261089668"</f>
        <v>6261089668</v>
      </c>
      <c r="F487" t="str">
        <f>"INV 6261089668"</f>
        <v>INV 6261089668</v>
      </c>
      <c r="G487" s="2">
        <v>2080</v>
      </c>
      <c r="H487" t="str">
        <f>"INV 6261089668"</f>
        <v>INV 6261089668</v>
      </c>
    </row>
    <row r="488" spans="1:8" x14ac:dyDescent="0.25">
      <c r="A488" t="s">
        <v>110</v>
      </c>
      <c r="B488">
        <v>4521</v>
      </c>
      <c r="C488" s="2">
        <v>839.99</v>
      </c>
      <c r="D488" s="1">
        <v>44341</v>
      </c>
      <c r="E488" t="str">
        <f>"6261350630"</f>
        <v>6261350630</v>
      </c>
      <c r="F488" t="str">
        <f>"INV 6261350630"</f>
        <v>INV 6261350630</v>
      </c>
      <c r="G488" s="2">
        <v>839.99</v>
      </c>
      <c r="H488" t="str">
        <f>"INV 6261350630"</f>
        <v>INV 6261350630</v>
      </c>
    </row>
    <row r="489" spans="1:8" x14ac:dyDescent="0.25">
      <c r="A489" t="s">
        <v>111</v>
      </c>
      <c r="B489">
        <v>135623</v>
      </c>
      <c r="C489" s="2">
        <v>353.11</v>
      </c>
      <c r="D489" s="1">
        <v>44340</v>
      </c>
      <c r="E489" t="str">
        <f>"6000414871"</f>
        <v>6000414871</v>
      </c>
      <c r="F489" t="str">
        <f>"ACCT#3422853/ANIMAL SHELTER"</f>
        <v>ACCT#3422853/ANIMAL SHELTER</v>
      </c>
      <c r="G489" s="2">
        <v>353.11</v>
      </c>
      <c r="H489" t="str">
        <f>"ACCT#3422853/ANIMAL SHELTER"</f>
        <v>ACCT#3422853/ANIMAL SHELTER</v>
      </c>
    </row>
    <row r="490" spans="1:8" x14ac:dyDescent="0.25">
      <c r="A490" t="s">
        <v>112</v>
      </c>
      <c r="B490">
        <v>4444</v>
      </c>
      <c r="C490" s="2">
        <v>1404</v>
      </c>
      <c r="D490" s="1">
        <v>44327</v>
      </c>
      <c r="E490" t="str">
        <f>"202105042973"</f>
        <v>202105042973</v>
      </c>
      <c r="F490" t="str">
        <f>"ELGIN COURIER TOURISM FEE"</f>
        <v>ELGIN COURIER TOURISM FEE</v>
      </c>
      <c r="G490" s="2">
        <v>41</v>
      </c>
      <c r="H490" t="str">
        <f>"ELGIN COURIER TOURISM FEE"</f>
        <v>ELGIN COURIER TOURISM FEE</v>
      </c>
    </row>
    <row r="491" spans="1:8" x14ac:dyDescent="0.25">
      <c r="E491" t="str">
        <f>"202105042999"</f>
        <v>202105042999</v>
      </c>
      <c r="F491" t="str">
        <f>"Public Notices - R&amp;B"</f>
        <v>Public Notices - R&amp;B</v>
      </c>
      <c r="G491" s="2">
        <v>1330</v>
      </c>
      <c r="H491" t="str">
        <f>"RFB 21BCP04A"</f>
        <v>RFB 21BCP04A</v>
      </c>
    </row>
    <row r="492" spans="1:8" x14ac:dyDescent="0.25">
      <c r="E492" t="str">
        <f>""</f>
        <v/>
      </c>
      <c r="F492" t="str">
        <f>""</f>
        <v/>
      </c>
      <c r="H492" t="str">
        <f>"RFB 21BCP04B"</f>
        <v>RFB 21BCP04B</v>
      </c>
    </row>
    <row r="493" spans="1:8" x14ac:dyDescent="0.25">
      <c r="E493" t="str">
        <f>""</f>
        <v/>
      </c>
      <c r="F493" t="str">
        <f>""</f>
        <v/>
      </c>
      <c r="H493" t="str">
        <f>"RFB 21BCP04C"</f>
        <v>RFB 21BCP04C</v>
      </c>
    </row>
    <row r="494" spans="1:8" x14ac:dyDescent="0.25">
      <c r="E494" t="str">
        <f>""</f>
        <v/>
      </c>
      <c r="F494" t="str">
        <f>""</f>
        <v/>
      </c>
      <c r="H494" t="str">
        <f>"RFB 21BCP04D"</f>
        <v>RFB 21BCP04D</v>
      </c>
    </row>
    <row r="495" spans="1:8" x14ac:dyDescent="0.25">
      <c r="E495" t="str">
        <f>""</f>
        <v/>
      </c>
      <c r="F495" t="str">
        <f>""</f>
        <v/>
      </c>
      <c r="H495" t="str">
        <f>"RFB 21BCP04E"</f>
        <v>RFB 21BCP04E</v>
      </c>
    </row>
    <row r="496" spans="1:8" x14ac:dyDescent="0.25">
      <c r="E496" t="str">
        <f>""</f>
        <v/>
      </c>
      <c r="F496" t="str">
        <f>""</f>
        <v/>
      </c>
      <c r="H496" t="str">
        <f>"RFB 21BCP04F"</f>
        <v>RFB 21BCP04F</v>
      </c>
    </row>
    <row r="497" spans="1:8" x14ac:dyDescent="0.25">
      <c r="E497" t="str">
        <f>""</f>
        <v/>
      </c>
      <c r="F497" t="str">
        <f>""</f>
        <v/>
      </c>
      <c r="H497" t="str">
        <f>"RFB 21BCP04G"</f>
        <v>RFB 21BCP04G</v>
      </c>
    </row>
    <row r="498" spans="1:8" x14ac:dyDescent="0.25">
      <c r="E498" t="str">
        <f>"202105043000"</f>
        <v>202105043000</v>
      </c>
      <c r="F498" t="str">
        <f>"BLACKLANDS PUBLICATIONS INC"</f>
        <v>BLACKLANDS PUBLICATIONS INC</v>
      </c>
      <c r="G498" s="2">
        <v>33</v>
      </c>
      <c r="H498" t="str">
        <f>"Legal Notice"</f>
        <v>Legal Notice</v>
      </c>
    </row>
    <row r="499" spans="1:8" x14ac:dyDescent="0.25">
      <c r="A499" t="s">
        <v>113</v>
      </c>
      <c r="B499">
        <v>135624</v>
      </c>
      <c r="C499" s="2">
        <v>314.10000000000002</v>
      </c>
      <c r="D499" s="1">
        <v>44340</v>
      </c>
      <c r="E499" t="str">
        <f>"14631"</f>
        <v>14631</v>
      </c>
      <c r="F499" t="str">
        <f>"PROPANE/PCT#4"</f>
        <v>PROPANE/PCT#4</v>
      </c>
      <c r="G499" s="2">
        <v>314.10000000000002</v>
      </c>
      <c r="H499" t="str">
        <f>"PROPANE/PCT#4"</f>
        <v>PROPANE/PCT#4</v>
      </c>
    </row>
    <row r="500" spans="1:8" x14ac:dyDescent="0.25">
      <c r="A500" t="s">
        <v>114</v>
      </c>
      <c r="B500">
        <v>135484</v>
      </c>
      <c r="C500" s="2">
        <v>5.19</v>
      </c>
      <c r="D500" s="1">
        <v>44326</v>
      </c>
      <c r="E500" t="str">
        <f>"202105032891"</f>
        <v>202105032891</v>
      </c>
      <c r="F500" t="str">
        <f>"EPD 1-1-2021/3-31-2021"</f>
        <v>EPD 1-1-2021/3-31-2021</v>
      </c>
      <c r="G500" s="2">
        <v>0.97</v>
      </c>
      <c r="H500" t="str">
        <f>"EPD 1-1-2021/3-31-2021"</f>
        <v>EPD 1-1-2021/3-31-2021</v>
      </c>
    </row>
    <row r="501" spans="1:8" x14ac:dyDescent="0.25">
      <c r="E501" t="str">
        <f>"202105032892"</f>
        <v>202105032892</v>
      </c>
      <c r="F501" t="str">
        <f>"EPD 10-1-2020/12-31-2020"</f>
        <v>EPD 10-1-2020/12-31-2020</v>
      </c>
      <c r="G501" s="2">
        <v>0.26</v>
      </c>
      <c r="H501" t="str">
        <f>"EPD 10-1-2020/12-31-2020"</f>
        <v>EPD 10-1-2020/12-31-2020</v>
      </c>
    </row>
    <row r="502" spans="1:8" x14ac:dyDescent="0.25">
      <c r="E502" t="str">
        <f>"202105032893"</f>
        <v>202105032893</v>
      </c>
      <c r="F502" t="str">
        <f>"EPD 7-1-2020/9-30-2020"</f>
        <v>EPD 7-1-2020/9-30-2020</v>
      </c>
      <c r="G502" s="2">
        <v>3.96</v>
      </c>
      <c r="H502" t="str">
        <f>"EPD 7-1-2020/9-30-2020"</f>
        <v>EPD 7-1-2020/9-30-2020</v>
      </c>
    </row>
    <row r="503" spans="1:8" x14ac:dyDescent="0.25">
      <c r="A503" t="s">
        <v>115</v>
      </c>
      <c r="B503">
        <v>135438</v>
      </c>
      <c r="C503" s="2">
        <v>1708.84</v>
      </c>
      <c r="D503" s="1">
        <v>44322</v>
      </c>
      <c r="E503" t="str">
        <f>"202105063144"</f>
        <v>202105063144</v>
      </c>
      <c r="F503" t="str">
        <f>"ACCT#007-0008410-002 / 043021"</f>
        <v>ACCT#007-0008410-002 / 043021</v>
      </c>
      <c r="G503" s="2">
        <v>230.79</v>
      </c>
      <c r="H503" t="str">
        <f>"CITY OF ELGIN UTILITIES"</f>
        <v>CITY OF ELGIN UTILITIES</v>
      </c>
    </row>
    <row r="504" spans="1:8" x14ac:dyDescent="0.25">
      <c r="E504" t="str">
        <f>"202105063145"</f>
        <v>202105063145</v>
      </c>
      <c r="F504" t="str">
        <f>"ACCT#007-0011501-000 / 043021"</f>
        <v>ACCT#007-0011501-000 / 043021</v>
      </c>
      <c r="G504" s="2">
        <v>502.24</v>
      </c>
      <c r="H504" t="str">
        <f>"ACCT#007-0011501-000 / 043021"</f>
        <v>ACCT#007-0011501-000 / 043021</v>
      </c>
    </row>
    <row r="505" spans="1:8" x14ac:dyDescent="0.25">
      <c r="E505" t="str">
        <f>"202105063146"</f>
        <v>202105063146</v>
      </c>
      <c r="F505" t="str">
        <f>"ACCT#007-0011510-000 / 043021"</f>
        <v>ACCT#007-0011510-000 / 043021</v>
      </c>
      <c r="G505" s="2">
        <v>245.49</v>
      </c>
      <c r="H505" t="str">
        <f>"CITY OF ELGIN UTILITIES"</f>
        <v>CITY OF ELGIN UTILITIES</v>
      </c>
    </row>
    <row r="506" spans="1:8" x14ac:dyDescent="0.25">
      <c r="E506" t="str">
        <f>"202105063147"</f>
        <v>202105063147</v>
      </c>
      <c r="F506" t="str">
        <f>"ACCT#007-0011530-000 / 043021"</f>
        <v>ACCT#007-0011530-000 / 043021</v>
      </c>
      <c r="G506" s="2">
        <v>99.65</v>
      </c>
      <c r="H506" t="str">
        <f>"CITY OF ELGIN UTILITIES"</f>
        <v>CITY OF ELGIN UTILITIES</v>
      </c>
    </row>
    <row r="507" spans="1:8" x14ac:dyDescent="0.25">
      <c r="E507" t="str">
        <f>"202105063148"</f>
        <v>202105063148</v>
      </c>
      <c r="F507" t="str">
        <f>"ACCT#007-0011534-001 / 043021"</f>
        <v>ACCT#007-0011534-001 / 043021</v>
      </c>
      <c r="G507" s="2">
        <v>172.7</v>
      </c>
      <c r="H507" t="str">
        <f>"CITY OF ELGIN UTILITIES"</f>
        <v>CITY OF ELGIN UTILITIES</v>
      </c>
    </row>
    <row r="508" spans="1:8" x14ac:dyDescent="0.25">
      <c r="E508" t="str">
        <f>"202105063149"</f>
        <v>202105063149</v>
      </c>
      <c r="F508" t="str">
        <f>"ACCT#007-0011535-000 / 043021"</f>
        <v>ACCT#007-0011535-000 / 043021</v>
      </c>
      <c r="G508" s="2">
        <v>323.18</v>
      </c>
      <c r="H508" t="str">
        <f>"CITY OF ELGIN UTILITIES"</f>
        <v>CITY OF ELGIN UTILITIES</v>
      </c>
    </row>
    <row r="509" spans="1:8" x14ac:dyDescent="0.25">
      <c r="E509" t="str">
        <f>"202105063150"</f>
        <v>202105063150</v>
      </c>
      <c r="F509" t="str">
        <f>"ACCT#007-0011544-001 / 043021"</f>
        <v>ACCT#007-0011544-001 / 043021</v>
      </c>
      <c r="G509" s="2">
        <v>134.79</v>
      </c>
      <c r="H509" t="str">
        <f>"CITY OF ELGIN UTILITIES"</f>
        <v>CITY OF ELGIN UTILITIES</v>
      </c>
    </row>
    <row r="510" spans="1:8" x14ac:dyDescent="0.25">
      <c r="A510" t="s">
        <v>116</v>
      </c>
      <c r="B510">
        <v>135485</v>
      </c>
      <c r="C510" s="2">
        <v>28683.67</v>
      </c>
      <c r="D510" s="1">
        <v>44326</v>
      </c>
      <c r="E510" t="str">
        <f>"9402457920"</f>
        <v>9402457920</v>
      </c>
      <c r="F510" t="str">
        <f>"ACCT#912923/PCT#4"</f>
        <v>ACCT#912923/PCT#4</v>
      </c>
      <c r="G510" s="2">
        <v>-611.49</v>
      </c>
      <c r="H510" t="str">
        <f>"ACCT#912923/PCT#4"</f>
        <v>ACCT#912923/PCT#4</v>
      </c>
    </row>
    <row r="511" spans="1:8" x14ac:dyDescent="0.25">
      <c r="E511" t="str">
        <f>"9402451389"</f>
        <v>9402451389</v>
      </c>
      <c r="F511" t="str">
        <f>"ACCT#912922/PCT#1"</f>
        <v>ACCT#912922/PCT#1</v>
      </c>
      <c r="G511" s="2">
        <v>12944.16</v>
      </c>
      <c r="H511" t="str">
        <f>"ACCT#912922/PCT#1"</f>
        <v>ACCT#912922/PCT#1</v>
      </c>
    </row>
    <row r="512" spans="1:8" x14ac:dyDescent="0.25">
      <c r="E512" t="str">
        <f>"9402454754"</f>
        <v>9402454754</v>
      </c>
      <c r="F512" t="str">
        <f>"ACCT#912923/PCT#4"</f>
        <v>ACCT#912923/PCT#4</v>
      </c>
      <c r="G512" s="2">
        <v>3995</v>
      </c>
      <c r="H512" t="str">
        <f>"ACCT#912923/PCT#4"</f>
        <v>ACCT#912923/PCT#4</v>
      </c>
    </row>
    <row r="513" spans="1:8" x14ac:dyDescent="0.25">
      <c r="E513" t="str">
        <f>"9402455658"</f>
        <v>9402455658</v>
      </c>
      <c r="F513" t="str">
        <f>"ACCT#912923/PCT#4"</f>
        <v>ACCT#912923/PCT#4</v>
      </c>
      <c r="G513" s="2">
        <v>4060</v>
      </c>
      <c r="H513" t="str">
        <f>"ACCT#912923/PCT#4"</f>
        <v>ACCT#912923/PCT#4</v>
      </c>
    </row>
    <row r="514" spans="1:8" x14ac:dyDescent="0.25">
      <c r="E514" t="str">
        <f>"9402457150"</f>
        <v>9402457150</v>
      </c>
      <c r="F514" t="str">
        <f>"ACCT#912923/PCT#4"</f>
        <v>ACCT#912923/PCT#4</v>
      </c>
      <c r="G514" s="2">
        <v>8296</v>
      </c>
      <c r="H514" t="str">
        <f>"ACCT#912923/PCT#4"</f>
        <v>ACCT#912923/PCT#4</v>
      </c>
    </row>
    <row r="515" spans="1:8" x14ac:dyDescent="0.25">
      <c r="A515" t="s">
        <v>117</v>
      </c>
      <c r="B515">
        <v>4459</v>
      </c>
      <c r="C515" s="2">
        <v>3507</v>
      </c>
      <c r="D515" s="1">
        <v>44327</v>
      </c>
      <c r="E515" t="str">
        <f>"2D04143"</f>
        <v>2D04143</v>
      </c>
      <c r="F515" t="str">
        <f>"CUST#00405/GENERAL SVCS"</f>
        <v>CUST#00405/GENERAL SVCS</v>
      </c>
      <c r="G515" s="2">
        <v>1698.5</v>
      </c>
      <c r="H515" t="str">
        <f>"CUST#00405/GENERAL SVCS"</f>
        <v>CUST#00405/GENERAL SVCS</v>
      </c>
    </row>
    <row r="516" spans="1:8" x14ac:dyDescent="0.25">
      <c r="E516" t="str">
        <f>"2D04149"</f>
        <v>2D04149</v>
      </c>
      <c r="F516" t="str">
        <f>"ACCT#00405/PCT#1"</f>
        <v>ACCT#00405/PCT#1</v>
      </c>
      <c r="G516" s="2">
        <v>1418.5</v>
      </c>
      <c r="H516" t="str">
        <f>"ACCT#00405/PCT#1"</f>
        <v>ACCT#00405/PCT#1</v>
      </c>
    </row>
    <row r="517" spans="1:8" x14ac:dyDescent="0.25">
      <c r="E517" t="str">
        <f>"3432531"</f>
        <v>3432531</v>
      </c>
      <c r="F517" t="str">
        <f>"ACCT#00405/PCT#3"</f>
        <v>ACCT#00405/PCT#3</v>
      </c>
      <c r="G517" s="2">
        <v>390</v>
      </c>
      <c r="H517" t="str">
        <f>"ACCT#00405/PCT#3"</f>
        <v>ACCT#00405/PCT#3</v>
      </c>
    </row>
    <row r="518" spans="1:8" x14ac:dyDescent="0.25">
      <c r="A518" t="s">
        <v>118</v>
      </c>
      <c r="B518">
        <v>135625</v>
      </c>
      <c r="C518" s="2">
        <v>125.05</v>
      </c>
      <c r="D518" s="1">
        <v>44340</v>
      </c>
      <c r="E518" t="str">
        <f>"202105193339"</f>
        <v>202105193339</v>
      </c>
      <c r="F518" t="str">
        <f>"INDIGENT HEALTH"</f>
        <v>INDIGENT HEALTH</v>
      </c>
      <c r="G518" s="2">
        <v>125.05</v>
      </c>
      <c r="H518" t="str">
        <f>"INDIGENT HEALTH"</f>
        <v>INDIGENT HEALTH</v>
      </c>
    </row>
    <row r="519" spans="1:8" x14ac:dyDescent="0.25">
      <c r="E519" t="str">
        <f>""</f>
        <v/>
      </c>
      <c r="F519" t="str">
        <f>""</f>
        <v/>
      </c>
      <c r="H519" t="str">
        <f>"INDIGENT HEALTH"</f>
        <v>INDIGENT HEALTH</v>
      </c>
    </row>
    <row r="520" spans="1:8" x14ac:dyDescent="0.25">
      <c r="A520" t="s">
        <v>119</v>
      </c>
      <c r="B520">
        <v>135486</v>
      </c>
      <c r="C520" s="2">
        <v>1390</v>
      </c>
      <c r="D520" s="1">
        <v>44326</v>
      </c>
      <c r="E520" t="str">
        <f>"200047835"</f>
        <v>200047835</v>
      </c>
      <c r="F520" t="str">
        <f>"INV 200047835"</f>
        <v>INV 200047835</v>
      </c>
      <c r="G520" s="2">
        <v>695</v>
      </c>
      <c r="H520" t="str">
        <f>"INV 200047835"</f>
        <v>INV 200047835</v>
      </c>
    </row>
    <row r="521" spans="1:8" x14ac:dyDescent="0.25">
      <c r="E521" t="str">
        <f>"202105043015"</f>
        <v>202105043015</v>
      </c>
      <c r="F521" t="str">
        <f>"REGISTRATION"</f>
        <v>REGISTRATION</v>
      </c>
      <c r="G521" s="2">
        <v>695</v>
      </c>
      <c r="H521" t="str">
        <f>"REGISTRATION"</f>
        <v>REGISTRATION</v>
      </c>
    </row>
    <row r="522" spans="1:8" x14ac:dyDescent="0.25">
      <c r="A522" t="s">
        <v>120</v>
      </c>
      <c r="B522">
        <v>135487</v>
      </c>
      <c r="C522" s="2">
        <v>442.08</v>
      </c>
      <c r="D522" s="1">
        <v>44326</v>
      </c>
      <c r="E522" t="str">
        <f>"5242969756"</f>
        <v>5242969756</v>
      </c>
      <c r="F522" t="str">
        <f>"ACCT#999344127/PCT4"</f>
        <v>ACCT#999344127/PCT4</v>
      </c>
      <c r="G522" s="2">
        <v>157</v>
      </c>
      <c r="H522" t="str">
        <f>"ACCT#999344127/PCT4"</f>
        <v>ACCT#999344127/PCT4</v>
      </c>
    </row>
    <row r="523" spans="1:8" x14ac:dyDescent="0.25">
      <c r="E523" t="str">
        <f>"7-348-08721"</f>
        <v>7-348-08721</v>
      </c>
      <c r="F523" t="str">
        <f>"ACCT#4702-9210-5"</f>
        <v>ACCT#4702-9210-5</v>
      </c>
      <c r="G523" s="2">
        <v>48.87</v>
      </c>
      <c r="H523" t="str">
        <f>"ACCT#4702-9210-5"</f>
        <v>ACCT#4702-9210-5</v>
      </c>
    </row>
    <row r="524" spans="1:8" x14ac:dyDescent="0.25">
      <c r="E524" t="str">
        <f>"7-355-27899"</f>
        <v>7-355-27899</v>
      </c>
      <c r="F524" t="str">
        <f>"ACCT#4702-9210-5"</f>
        <v>ACCT#4702-9210-5</v>
      </c>
      <c r="G524" s="2">
        <v>96.03</v>
      </c>
      <c r="H524" t="str">
        <f>"ACCT#4702-9210-5"</f>
        <v>ACCT#4702-9210-5</v>
      </c>
    </row>
    <row r="525" spans="1:8" x14ac:dyDescent="0.25">
      <c r="E525" t="str">
        <f>"7-355-66301"</f>
        <v>7-355-66301</v>
      </c>
      <c r="F525" t="str">
        <f>"INV 7-355-66301"</f>
        <v>INV 7-355-66301</v>
      </c>
      <c r="G525" s="2">
        <v>140.18</v>
      </c>
      <c r="H525" t="str">
        <f>"INV 7-355-66301"</f>
        <v>INV 7-355-66301</v>
      </c>
    </row>
    <row r="526" spans="1:8" x14ac:dyDescent="0.25">
      <c r="A526" t="s">
        <v>120</v>
      </c>
      <c r="B526">
        <v>135626</v>
      </c>
      <c r="C526" s="2">
        <v>40.79</v>
      </c>
      <c r="D526" s="1">
        <v>44340</v>
      </c>
      <c r="E526" t="str">
        <f>"7-362-93098"</f>
        <v>7-362-93098</v>
      </c>
      <c r="F526" t="str">
        <f>"INV 7-362-93098"</f>
        <v>INV 7-362-93098</v>
      </c>
      <c r="G526" s="2">
        <v>13.51</v>
      </c>
      <c r="H526" t="str">
        <f>"INV 7-362-93098"</f>
        <v>INV 7-362-93098</v>
      </c>
    </row>
    <row r="527" spans="1:8" x14ac:dyDescent="0.25">
      <c r="E527" t="str">
        <f>"7-370-94345"</f>
        <v>7-370-94345</v>
      </c>
      <c r="F527" t="str">
        <f>"INV 7-370-94345"</f>
        <v>INV 7-370-94345</v>
      </c>
      <c r="G527" s="2">
        <v>27.28</v>
      </c>
      <c r="H527" t="str">
        <f>"INV 7-370-94345"</f>
        <v>INV 7-370-94345</v>
      </c>
    </row>
    <row r="528" spans="1:8" x14ac:dyDescent="0.25">
      <c r="A528" t="s">
        <v>121</v>
      </c>
      <c r="B528">
        <v>135488</v>
      </c>
      <c r="C528" s="2">
        <v>70</v>
      </c>
      <c r="D528" s="1">
        <v>44326</v>
      </c>
      <c r="E528" t="str">
        <f>"SD3050"</f>
        <v>SD3050</v>
      </c>
      <c r="F528" t="str">
        <f>"SAFE DEPOSIT BOX/2012-2022"</f>
        <v>SAFE DEPOSIT BOX/2012-2022</v>
      </c>
      <c r="G528" s="2">
        <v>70</v>
      </c>
      <c r="H528" t="str">
        <f>"SAFE DEPOSIT BOX/2012-2022"</f>
        <v>SAFE DEPOSIT BOX/2012-2022</v>
      </c>
    </row>
    <row r="529" spans="1:8" x14ac:dyDescent="0.25">
      <c r="A529" t="s">
        <v>122</v>
      </c>
      <c r="B529">
        <v>135489</v>
      </c>
      <c r="C529" s="2">
        <v>683.65</v>
      </c>
      <c r="D529" s="1">
        <v>44326</v>
      </c>
      <c r="E529" t="str">
        <f>"72114459"</f>
        <v>72114459</v>
      </c>
      <c r="F529" t="str">
        <f>"ACCT#80975-001"</f>
        <v>ACCT#80975-001</v>
      </c>
      <c r="G529" s="2">
        <v>556.99</v>
      </c>
      <c r="H529" t="str">
        <f>"ACCT#80975-001"</f>
        <v>ACCT#80975-001</v>
      </c>
    </row>
    <row r="530" spans="1:8" x14ac:dyDescent="0.25">
      <c r="E530" t="str">
        <f>"72126131"</f>
        <v>72126131</v>
      </c>
      <c r="F530" t="str">
        <f>"ACCT#80975-001/PCT#3"</f>
        <v>ACCT#80975-001/PCT#3</v>
      </c>
      <c r="G530" s="2">
        <v>126.66</v>
      </c>
      <c r="H530" t="str">
        <f>"ACCT#80975-001/PCT#3"</f>
        <v>ACCT#80975-001/PCT#3</v>
      </c>
    </row>
    <row r="531" spans="1:8" x14ac:dyDescent="0.25">
      <c r="A531" t="s">
        <v>122</v>
      </c>
      <c r="B531">
        <v>135627</v>
      </c>
      <c r="C531" s="2">
        <v>249.62</v>
      </c>
      <c r="D531" s="1">
        <v>44340</v>
      </c>
      <c r="E531" t="str">
        <f>"73555726"</f>
        <v>73555726</v>
      </c>
      <c r="F531" t="str">
        <f>"ACCT#80975-001/PCT#3"</f>
        <v>ACCT#80975-001/PCT#3</v>
      </c>
      <c r="G531" s="2">
        <v>197.07</v>
      </c>
      <c r="H531" t="str">
        <f>"ACCT#80975-001/PCT#3"</f>
        <v>ACCT#80975-001/PCT#3</v>
      </c>
    </row>
    <row r="532" spans="1:8" x14ac:dyDescent="0.25">
      <c r="E532" t="str">
        <f>"73661771"</f>
        <v>73661771</v>
      </c>
      <c r="F532" t="str">
        <f>"ACCT#80975-001/PCT#3"</f>
        <v>ACCT#80975-001/PCT#3</v>
      </c>
      <c r="G532" s="2">
        <v>18.920000000000002</v>
      </c>
      <c r="H532" t="str">
        <f>"ACCT#80975-001/PCT#3"</f>
        <v>ACCT#80975-001/PCT#3</v>
      </c>
    </row>
    <row r="533" spans="1:8" x14ac:dyDescent="0.25">
      <c r="E533" t="str">
        <f>"73740288"</f>
        <v>73740288</v>
      </c>
      <c r="F533" t="str">
        <f>"ACCT#80975-001/PCT#3"</f>
        <v>ACCT#80975-001/PCT#3</v>
      </c>
      <c r="G533" s="2">
        <v>33.630000000000003</v>
      </c>
      <c r="H533" t="str">
        <f>"ACCT#80975-001/PCT#3"</f>
        <v>ACCT#80975-001/PCT#3</v>
      </c>
    </row>
    <row r="534" spans="1:8" x14ac:dyDescent="0.25">
      <c r="A534" t="s">
        <v>123</v>
      </c>
      <c r="B534">
        <v>4446</v>
      </c>
      <c r="C534" s="2">
        <v>600</v>
      </c>
      <c r="D534" s="1">
        <v>44327</v>
      </c>
      <c r="E534" t="str">
        <f>"202105032949"</f>
        <v>202105032949</v>
      </c>
      <c r="F534" t="str">
        <f>"57-406"</f>
        <v>57-406</v>
      </c>
      <c r="G534" s="2">
        <v>350</v>
      </c>
      <c r="H534" t="str">
        <f>"57-406"</f>
        <v>57-406</v>
      </c>
    </row>
    <row r="535" spans="1:8" x14ac:dyDescent="0.25">
      <c r="E535" t="str">
        <f>"202105032965"</f>
        <v>202105032965</v>
      </c>
      <c r="F535" t="str">
        <f>"AC-2019-1013B"</f>
        <v>AC-2019-1013B</v>
      </c>
      <c r="G535" s="2">
        <v>250</v>
      </c>
      <c r="H535" t="str">
        <f>"AC-2019-1013B"</f>
        <v>AC-2019-1013B</v>
      </c>
    </row>
    <row r="536" spans="1:8" x14ac:dyDescent="0.25">
      <c r="A536" t="s">
        <v>124</v>
      </c>
      <c r="B536">
        <v>4434</v>
      </c>
      <c r="C536" s="2">
        <v>104.4</v>
      </c>
      <c r="D536" s="1">
        <v>44327</v>
      </c>
      <c r="E536" t="str">
        <f>"202105042977"</f>
        <v>202105042977</v>
      </c>
      <c r="F536" t="str">
        <f>"USPS MAILBOX REIMBURSEMENT"</f>
        <v>USPS MAILBOX REIMBURSEMENT</v>
      </c>
      <c r="G536" s="2">
        <v>46.5</v>
      </c>
      <c r="H536" t="str">
        <f>"USPS MAILBOX REIMBURSEMENT"</f>
        <v>USPS MAILBOX REIMBURSEMENT</v>
      </c>
    </row>
    <row r="537" spans="1:8" x14ac:dyDescent="0.25">
      <c r="E537" t="str">
        <f>"202105042988"</f>
        <v>202105042988</v>
      </c>
      <c r="F537" t="str">
        <f>"REIMBURSEMENT/FRAN HUNTER"</f>
        <v>REIMBURSEMENT/FRAN HUNTER</v>
      </c>
      <c r="G537" s="2">
        <v>57.9</v>
      </c>
      <c r="H537" t="str">
        <f>"REIMBURSEMENT/FRAN HUNTER"</f>
        <v>REIMBURSEMENT/FRAN HUNTER</v>
      </c>
    </row>
    <row r="538" spans="1:8" x14ac:dyDescent="0.25">
      <c r="A538" t="s">
        <v>125</v>
      </c>
      <c r="B538">
        <v>4440</v>
      </c>
      <c r="C538" s="2">
        <v>541.23</v>
      </c>
      <c r="D538" s="1">
        <v>44327</v>
      </c>
      <c r="E538" t="str">
        <f>"65980AP"</f>
        <v>65980AP</v>
      </c>
      <c r="F538" t="str">
        <f>"ACCT#3325/PCT#2"</f>
        <v>ACCT#3325/PCT#2</v>
      </c>
      <c r="G538" s="2">
        <v>486.69</v>
      </c>
      <c r="H538" t="str">
        <f>"ACCT#3325/PCT#2"</f>
        <v>ACCT#3325/PCT#2</v>
      </c>
    </row>
    <row r="539" spans="1:8" x14ac:dyDescent="0.25">
      <c r="E539" t="str">
        <f>"65992AP"</f>
        <v>65992AP</v>
      </c>
      <c r="F539" t="str">
        <f>"ACCT#3325/PCT#2"</f>
        <v>ACCT#3325/PCT#2</v>
      </c>
      <c r="G539" s="2">
        <v>54.54</v>
      </c>
      <c r="H539" t="str">
        <f>"ACCT#3325/PCT#2"</f>
        <v>ACCT#3325/PCT#2</v>
      </c>
    </row>
    <row r="540" spans="1:8" x14ac:dyDescent="0.25">
      <c r="A540" t="s">
        <v>125</v>
      </c>
      <c r="B540">
        <v>4518</v>
      </c>
      <c r="C540" s="2">
        <v>3445.39</v>
      </c>
      <c r="D540" s="1">
        <v>44341</v>
      </c>
      <c r="E540" t="str">
        <f>"CM66466AP"</f>
        <v>CM66466AP</v>
      </c>
      <c r="F540" t="str">
        <f>"ACCT#3324 CREDIT/PCT#3"</f>
        <v>ACCT#3324 CREDIT/PCT#3</v>
      </c>
      <c r="G540" s="2">
        <v>-80.5</v>
      </c>
      <c r="H540" t="str">
        <f>"ACCT#3324 CREDIT/PCT#3"</f>
        <v>ACCT#3324 CREDIT/PCT#3</v>
      </c>
    </row>
    <row r="541" spans="1:8" x14ac:dyDescent="0.25">
      <c r="E541" t="str">
        <f>"66075AP"</f>
        <v>66075AP</v>
      </c>
      <c r="F541" t="str">
        <f>"ACCT#3325/PCT#2"</f>
        <v>ACCT#3325/PCT#2</v>
      </c>
      <c r="G541" s="2">
        <v>27.27</v>
      </c>
      <c r="H541" t="str">
        <f>"ACCT#3325/PCT#2"</f>
        <v>ACCT#3325/PCT#2</v>
      </c>
    </row>
    <row r="542" spans="1:8" x14ac:dyDescent="0.25">
      <c r="E542" t="str">
        <f>"66081AP"</f>
        <v>66081AP</v>
      </c>
      <c r="F542" t="str">
        <f>"ACCT#3325/PCT#2"</f>
        <v>ACCT#3325/PCT#2</v>
      </c>
      <c r="G542" s="2">
        <v>787.56</v>
      </c>
      <c r="H542" t="str">
        <f>"ACCT#3325/PCT#2"</f>
        <v>ACCT#3325/PCT#2</v>
      </c>
    </row>
    <row r="543" spans="1:8" x14ac:dyDescent="0.25">
      <c r="E543" t="str">
        <f>"66201AP"</f>
        <v>66201AP</v>
      </c>
      <c r="F543" t="str">
        <f>"ACCT#3324/PCT#3"</f>
        <v>ACCT#3324/PCT#3</v>
      </c>
      <c r="G543" s="2">
        <v>472.83</v>
      </c>
      <c r="H543" t="str">
        <f>"ACCT#3324/PCT#3"</f>
        <v>ACCT#3324/PCT#3</v>
      </c>
    </row>
    <row r="544" spans="1:8" x14ac:dyDescent="0.25">
      <c r="E544" t="str">
        <f>"66442AP"</f>
        <v>66442AP</v>
      </c>
      <c r="F544" t="str">
        <f>"ACCT#T6800/PCT#3"</f>
        <v>ACCT#T6800/PCT#3</v>
      </c>
      <c r="G544" s="2">
        <v>50.84</v>
      </c>
      <c r="H544" t="str">
        <f>"ACCT#T6800/PCT#3"</f>
        <v>ACCT#T6800/PCT#3</v>
      </c>
    </row>
    <row r="545" spans="1:8" x14ac:dyDescent="0.25">
      <c r="E545" t="str">
        <f>"66466AP"</f>
        <v>66466AP</v>
      </c>
      <c r="F545" t="str">
        <f>"ACCT#3324/PCT#3"</f>
        <v>ACCT#3324/PCT#3</v>
      </c>
      <c r="G545" s="2">
        <v>625.79999999999995</v>
      </c>
      <c r="H545" t="str">
        <f>"ACCT#3324/PCT#3"</f>
        <v>ACCT#3324/PCT#3</v>
      </c>
    </row>
    <row r="546" spans="1:8" x14ac:dyDescent="0.25">
      <c r="E546" t="str">
        <f>"66528AP"</f>
        <v>66528AP</v>
      </c>
      <c r="F546" t="str">
        <f>"ACCT#3324/PCT#3"</f>
        <v>ACCT#3324/PCT#3</v>
      </c>
      <c r="G546" s="2">
        <v>1021.08</v>
      </c>
      <c r="H546" t="str">
        <f>"ACCT#3324/PCT#3"</f>
        <v>ACCT#3324/PCT#3</v>
      </c>
    </row>
    <row r="547" spans="1:8" x14ac:dyDescent="0.25">
      <c r="E547" t="str">
        <f>"66536AP"</f>
        <v>66536AP</v>
      </c>
      <c r="F547" t="str">
        <f>"ACCT#3325/PCT#2"</f>
        <v>ACCT#3325/PCT#2</v>
      </c>
      <c r="G547" s="2">
        <v>385.6</v>
      </c>
      <c r="H547" t="str">
        <f>"ACCT#3325/PCT#2"</f>
        <v>ACCT#3325/PCT#2</v>
      </c>
    </row>
    <row r="548" spans="1:8" x14ac:dyDescent="0.25">
      <c r="E548" t="str">
        <f>"66604AP"</f>
        <v>66604AP</v>
      </c>
      <c r="F548" t="str">
        <f>"ACCT#3324/PCT#3"</f>
        <v>ACCT#3324/PCT#3</v>
      </c>
      <c r="G548" s="2">
        <v>45.35</v>
      </c>
      <c r="H548" t="str">
        <f>"ACCT#3324/PCT#3"</f>
        <v>ACCT#3324/PCT#3</v>
      </c>
    </row>
    <row r="549" spans="1:8" x14ac:dyDescent="0.25">
      <c r="E549" t="str">
        <f>"66747AP"</f>
        <v>66747AP</v>
      </c>
      <c r="F549" t="str">
        <f>"ACCT#3324/PCT#3"</f>
        <v>ACCT#3324/PCT#3</v>
      </c>
      <c r="G549" s="2">
        <v>109.56</v>
      </c>
      <c r="H549" t="str">
        <f>"ACCT#3324/PCT#3"</f>
        <v>ACCT#3324/PCT#3</v>
      </c>
    </row>
    <row r="550" spans="1:8" x14ac:dyDescent="0.25">
      <c r="A550" t="s">
        <v>126</v>
      </c>
      <c r="B550">
        <v>4447</v>
      </c>
      <c r="C550" s="2">
        <v>253.96</v>
      </c>
      <c r="D550" s="1">
        <v>44327</v>
      </c>
      <c r="E550" t="str">
        <f>"113860"</f>
        <v>113860</v>
      </c>
      <c r="F550" t="str">
        <f>"INV 113860"</f>
        <v>INV 113860</v>
      </c>
      <c r="G550" s="2">
        <v>40.96</v>
      </c>
      <c r="H550" t="str">
        <f>"INV 113860"</f>
        <v>INV 113860</v>
      </c>
    </row>
    <row r="551" spans="1:8" x14ac:dyDescent="0.25">
      <c r="E551" t="str">
        <f>"114099"</f>
        <v>114099</v>
      </c>
      <c r="F551" t="str">
        <f>"INV GC 114099"</f>
        <v>INV GC 114099</v>
      </c>
      <c r="G551" s="2">
        <v>122.88</v>
      </c>
      <c r="H551" t="str">
        <f>"INV GC 114099"</f>
        <v>INV GC 114099</v>
      </c>
    </row>
    <row r="552" spans="1:8" x14ac:dyDescent="0.25">
      <c r="E552" t="str">
        <f>"114129"</f>
        <v>114129</v>
      </c>
      <c r="F552" t="str">
        <f>"INV GC 114129"</f>
        <v>INV GC 114129</v>
      </c>
      <c r="G552" s="2">
        <v>90.12</v>
      </c>
      <c r="H552" t="str">
        <f>"INV GC 114129"</f>
        <v>INV GC 114129</v>
      </c>
    </row>
    <row r="553" spans="1:8" x14ac:dyDescent="0.25">
      <c r="A553" t="s">
        <v>126</v>
      </c>
      <c r="B553">
        <v>4523</v>
      </c>
      <c r="C553" s="2">
        <v>40.96</v>
      </c>
      <c r="D553" s="1">
        <v>44341</v>
      </c>
      <c r="E553" t="str">
        <f>"114163"</f>
        <v>114163</v>
      </c>
      <c r="F553" t="str">
        <f>"INV GC 114163"</f>
        <v>INV GC 114163</v>
      </c>
      <c r="G553" s="2">
        <v>40.96</v>
      </c>
      <c r="H553" t="str">
        <f>"INV GC 114163"</f>
        <v>INV GC 114163</v>
      </c>
    </row>
    <row r="554" spans="1:8" x14ac:dyDescent="0.25">
      <c r="A554" t="s">
        <v>127</v>
      </c>
      <c r="B554">
        <v>135490</v>
      </c>
      <c r="C554" s="2">
        <v>643.38</v>
      </c>
      <c r="D554" s="1">
        <v>44326</v>
      </c>
      <c r="E554" t="str">
        <f>"018223203"</f>
        <v>018223203</v>
      </c>
      <c r="F554" t="str">
        <f>"INV 018223203"</f>
        <v>INV 018223203</v>
      </c>
      <c r="G554" s="2">
        <v>271.88</v>
      </c>
      <c r="H554" t="str">
        <f>"INV 018223203"</f>
        <v>INV 018223203</v>
      </c>
    </row>
    <row r="555" spans="1:8" x14ac:dyDescent="0.25">
      <c r="E555" t="str">
        <f>"018250758"</f>
        <v>018250758</v>
      </c>
      <c r="F555" t="str">
        <f>"INV 018250758"</f>
        <v>INV 018250758</v>
      </c>
      <c r="G555" s="2">
        <v>208.5</v>
      </c>
      <c r="H555" t="str">
        <f>"INV 018250758"</f>
        <v>INV 018250758</v>
      </c>
    </row>
    <row r="556" spans="1:8" x14ac:dyDescent="0.25">
      <c r="E556" t="str">
        <f>"018250781"</f>
        <v>018250781</v>
      </c>
      <c r="F556" t="str">
        <f>"INV 018250781"</f>
        <v>INV 018250781</v>
      </c>
      <c r="G556" s="2">
        <v>139</v>
      </c>
      <c r="H556" t="str">
        <f>"INV 018250781"</f>
        <v>INV 018250781</v>
      </c>
    </row>
    <row r="557" spans="1:8" x14ac:dyDescent="0.25">
      <c r="E557" t="str">
        <f>"018250844"</f>
        <v>018250844</v>
      </c>
      <c r="F557" t="str">
        <f>"INV 018250844"</f>
        <v>INV 018250844</v>
      </c>
      <c r="G557" s="2">
        <v>12</v>
      </c>
      <c r="H557" t="str">
        <f>"INV 018250844"</f>
        <v>INV 018250844</v>
      </c>
    </row>
    <row r="558" spans="1:8" x14ac:dyDescent="0.25">
      <c r="E558" t="str">
        <f>"018250845"</f>
        <v>018250845</v>
      </c>
      <c r="F558" t="str">
        <f>"INV 018250845"</f>
        <v>INV 018250845</v>
      </c>
      <c r="G558" s="2">
        <v>12</v>
      </c>
      <c r="H558" t="str">
        <f>"INV 018250845"</f>
        <v>INV 018250845</v>
      </c>
    </row>
    <row r="559" spans="1:8" x14ac:dyDescent="0.25">
      <c r="A559" t="s">
        <v>127</v>
      </c>
      <c r="B559">
        <v>135628</v>
      </c>
      <c r="C559" s="2">
        <v>24</v>
      </c>
      <c r="D559" s="1">
        <v>44340</v>
      </c>
      <c r="E559" t="str">
        <f>"018354167"</f>
        <v>018354167</v>
      </c>
      <c r="F559" t="str">
        <f>"INV 018354167"</f>
        <v>INV 018354167</v>
      </c>
      <c r="G559" s="2">
        <v>12</v>
      </c>
      <c r="H559" t="str">
        <f>"INV 018354167"</f>
        <v>INV 018354167</v>
      </c>
    </row>
    <row r="560" spans="1:8" x14ac:dyDescent="0.25">
      <c r="E560" t="str">
        <f>"018354179"</f>
        <v>018354179</v>
      </c>
      <c r="F560" t="str">
        <f>"INV 018354179"</f>
        <v>INV 018354179</v>
      </c>
      <c r="G560" s="2">
        <v>12</v>
      </c>
      <c r="H560" t="str">
        <f>"INV 018354179"</f>
        <v>INV 018354179</v>
      </c>
    </row>
    <row r="561" spans="1:8" x14ac:dyDescent="0.25">
      <c r="A561" t="s">
        <v>128</v>
      </c>
      <c r="B561">
        <v>135491</v>
      </c>
      <c r="C561" s="2">
        <v>4700.4799999999996</v>
      </c>
      <c r="D561" s="1">
        <v>44326</v>
      </c>
      <c r="E561" t="str">
        <f>"202105043014"</f>
        <v>202105043014</v>
      </c>
      <c r="F561" t="str">
        <f>"GARLAND T MURLEY"</f>
        <v>GARLAND T MURLEY</v>
      </c>
      <c r="G561" s="2">
        <v>1404.78</v>
      </c>
      <c r="H561" t="str">
        <f>""</f>
        <v/>
      </c>
    </row>
    <row r="562" spans="1:8" x14ac:dyDescent="0.25">
      <c r="E562" t="str">
        <f>"202105043016"</f>
        <v>202105043016</v>
      </c>
      <c r="F562" t="str">
        <f>"GARLAND T MURLEY"</f>
        <v>GARLAND T MURLEY</v>
      </c>
      <c r="G562" s="2">
        <v>797.54</v>
      </c>
      <c r="H562" t="str">
        <f>""</f>
        <v/>
      </c>
    </row>
    <row r="563" spans="1:8" x14ac:dyDescent="0.25">
      <c r="E563" t="str">
        <f>"EA"</f>
        <v>EA</v>
      </c>
      <c r="F563" t="str">
        <f>"INV EA"</f>
        <v>INV EA</v>
      </c>
      <c r="G563" s="2">
        <v>2498.16</v>
      </c>
      <c r="H563" t="str">
        <f>"INV EA"</f>
        <v>INV EA</v>
      </c>
    </row>
    <row r="564" spans="1:8" x14ac:dyDescent="0.25">
      <c r="A564" t="s">
        <v>129</v>
      </c>
      <c r="B564">
        <v>135629</v>
      </c>
      <c r="C564" s="2">
        <v>152.9</v>
      </c>
      <c r="D564" s="1">
        <v>44340</v>
      </c>
      <c r="E564" t="str">
        <f>"N71151"</f>
        <v>N71151</v>
      </c>
      <c r="F564" t="str">
        <f>"CUST#02260/ANIMAL SHELTER"</f>
        <v>CUST#02260/ANIMAL SHELTER</v>
      </c>
      <c r="G564" s="2">
        <v>152.9</v>
      </c>
      <c r="H564" t="str">
        <f>"CUST#02260/ANIMAL SHELTER"</f>
        <v>CUST#02260/ANIMAL SHELTER</v>
      </c>
    </row>
    <row r="565" spans="1:8" x14ac:dyDescent="0.25">
      <c r="A565" t="s">
        <v>130</v>
      </c>
      <c r="B565">
        <v>135492</v>
      </c>
      <c r="C565" s="2">
        <v>675</v>
      </c>
      <c r="D565" s="1">
        <v>44326</v>
      </c>
      <c r="E565" t="str">
        <f>"1139"</f>
        <v>1139</v>
      </c>
      <c r="F565" t="str">
        <f>"TRANSPORT/D. HUBERT"</f>
        <v>TRANSPORT/D. HUBERT</v>
      </c>
      <c r="G565" s="2">
        <v>675</v>
      </c>
      <c r="H565" t="str">
        <f>"TRANSPORT/D. HUBERT"</f>
        <v>TRANSPORT/D. HUBERT</v>
      </c>
    </row>
    <row r="566" spans="1:8" x14ac:dyDescent="0.25">
      <c r="A566" t="s">
        <v>131</v>
      </c>
      <c r="B566">
        <v>135630</v>
      </c>
      <c r="C566" s="2">
        <v>15</v>
      </c>
      <c r="D566" s="1">
        <v>44340</v>
      </c>
      <c r="E566" t="str">
        <f>"202105183328"</f>
        <v>202105183328</v>
      </c>
      <c r="F566" t="str">
        <f>"GLORIA BENSON"</f>
        <v>GLORIA BENSON</v>
      </c>
      <c r="G566" s="2">
        <v>15</v>
      </c>
      <c r="H566" t="str">
        <f>""</f>
        <v/>
      </c>
    </row>
    <row r="567" spans="1:8" x14ac:dyDescent="0.25">
      <c r="A567" t="s">
        <v>132</v>
      </c>
      <c r="B567">
        <v>135631</v>
      </c>
      <c r="C567" s="2">
        <v>595</v>
      </c>
      <c r="D567" s="1">
        <v>44340</v>
      </c>
      <c r="E567" t="str">
        <f>"202105133241"</f>
        <v>202105133241</v>
      </c>
      <c r="F567" t="str">
        <f>"NOTICE#2142134/MEM#300142134"</f>
        <v>NOTICE#2142134/MEM#300142134</v>
      </c>
      <c r="G567" s="2">
        <v>595</v>
      </c>
      <c r="H567" t="str">
        <f>"NOTICE#2142134/AUDITOR MEMBERS"</f>
        <v>NOTICE#2142134/AUDITOR MEMBERS</v>
      </c>
    </row>
    <row r="568" spans="1:8" x14ac:dyDescent="0.25">
      <c r="A568" t="s">
        <v>133</v>
      </c>
      <c r="B568">
        <v>135632</v>
      </c>
      <c r="C568" s="2">
        <v>141.1</v>
      </c>
      <c r="D568" s="1">
        <v>44340</v>
      </c>
      <c r="E568" t="str">
        <f>"9897634185"</f>
        <v>9897634185</v>
      </c>
      <c r="F568" t="str">
        <f>"INV 9897634185"</f>
        <v>INV 9897634185</v>
      </c>
      <c r="G568" s="2">
        <v>91.6</v>
      </c>
      <c r="H568" t="str">
        <f>"INV 9897634185"</f>
        <v>INV 9897634185</v>
      </c>
    </row>
    <row r="569" spans="1:8" x14ac:dyDescent="0.25">
      <c r="E569" t="str">
        <f>"9898459434"</f>
        <v>9898459434</v>
      </c>
      <c r="F569" t="str">
        <f>"INV 9898459434"</f>
        <v>INV 9898459434</v>
      </c>
      <c r="G569" s="2">
        <v>49.5</v>
      </c>
      <c r="H569" t="str">
        <f>"INV 9898459434"</f>
        <v>INV 9898459434</v>
      </c>
    </row>
    <row r="570" spans="1:8" x14ac:dyDescent="0.25">
      <c r="A570" t="s">
        <v>134</v>
      </c>
      <c r="B570">
        <v>135493</v>
      </c>
      <c r="C570" s="2">
        <v>24950</v>
      </c>
      <c r="D570" s="1">
        <v>44326</v>
      </c>
      <c r="E570" t="str">
        <f>"10880"</f>
        <v>10880</v>
      </c>
      <c r="F570" t="str">
        <f>"GRAPEVINE DODGE CHRYSLER JEEP"</f>
        <v>GRAPEVINE DODGE CHRYSLER JEEP</v>
      </c>
      <c r="G570" s="2">
        <v>24950</v>
      </c>
      <c r="H570" t="str">
        <f>"2019 Dodge Durango"</f>
        <v>2019 Dodge Durango</v>
      </c>
    </row>
    <row r="571" spans="1:8" x14ac:dyDescent="0.25">
      <c r="E571" t="str">
        <f>""</f>
        <v/>
      </c>
      <c r="F571" t="str">
        <f>""</f>
        <v/>
      </c>
      <c r="H571" t="str">
        <f>"Dodge Durango"</f>
        <v>Dodge Durango</v>
      </c>
    </row>
    <row r="572" spans="1:8" x14ac:dyDescent="0.25">
      <c r="A572" t="s">
        <v>135</v>
      </c>
      <c r="B572">
        <v>135494</v>
      </c>
      <c r="C572" s="2">
        <v>730.48</v>
      </c>
      <c r="D572" s="1">
        <v>44326</v>
      </c>
      <c r="E572" t="str">
        <f>"202105032904"</f>
        <v>202105032904</v>
      </c>
      <c r="F572" t="str">
        <f>"INTERPRETING"</f>
        <v>INTERPRETING</v>
      </c>
      <c r="G572" s="2">
        <v>364.4</v>
      </c>
      <c r="H572" t="str">
        <f>"INTERPRETING"</f>
        <v>INTERPRETING</v>
      </c>
    </row>
    <row r="573" spans="1:8" x14ac:dyDescent="0.25">
      <c r="E573" t="str">
        <f>"2270"</f>
        <v>2270</v>
      </c>
      <c r="F573" t="str">
        <f>"INTERPRETING"</f>
        <v>INTERPRETING</v>
      </c>
      <c r="G573" s="2">
        <v>366.08</v>
      </c>
      <c r="H573" t="str">
        <f>"INTERPRETING"</f>
        <v>INTERPRETING</v>
      </c>
    </row>
    <row r="574" spans="1:8" x14ac:dyDescent="0.25">
      <c r="A574" t="s">
        <v>135</v>
      </c>
      <c r="B574">
        <v>135633</v>
      </c>
      <c r="C574" s="2">
        <v>200</v>
      </c>
      <c r="D574" s="1">
        <v>44340</v>
      </c>
      <c r="E574" t="str">
        <f>"202105133226"</f>
        <v>202105133226</v>
      </c>
      <c r="F574" t="str">
        <f>"2281"</f>
        <v>2281</v>
      </c>
      <c r="G574" s="2">
        <v>200</v>
      </c>
      <c r="H574" t="str">
        <f>"2281"</f>
        <v>2281</v>
      </c>
    </row>
    <row r="575" spans="1:8" x14ac:dyDescent="0.25">
      <c r="A575" t="s">
        <v>136</v>
      </c>
      <c r="B575">
        <v>4448</v>
      </c>
      <c r="C575" s="2">
        <v>2815.55</v>
      </c>
      <c r="D575" s="1">
        <v>44327</v>
      </c>
      <c r="E575" t="str">
        <f>"0837845"</f>
        <v>0837845</v>
      </c>
      <c r="F575" t="str">
        <f>"INV 0837845"</f>
        <v>INV 0837845</v>
      </c>
      <c r="G575" s="2">
        <v>283.5</v>
      </c>
      <c r="H575" t="str">
        <f>"INV 0837845"</f>
        <v>INV 0837845</v>
      </c>
    </row>
    <row r="576" spans="1:8" x14ac:dyDescent="0.25">
      <c r="E576" t="str">
        <f>"0838028"</f>
        <v>0838028</v>
      </c>
      <c r="F576" t="str">
        <f>"INV 0838028"</f>
        <v>INV 0838028</v>
      </c>
      <c r="G576" s="2">
        <v>225</v>
      </c>
      <c r="H576" t="str">
        <f>"INV 0838028"</f>
        <v>INV 0838028</v>
      </c>
    </row>
    <row r="577" spans="1:8" x14ac:dyDescent="0.25">
      <c r="E577" t="str">
        <f>"0838137"</f>
        <v>0838137</v>
      </c>
      <c r="F577" t="str">
        <f>"INV 0838137"</f>
        <v>INV 0838137</v>
      </c>
      <c r="G577" s="2">
        <v>283.5</v>
      </c>
      <c r="H577" t="str">
        <f>"INV 0838137"</f>
        <v>INV 0838137</v>
      </c>
    </row>
    <row r="578" spans="1:8" x14ac:dyDescent="0.25">
      <c r="E578" t="str">
        <f>"0838936"</f>
        <v>0838936</v>
      </c>
      <c r="F578" t="str">
        <f>"INV0838936"</f>
        <v>INV0838936</v>
      </c>
      <c r="G578" s="2">
        <v>76.98</v>
      </c>
      <c r="H578" t="str">
        <f>"INV0838936"</f>
        <v>INV0838936</v>
      </c>
    </row>
    <row r="579" spans="1:8" x14ac:dyDescent="0.25">
      <c r="E579" t="str">
        <f>"0838987"</f>
        <v>0838987</v>
      </c>
      <c r="F579" t="str">
        <f>"INV 0838987"</f>
        <v>INV 0838987</v>
      </c>
      <c r="G579" s="2">
        <v>225</v>
      </c>
      <c r="H579" t="str">
        <f>"INV 0838987"</f>
        <v>INV 0838987</v>
      </c>
    </row>
    <row r="580" spans="1:8" x14ac:dyDescent="0.25">
      <c r="E580" t="str">
        <f>"0839090"</f>
        <v>0839090</v>
      </c>
      <c r="F580" t="str">
        <f>"INV 0839090"</f>
        <v>INV 0839090</v>
      </c>
      <c r="G580" s="2">
        <v>18</v>
      </c>
      <c r="H580" t="str">
        <f>"INV 0839090"</f>
        <v>INV 0839090</v>
      </c>
    </row>
    <row r="581" spans="1:8" x14ac:dyDescent="0.25">
      <c r="E581" t="str">
        <f>"0839155"</f>
        <v>0839155</v>
      </c>
      <c r="F581" t="str">
        <f>"INV 0839155"</f>
        <v>INV 0839155</v>
      </c>
      <c r="G581" s="2">
        <v>225</v>
      </c>
      <c r="H581" t="str">
        <f>"INV 0839155"</f>
        <v>INV 0839155</v>
      </c>
    </row>
    <row r="582" spans="1:8" x14ac:dyDescent="0.25">
      <c r="E582" t="str">
        <f>"0839788"</f>
        <v>0839788</v>
      </c>
      <c r="F582" t="str">
        <f>"INV 0839788"</f>
        <v>INV 0839788</v>
      </c>
      <c r="G582" s="2">
        <v>36</v>
      </c>
      <c r="H582" t="str">
        <f>"INV 0839788"</f>
        <v>INV 0839788</v>
      </c>
    </row>
    <row r="583" spans="1:8" x14ac:dyDescent="0.25">
      <c r="E583" t="str">
        <f>"0839789"</f>
        <v>0839789</v>
      </c>
      <c r="F583" t="str">
        <f>"INV 0839789/0839772"</f>
        <v>INV 0839789/0839772</v>
      </c>
      <c r="G583" s="2">
        <v>288.5</v>
      </c>
      <c r="H583" t="str">
        <f>"INV 0839789"</f>
        <v>INV 0839789</v>
      </c>
    </row>
    <row r="584" spans="1:8" x14ac:dyDescent="0.25">
      <c r="E584" t="str">
        <f>""</f>
        <v/>
      </c>
      <c r="F584" t="str">
        <f>""</f>
        <v/>
      </c>
      <c r="H584" t="str">
        <f>"INV 0839772"</f>
        <v>INV 0839772</v>
      </c>
    </row>
    <row r="585" spans="1:8" x14ac:dyDescent="0.25">
      <c r="E585" t="str">
        <f>"0839866"</f>
        <v>0839866</v>
      </c>
      <c r="F585" t="str">
        <f>"INV 0839866"</f>
        <v>INV 0839866</v>
      </c>
      <c r="G585" s="2">
        <v>1066.0899999999999</v>
      </c>
      <c r="H585" t="str">
        <f>"INV 0839866"</f>
        <v>INV 0839866</v>
      </c>
    </row>
    <row r="586" spans="1:8" x14ac:dyDescent="0.25">
      <c r="E586" t="str">
        <f>"RTL0888545"</f>
        <v>RTL0888545</v>
      </c>
      <c r="F586" t="str">
        <f>"INV RTL0888545"</f>
        <v>INV RTL0888545</v>
      </c>
      <c r="G586" s="2">
        <v>87.98</v>
      </c>
      <c r="H586" t="str">
        <f>"INV RTL0888545"</f>
        <v>INV RTL0888545</v>
      </c>
    </row>
    <row r="587" spans="1:8" x14ac:dyDescent="0.25">
      <c r="A587" t="s">
        <v>136</v>
      </c>
      <c r="B587">
        <v>4524</v>
      </c>
      <c r="C587" s="2">
        <v>4489.75</v>
      </c>
      <c r="D587" s="1">
        <v>44341</v>
      </c>
      <c r="E587" t="str">
        <f>"0804418"</f>
        <v>0804418</v>
      </c>
      <c r="F587" t="str">
        <f>"INV 0840418"</f>
        <v>INV 0840418</v>
      </c>
      <c r="G587" s="2">
        <v>283.5</v>
      </c>
      <c r="H587" t="str">
        <f>"INV 0840418"</f>
        <v>INV 0840418</v>
      </c>
    </row>
    <row r="588" spans="1:8" x14ac:dyDescent="0.25">
      <c r="E588" t="str">
        <f>"0841843"</f>
        <v>0841843</v>
      </c>
      <c r="F588" t="str">
        <f>"INV 0841843"</f>
        <v>INV 0841843</v>
      </c>
      <c r="G588" s="2">
        <v>860</v>
      </c>
      <c r="H588" t="str">
        <f>"INV 0841843"</f>
        <v>INV 0841843</v>
      </c>
    </row>
    <row r="589" spans="1:8" x14ac:dyDescent="0.25">
      <c r="E589" t="str">
        <f>""</f>
        <v/>
      </c>
      <c r="F589" t="str">
        <f>""</f>
        <v/>
      </c>
      <c r="H589" t="str">
        <f>"INV 0841843"</f>
        <v>INV 0841843</v>
      </c>
    </row>
    <row r="590" spans="1:8" x14ac:dyDescent="0.25">
      <c r="E590" t="str">
        <f>"0841921"</f>
        <v>0841921</v>
      </c>
      <c r="F590" t="str">
        <f>"INV 0841921"</f>
        <v>INV 0841921</v>
      </c>
      <c r="G590" s="2">
        <v>3031.25</v>
      </c>
      <c r="H590" t="str">
        <f>"INV 0841921"</f>
        <v>INV 0841921</v>
      </c>
    </row>
    <row r="591" spans="1:8" x14ac:dyDescent="0.25">
      <c r="E591" t="str">
        <f>"0842819"</f>
        <v>0842819</v>
      </c>
      <c r="F591" t="str">
        <f>"INV 0842819"</f>
        <v>INV 0842819</v>
      </c>
      <c r="G591" s="2">
        <v>225</v>
      </c>
      <c r="H591" t="str">
        <f>"INV 0842819"</f>
        <v>INV 0842819</v>
      </c>
    </row>
    <row r="592" spans="1:8" x14ac:dyDescent="0.25">
      <c r="E592" t="str">
        <f>"0842842"</f>
        <v>0842842</v>
      </c>
      <c r="F592" t="str">
        <f>"INV 0842842"</f>
        <v>INV 0842842</v>
      </c>
      <c r="G592" s="2">
        <v>90</v>
      </c>
      <c r="H592" t="str">
        <f>"INV 0842842"</f>
        <v>INV 0842842</v>
      </c>
    </row>
    <row r="593" spans="1:8" x14ac:dyDescent="0.25">
      <c r="A593" t="s">
        <v>137</v>
      </c>
      <c r="B593">
        <v>4504</v>
      </c>
      <c r="C593" s="2">
        <v>794.23</v>
      </c>
      <c r="D593" s="1">
        <v>44341</v>
      </c>
      <c r="E593" t="str">
        <f>"QT0069713"</f>
        <v>QT0069713</v>
      </c>
      <c r="F593" t="str">
        <f>"Docking Station &amp; Mount"</f>
        <v>Docking Station &amp; Mount</v>
      </c>
      <c r="G593" s="2">
        <v>794.23</v>
      </c>
      <c r="H593" t="str">
        <f>"DIR-CPO-4751"</f>
        <v>DIR-CPO-4751</v>
      </c>
    </row>
    <row r="594" spans="1:8" x14ac:dyDescent="0.25">
      <c r="E594" t="str">
        <f>""</f>
        <v/>
      </c>
      <c r="F594" t="str">
        <f>""</f>
        <v/>
      </c>
      <c r="H594" t="str">
        <f>"DIR-CPO-4751"</f>
        <v>DIR-CPO-4751</v>
      </c>
    </row>
    <row r="595" spans="1:8" x14ac:dyDescent="0.25">
      <c r="E595" t="str">
        <f>""</f>
        <v/>
      </c>
      <c r="F595" t="str">
        <f>""</f>
        <v/>
      </c>
      <c r="H595" t="str">
        <f>"Docking Station &amp; Mount"</f>
        <v>Docking Station &amp; Mount</v>
      </c>
    </row>
    <row r="596" spans="1:8" x14ac:dyDescent="0.25">
      <c r="A596" t="s">
        <v>138</v>
      </c>
      <c r="B596">
        <v>4460</v>
      </c>
      <c r="C596" s="2">
        <v>3104.9</v>
      </c>
      <c r="D596" s="1">
        <v>44327</v>
      </c>
      <c r="E596" t="str">
        <f>"2038741"</f>
        <v>2038741</v>
      </c>
      <c r="F596" t="str">
        <f>"INV 2038741"</f>
        <v>INV 2038741</v>
      </c>
      <c r="G596" s="2">
        <v>776.1</v>
      </c>
      <c r="H596" t="str">
        <f>"INV 2038741"</f>
        <v>INV 2038741</v>
      </c>
    </row>
    <row r="597" spans="1:8" x14ac:dyDescent="0.25">
      <c r="E597" t="str">
        <f>"2038742"</f>
        <v>2038742</v>
      </c>
      <c r="F597" t="str">
        <f>"INV 2038742"</f>
        <v>INV 2038742</v>
      </c>
      <c r="G597" s="2">
        <v>2328.8000000000002</v>
      </c>
      <c r="H597" t="str">
        <f>"INV 2038742"</f>
        <v>INV 2038742</v>
      </c>
    </row>
    <row r="598" spans="1:8" x14ac:dyDescent="0.25">
      <c r="A598" t="s">
        <v>138</v>
      </c>
      <c r="B598">
        <v>4538</v>
      </c>
      <c r="C598" s="2">
        <v>1922.12</v>
      </c>
      <c r="D598" s="1">
        <v>44341</v>
      </c>
      <c r="E598" t="str">
        <f>"202105173245"</f>
        <v>202105173245</v>
      </c>
      <c r="F598" t="str">
        <f>"Yellow Vinyl Bag"</f>
        <v>Yellow Vinyl Bag</v>
      </c>
      <c r="G598" s="2">
        <v>130.28</v>
      </c>
      <c r="H598" t="str">
        <f>"Yellow Vinyl Bag"</f>
        <v>Yellow Vinyl Bag</v>
      </c>
    </row>
    <row r="599" spans="1:8" x14ac:dyDescent="0.25">
      <c r="E599" t="str">
        <f>"2027620"</f>
        <v>2027620</v>
      </c>
      <c r="F599" t="str">
        <f>"Housekeeping Dept"</f>
        <v>Housekeeping Dept</v>
      </c>
      <c r="G599" s="2">
        <v>1791.84</v>
      </c>
      <c r="H599" t="str">
        <f>"GP89480"</f>
        <v>GP89480</v>
      </c>
    </row>
    <row r="600" spans="1:8" x14ac:dyDescent="0.25">
      <c r="E600" t="str">
        <f>""</f>
        <v/>
      </c>
      <c r="F600" t="str">
        <f>""</f>
        <v/>
      </c>
      <c r="H600" t="str">
        <f>"GP19371"</f>
        <v>GP19371</v>
      </c>
    </row>
    <row r="601" spans="1:8" x14ac:dyDescent="0.25">
      <c r="E601" t="str">
        <f>""</f>
        <v/>
      </c>
      <c r="F601" t="str">
        <f>""</f>
        <v/>
      </c>
      <c r="H601" t="str">
        <f>"GP42714"</f>
        <v>GP42714</v>
      </c>
    </row>
    <row r="602" spans="1:8" x14ac:dyDescent="0.25">
      <c r="E602" t="str">
        <f>""</f>
        <v/>
      </c>
      <c r="F602" t="str">
        <f>""</f>
        <v/>
      </c>
      <c r="H602" t="str">
        <f>"GP20389"</f>
        <v>GP20389</v>
      </c>
    </row>
    <row r="603" spans="1:8" x14ac:dyDescent="0.25">
      <c r="E603" t="str">
        <f>""</f>
        <v/>
      </c>
      <c r="F603" t="str">
        <f>""</f>
        <v/>
      </c>
      <c r="H603" t="str">
        <f>"NABC BOWL CLEANER"</f>
        <v>NABC BOWL CLEANER</v>
      </c>
    </row>
    <row r="604" spans="1:8" x14ac:dyDescent="0.25">
      <c r="E604" t="str">
        <f>""</f>
        <v/>
      </c>
      <c r="F604" t="str">
        <f>""</f>
        <v/>
      </c>
      <c r="H604" t="str">
        <f>"63CL CLR DRUM LNR"</f>
        <v>63CL CLR DRUM LNR</v>
      </c>
    </row>
    <row r="605" spans="1:8" x14ac:dyDescent="0.25">
      <c r="E605" t="str">
        <f>""</f>
        <v/>
      </c>
      <c r="F605" t="str">
        <f>""</f>
        <v/>
      </c>
      <c r="H605" t="str">
        <f>"1966719"</f>
        <v>1966719</v>
      </c>
    </row>
    <row r="606" spans="1:8" x14ac:dyDescent="0.25">
      <c r="A606" t="s">
        <v>139</v>
      </c>
      <c r="B606">
        <v>135634</v>
      </c>
      <c r="C606" s="2">
        <v>420</v>
      </c>
      <c r="D606" s="1">
        <v>44340</v>
      </c>
      <c r="E606" t="str">
        <f>"1108508"</f>
        <v>1108508</v>
      </c>
      <c r="F606" t="str">
        <f>"ACCT#55026/PCT#4"</f>
        <v>ACCT#55026/PCT#4</v>
      </c>
      <c r="G606" s="2">
        <v>420</v>
      </c>
      <c r="H606" t="str">
        <f>"ACCT#55026/PCT#4"</f>
        <v>ACCT#55026/PCT#4</v>
      </c>
    </row>
    <row r="607" spans="1:8" x14ac:dyDescent="0.25">
      <c r="A607" t="s">
        <v>140</v>
      </c>
      <c r="B607">
        <v>135495</v>
      </c>
      <c r="C607" s="2">
        <v>100</v>
      </c>
      <c r="D607" s="1">
        <v>44326</v>
      </c>
      <c r="E607" t="str">
        <f>"12763"</f>
        <v>12763</v>
      </c>
      <c r="F607" t="str">
        <f>"SERVICE"</f>
        <v>SERVICE</v>
      </c>
      <c r="G607" s="2">
        <v>100</v>
      </c>
      <c r="H607" t="str">
        <f>"SERVICE"</f>
        <v>SERVICE</v>
      </c>
    </row>
    <row r="608" spans="1:8" x14ac:dyDescent="0.25">
      <c r="A608" t="s">
        <v>141</v>
      </c>
      <c r="B608">
        <v>135496</v>
      </c>
      <c r="C608" s="2">
        <v>225</v>
      </c>
      <c r="D608" s="1">
        <v>44326</v>
      </c>
      <c r="E608" t="str">
        <f>"12763"</f>
        <v>12763</v>
      </c>
      <c r="F608" t="str">
        <f>"SERVICE"</f>
        <v>SERVICE</v>
      </c>
      <c r="G608" s="2">
        <v>225</v>
      </c>
      <c r="H608" t="str">
        <f>"SERVICE"</f>
        <v>SERVICE</v>
      </c>
    </row>
    <row r="609" spans="1:8" x14ac:dyDescent="0.25">
      <c r="A609" t="s">
        <v>142</v>
      </c>
      <c r="B609">
        <v>135497</v>
      </c>
      <c r="C609" s="2">
        <v>3602.25</v>
      </c>
      <c r="D609" s="1">
        <v>44326</v>
      </c>
      <c r="E609" t="str">
        <f>"INV826272"</f>
        <v>INV826272</v>
      </c>
      <c r="F609" t="str">
        <f>"INV826272"</f>
        <v>INV826272</v>
      </c>
      <c r="G609" s="2">
        <v>3602.25</v>
      </c>
      <c r="H609" t="str">
        <f>"INV826272"</f>
        <v>INV826272</v>
      </c>
    </row>
    <row r="610" spans="1:8" x14ac:dyDescent="0.25">
      <c r="A610" t="s">
        <v>143</v>
      </c>
      <c r="B610">
        <v>4526</v>
      </c>
      <c r="C610" s="2">
        <v>650</v>
      </c>
      <c r="D610" s="1">
        <v>44341</v>
      </c>
      <c r="E610" t="str">
        <f>"202105183329"</f>
        <v>202105183329</v>
      </c>
      <c r="F610" t="str">
        <f>"BASCOM L HODGES JR"</f>
        <v>BASCOM L HODGES JR</v>
      </c>
      <c r="G610" s="2">
        <v>650</v>
      </c>
      <c r="H610" t="str">
        <f>""</f>
        <v/>
      </c>
    </row>
    <row r="611" spans="1:8" x14ac:dyDescent="0.25">
      <c r="A611" t="s">
        <v>144</v>
      </c>
      <c r="B611">
        <v>135498</v>
      </c>
      <c r="C611" s="2">
        <v>1515</v>
      </c>
      <c r="D611" s="1">
        <v>44326</v>
      </c>
      <c r="E611" t="str">
        <f>"202104282852"</f>
        <v>202104282852</v>
      </c>
      <c r="F611" t="str">
        <f>"57-272 57-273"</f>
        <v>57-272 57-273</v>
      </c>
      <c r="G611" s="2">
        <v>375</v>
      </c>
      <c r="H611" t="str">
        <f>"57-272 57-273"</f>
        <v>57-272 57-273</v>
      </c>
    </row>
    <row r="612" spans="1:8" x14ac:dyDescent="0.25">
      <c r="E612" t="str">
        <f>"202105032955"</f>
        <v>202105032955</v>
      </c>
      <c r="F612" t="str">
        <f>"19-19540"</f>
        <v>19-19540</v>
      </c>
      <c r="G612" s="2">
        <v>120</v>
      </c>
      <c r="H612" t="str">
        <f>"19-19540"</f>
        <v>19-19540</v>
      </c>
    </row>
    <row r="613" spans="1:8" x14ac:dyDescent="0.25">
      <c r="E613" t="str">
        <f>"202105032956"</f>
        <v>202105032956</v>
      </c>
      <c r="F613" t="str">
        <f>"21-20677"</f>
        <v>21-20677</v>
      </c>
      <c r="G613" s="2">
        <v>75</v>
      </c>
      <c r="H613" t="str">
        <f>"21-20677"</f>
        <v>21-20677</v>
      </c>
    </row>
    <row r="614" spans="1:8" x14ac:dyDescent="0.25">
      <c r="E614" t="str">
        <f>"202105032957"</f>
        <v>202105032957</v>
      </c>
      <c r="F614" t="str">
        <f>"19-19456"</f>
        <v>19-19456</v>
      </c>
      <c r="G614" s="2">
        <v>475</v>
      </c>
      <c r="H614" t="str">
        <f>"19-19456"</f>
        <v>19-19456</v>
      </c>
    </row>
    <row r="615" spans="1:8" x14ac:dyDescent="0.25">
      <c r="E615" t="str">
        <f>"202105032958"</f>
        <v>202105032958</v>
      </c>
      <c r="F615" t="str">
        <f>"57-119"</f>
        <v>57-119</v>
      </c>
      <c r="G615" s="2">
        <v>370</v>
      </c>
      <c r="H615" t="str">
        <f>"57-119"</f>
        <v>57-119</v>
      </c>
    </row>
    <row r="616" spans="1:8" x14ac:dyDescent="0.25">
      <c r="E616" t="str">
        <f>"202105053048"</f>
        <v>202105053048</v>
      </c>
      <c r="F616" t="str">
        <f>"21-20677"</f>
        <v>21-20677</v>
      </c>
      <c r="G616" s="2">
        <v>100</v>
      </c>
      <c r="H616" t="str">
        <f>"21-20677"</f>
        <v>21-20677</v>
      </c>
    </row>
    <row r="617" spans="1:8" x14ac:dyDescent="0.25">
      <c r="A617" t="s">
        <v>145</v>
      </c>
      <c r="B617">
        <v>135499</v>
      </c>
      <c r="C617" s="2">
        <v>135</v>
      </c>
      <c r="D617" s="1">
        <v>44326</v>
      </c>
      <c r="E617" t="str">
        <f>"202105043013"</f>
        <v>202105043013</v>
      </c>
      <c r="F617" t="str">
        <f>"PER DIEM"</f>
        <v>PER DIEM</v>
      </c>
      <c r="G617" s="2">
        <v>135</v>
      </c>
      <c r="H617" t="str">
        <f>"PER DIEM"</f>
        <v>PER DIEM</v>
      </c>
    </row>
    <row r="618" spans="1:8" x14ac:dyDescent="0.25">
      <c r="A618" t="s">
        <v>146</v>
      </c>
      <c r="B618">
        <v>4449</v>
      </c>
      <c r="C618" s="2">
        <v>234.64</v>
      </c>
      <c r="D618" s="1">
        <v>44327</v>
      </c>
      <c r="E618" t="str">
        <f>"PIMA0353487"</f>
        <v>PIMA0353487</v>
      </c>
      <c r="F618" t="str">
        <f>"CUST#0129150/PCT#3"</f>
        <v>CUST#0129150/PCT#3</v>
      </c>
      <c r="G618" s="2">
        <v>234.64</v>
      </c>
      <c r="H618" t="str">
        <f>"CUST#0129150/PCT#3"</f>
        <v>CUST#0129150/PCT#3</v>
      </c>
    </row>
    <row r="619" spans="1:8" x14ac:dyDescent="0.25">
      <c r="A619" t="s">
        <v>146</v>
      </c>
      <c r="B619">
        <v>4525</v>
      </c>
      <c r="C619" s="2">
        <v>70275.88</v>
      </c>
      <c r="D619" s="1">
        <v>44341</v>
      </c>
      <c r="E619" t="str">
        <f>"202105173248"</f>
        <v>202105173248</v>
      </c>
      <c r="F619" t="str">
        <f>"289D Skid Steer"</f>
        <v>289D Skid Steer</v>
      </c>
      <c r="G619" s="2">
        <v>69882</v>
      </c>
      <c r="H619" t="str">
        <f>"289D Skid Steer"</f>
        <v>289D Skid Steer</v>
      </c>
    </row>
    <row r="620" spans="1:8" x14ac:dyDescent="0.25">
      <c r="E620" t="str">
        <f>"PIMA0353889"</f>
        <v>PIMA0353889</v>
      </c>
      <c r="F620" t="str">
        <f>"CUST#0129150/PCT#3"</f>
        <v>CUST#0129150/PCT#3</v>
      </c>
      <c r="G620" s="2">
        <v>7.84</v>
      </c>
      <c r="H620" t="str">
        <f>"CUST#0129150/PCT#3"</f>
        <v>CUST#0129150/PCT#3</v>
      </c>
    </row>
    <row r="621" spans="1:8" x14ac:dyDescent="0.25">
      <c r="E621" t="str">
        <f>"PIMA0353998"</f>
        <v>PIMA0353998</v>
      </c>
      <c r="F621" t="str">
        <f>"CUST#0129150/PCT#3"</f>
        <v>CUST#0129150/PCT#3</v>
      </c>
      <c r="G621" s="2">
        <v>386.04</v>
      </c>
      <c r="H621" t="str">
        <f>"CUST#0129150/PCT#3"</f>
        <v>CUST#0129150/PCT#3</v>
      </c>
    </row>
    <row r="622" spans="1:8" x14ac:dyDescent="0.25">
      <c r="A622" t="s">
        <v>147</v>
      </c>
      <c r="B622">
        <v>135500</v>
      </c>
      <c r="C622" s="2">
        <v>2109.04</v>
      </c>
      <c r="D622" s="1">
        <v>44326</v>
      </c>
      <c r="E622" t="str">
        <f>"202105043001"</f>
        <v>202105043001</v>
      </c>
      <c r="F622" t="str">
        <f>"Statement"</f>
        <v>Statement</v>
      </c>
      <c r="G622" s="2">
        <v>2109.04</v>
      </c>
      <c r="H622" t="str">
        <f>"5515427"</f>
        <v>5515427</v>
      </c>
    </row>
    <row r="623" spans="1:8" x14ac:dyDescent="0.25">
      <c r="E623" t="str">
        <f>""</f>
        <v/>
      </c>
      <c r="F623" t="str">
        <f>""</f>
        <v/>
      </c>
      <c r="H623" t="str">
        <f>"3014056"</f>
        <v>3014056</v>
      </c>
    </row>
    <row r="624" spans="1:8" x14ac:dyDescent="0.25">
      <c r="E624" t="str">
        <f>""</f>
        <v/>
      </c>
      <c r="F624" t="str">
        <f>""</f>
        <v/>
      </c>
      <c r="H624" t="str">
        <f>"3023578"</f>
        <v>3023578</v>
      </c>
    </row>
    <row r="625" spans="5:8" x14ac:dyDescent="0.25">
      <c r="E625" t="str">
        <f>""</f>
        <v/>
      </c>
      <c r="F625" t="str">
        <f>""</f>
        <v/>
      </c>
      <c r="H625" t="str">
        <f>"3524452"</f>
        <v>3524452</v>
      </c>
    </row>
    <row r="626" spans="5:8" x14ac:dyDescent="0.25">
      <c r="E626" t="str">
        <f>""</f>
        <v/>
      </c>
      <c r="F626" t="str">
        <f>""</f>
        <v/>
      </c>
      <c r="H626" t="str">
        <f>"6014527"</f>
        <v>6014527</v>
      </c>
    </row>
    <row r="627" spans="5:8" x14ac:dyDescent="0.25">
      <c r="E627" t="str">
        <f>""</f>
        <v/>
      </c>
      <c r="F627" t="str">
        <f>""</f>
        <v/>
      </c>
      <c r="H627" t="str">
        <f>"5024415"</f>
        <v>5024415</v>
      </c>
    </row>
    <row r="628" spans="5:8" x14ac:dyDescent="0.25">
      <c r="E628" t="str">
        <f>""</f>
        <v/>
      </c>
      <c r="F628" t="str">
        <f>""</f>
        <v/>
      </c>
      <c r="H628" t="str">
        <f>"2015635"</f>
        <v>2015635</v>
      </c>
    </row>
    <row r="629" spans="5:8" x14ac:dyDescent="0.25">
      <c r="E629" t="str">
        <f>""</f>
        <v/>
      </c>
      <c r="F629" t="str">
        <f>""</f>
        <v/>
      </c>
      <c r="H629" t="str">
        <f>"1015706"</f>
        <v>1015706</v>
      </c>
    </row>
    <row r="630" spans="5:8" x14ac:dyDescent="0.25">
      <c r="E630" t="str">
        <f>""</f>
        <v/>
      </c>
      <c r="F630" t="str">
        <f>""</f>
        <v/>
      </c>
      <c r="H630" t="str">
        <f>"5026233"</f>
        <v>5026233</v>
      </c>
    </row>
    <row r="631" spans="5:8" x14ac:dyDescent="0.25">
      <c r="E631" t="str">
        <f>""</f>
        <v/>
      </c>
      <c r="F631" t="str">
        <f>""</f>
        <v/>
      </c>
      <c r="H631" t="str">
        <f>"1523434"</f>
        <v>1523434</v>
      </c>
    </row>
    <row r="632" spans="5:8" x14ac:dyDescent="0.25">
      <c r="E632" t="str">
        <f>""</f>
        <v/>
      </c>
      <c r="F632" t="str">
        <f>""</f>
        <v/>
      </c>
      <c r="H632" t="str">
        <f>"6141644"</f>
        <v>6141644</v>
      </c>
    </row>
    <row r="633" spans="5:8" x14ac:dyDescent="0.25">
      <c r="E633" t="str">
        <f>""</f>
        <v/>
      </c>
      <c r="F633" t="str">
        <f>""</f>
        <v/>
      </c>
      <c r="H633" t="str">
        <f>"6974519"</f>
        <v>6974519</v>
      </c>
    </row>
    <row r="634" spans="5:8" x14ac:dyDescent="0.25">
      <c r="E634" t="str">
        <f>""</f>
        <v/>
      </c>
      <c r="F634" t="str">
        <f>""</f>
        <v/>
      </c>
      <c r="H634" t="str">
        <f>"9141717"</f>
        <v>9141717</v>
      </c>
    </row>
    <row r="635" spans="5:8" x14ac:dyDescent="0.25">
      <c r="E635" t="str">
        <f>""</f>
        <v/>
      </c>
      <c r="F635" t="str">
        <f>""</f>
        <v/>
      </c>
      <c r="H635" t="str">
        <f>"6023425"</f>
        <v>6023425</v>
      </c>
    </row>
    <row r="636" spans="5:8" x14ac:dyDescent="0.25">
      <c r="E636" t="str">
        <f>""</f>
        <v/>
      </c>
      <c r="F636" t="str">
        <f>""</f>
        <v/>
      </c>
      <c r="H636" t="str">
        <f>"9141717"</f>
        <v>9141717</v>
      </c>
    </row>
    <row r="637" spans="5:8" x14ac:dyDescent="0.25">
      <c r="E637" t="str">
        <f>""</f>
        <v/>
      </c>
      <c r="F637" t="str">
        <f>""</f>
        <v/>
      </c>
      <c r="H637" t="str">
        <f>"8514482"</f>
        <v>8514482</v>
      </c>
    </row>
    <row r="638" spans="5:8" x14ac:dyDescent="0.25">
      <c r="E638" t="str">
        <f>""</f>
        <v/>
      </c>
      <c r="F638" t="str">
        <f>""</f>
        <v/>
      </c>
      <c r="H638" t="str">
        <f>"1015741"</f>
        <v>1015741</v>
      </c>
    </row>
    <row r="639" spans="5:8" x14ac:dyDescent="0.25">
      <c r="E639" t="str">
        <f>""</f>
        <v/>
      </c>
      <c r="F639" t="str">
        <f>""</f>
        <v/>
      </c>
      <c r="H639" t="str">
        <f>"5515444"</f>
        <v>5515444</v>
      </c>
    </row>
    <row r="640" spans="5:8" x14ac:dyDescent="0.25">
      <c r="E640" t="str">
        <f>""</f>
        <v/>
      </c>
      <c r="F640" t="str">
        <f>""</f>
        <v/>
      </c>
      <c r="H640" t="str">
        <f>"1141543"</f>
        <v>1141543</v>
      </c>
    </row>
    <row r="641" spans="1:8" x14ac:dyDescent="0.25">
      <c r="E641" t="str">
        <f>""</f>
        <v/>
      </c>
      <c r="F641" t="str">
        <f>""</f>
        <v/>
      </c>
      <c r="H641" t="str">
        <f>"2044329"</f>
        <v>2044329</v>
      </c>
    </row>
    <row r="642" spans="1:8" x14ac:dyDescent="0.25">
      <c r="A642" t="s">
        <v>148</v>
      </c>
      <c r="B642">
        <v>4436</v>
      </c>
      <c r="C642" s="2">
        <v>305</v>
      </c>
      <c r="D642" s="1">
        <v>44327</v>
      </c>
      <c r="E642" t="str">
        <f>"0552069663"</f>
        <v>0552069663</v>
      </c>
      <c r="F642" t="str">
        <f>"CUST#212645"</f>
        <v>CUST#212645</v>
      </c>
      <c r="G642" s="2">
        <v>90</v>
      </c>
      <c r="H642" t="str">
        <f>"CUST#212645"</f>
        <v>CUST#212645</v>
      </c>
    </row>
    <row r="643" spans="1:8" x14ac:dyDescent="0.25">
      <c r="E643" t="str">
        <f>"0552071954"</f>
        <v>0552071954</v>
      </c>
      <c r="F643" t="str">
        <f>"CUST#212645"</f>
        <v>CUST#212645</v>
      </c>
      <c r="G643" s="2">
        <v>215</v>
      </c>
      <c r="H643" t="str">
        <f>"CUST#212645"</f>
        <v>CUST#212645</v>
      </c>
    </row>
    <row r="644" spans="1:8" x14ac:dyDescent="0.25">
      <c r="A644" t="s">
        <v>149</v>
      </c>
      <c r="B644">
        <v>4513</v>
      </c>
      <c r="C644" s="2">
        <v>370</v>
      </c>
      <c r="D644" s="1">
        <v>44341</v>
      </c>
      <c r="E644" t="str">
        <f>"SL2020-02-00861"</f>
        <v>SL2020-02-00861</v>
      </c>
      <c r="F644" t="str">
        <f>"SHELTERLUV SOFTWARE/ANIMAL"</f>
        <v>SHELTERLUV SOFTWARE/ANIMAL</v>
      </c>
      <c r="G644" s="2">
        <v>370</v>
      </c>
      <c r="H644" t="str">
        <f>"SHELTERLUV SOFTWARE/ANIMAL"</f>
        <v>SHELTERLUV SOFTWARE/ANIMAL</v>
      </c>
    </row>
    <row r="645" spans="1:8" x14ac:dyDescent="0.25">
      <c r="A645" t="s">
        <v>150</v>
      </c>
      <c r="B645">
        <v>135501</v>
      </c>
      <c r="C645" s="2">
        <v>4348.55</v>
      </c>
      <c r="D645" s="1">
        <v>44326</v>
      </c>
      <c r="E645" t="str">
        <f>"WI-30608-C4X0"</f>
        <v>WI-30608-C4X0</v>
      </c>
      <c r="F645" t="str">
        <f>"AGREEMENT#001725"</f>
        <v>AGREEMENT#001725</v>
      </c>
      <c r="G645" s="2">
        <v>2374</v>
      </c>
      <c r="H645" t="str">
        <f>"AGREEMENT#001725"</f>
        <v>AGREEMENT#001725</v>
      </c>
    </row>
    <row r="646" spans="1:8" x14ac:dyDescent="0.25">
      <c r="E646" t="str">
        <f>"WI-30889-N9F0"</f>
        <v>WI-30889-N9F0</v>
      </c>
      <c r="F646" t="str">
        <f>"MIKE FISHER BULD."</f>
        <v>MIKE FISHER BULD.</v>
      </c>
      <c r="G646" s="2">
        <v>918.75</v>
      </c>
      <c r="H646" t="str">
        <f>"MIKE FISHER BULD."</f>
        <v>MIKE FISHER BULD.</v>
      </c>
    </row>
    <row r="647" spans="1:8" x14ac:dyDescent="0.25">
      <c r="E647" t="str">
        <f>"WI-30953-J4C3"</f>
        <v>WI-30953-J4C3</v>
      </c>
      <c r="F647" t="str">
        <f>"INV WI-30953-J4C3"</f>
        <v>INV WI-30953-J4C3</v>
      </c>
      <c r="G647" s="2">
        <v>810</v>
      </c>
      <c r="H647" t="str">
        <f>"INV WI-30953-J4C3"</f>
        <v>INV WI-30953-J4C3</v>
      </c>
    </row>
    <row r="648" spans="1:8" x14ac:dyDescent="0.25">
      <c r="E648" t="str">
        <f>"WI-30980-J7Z9"</f>
        <v>WI-30980-J7Z9</v>
      </c>
      <c r="F648" t="str">
        <f>"REPALCE 2 SUCTION TEMP SENSORS"</f>
        <v>REPALCE 2 SUCTION TEMP SENSORS</v>
      </c>
      <c r="G648" s="2">
        <v>245.8</v>
      </c>
      <c r="H648" t="str">
        <f>"REPALCE 2 SUCTION TEMP SENSORS"</f>
        <v>REPALCE 2 SUCTION TEMP SENSORS</v>
      </c>
    </row>
    <row r="649" spans="1:8" x14ac:dyDescent="0.25">
      <c r="A649" t="s">
        <v>151</v>
      </c>
      <c r="B649">
        <v>4491</v>
      </c>
      <c r="C649" s="2">
        <v>41</v>
      </c>
      <c r="D649" s="1">
        <v>44341</v>
      </c>
      <c r="E649" t="str">
        <f>"206854"</f>
        <v>206854</v>
      </c>
      <c r="F649" t="str">
        <f>"HIGH PRESSURE HOSE/PCT#1"</f>
        <v>HIGH PRESSURE HOSE/PCT#1</v>
      </c>
      <c r="G649" s="2">
        <v>41</v>
      </c>
      <c r="H649" t="str">
        <f>"HIGH PRESSURE HOSE/PCT#1"</f>
        <v>HIGH PRESSURE HOSE/PCT#1</v>
      </c>
    </row>
    <row r="650" spans="1:8" x14ac:dyDescent="0.25">
      <c r="A650" t="s">
        <v>152</v>
      </c>
      <c r="B650">
        <v>4399</v>
      </c>
      <c r="C650" s="2">
        <v>168.48</v>
      </c>
      <c r="D650" s="1">
        <v>44327</v>
      </c>
      <c r="E650" t="str">
        <f>"33005459"</f>
        <v>33005459</v>
      </c>
      <c r="F650" t="str">
        <f>"INV 33005459"</f>
        <v>INV 33005459</v>
      </c>
      <c r="G650" s="2">
        <v>168.48</v>
      </c>
      <c r="H650" t="str">
        <f>"INV 33005459"</f>
        <v>INV 33005459</v>
      </c>
    </row>
    <row r="651" spans="1:8" x14ac:dyDescent="0.25">
      <c r="A651" t="s">
        <v>153</v>
      </c>
      <c r="B651">
        <v>135502</v>
      </c>
      <c r="C651" s="2">
        <v>136</v>
      </c>
      <c r="D651" s="1">
        <v>44326</v>
      </c>
      <c r="E651" t="str">
        <f>"3083264077"</f>
        <v>3083264077</v>
      </c>
      <c r="F651" t="str">
        <f>"ACCT#187947"</f>
        <v>ACCT#187947</v>
      </c>
      <c r="G651" s="2">
        <v>68</v>
      </c>
      <c r="H651" t="str">
        <f>"ACCT#187947"</f>
        <v>ACCT#187947</v>
      </c>
    </row>
    <row r="652" spans="1:8" x14ac:dyDescent="0.25">
      <c r="E652" t="str">
        <f>"308367554"</f>
        <v>308367554</v>
      </c>
      <c r="F652" t="str">
        <f>"ACCT#187947"</f>
        <v>ACCT#187947</v>
      </c>
      <c r="G652" s="2">
        <v>68</v>
      </c>
      <c r="H652" t="str">
        <f>"ACCT#187947"</f>
        <v>ACCT#187947</v>
      </c>
    </row>
    <row r="653" spans="1:8" x14ac:dyDescent="0.25">
      <c r="A653" t="s">
        <v>154</v>
      </c>
      <c r="B653">
        <v>4437</v>
      </c>
      <c r="C653" s="2">
        <v>12191</v>
      </c>
      <c r="D653" s="1">
        <v>44327</v>
      </c>
      <c r="E653" t="str">
        <f>"8200"</f>
        <v>8200</v>
      </c>
      <c r="F653" t="str">
        <f>"INDUSTRIAL LAMINATES CORPORATI"</f>
        <v>INDUSTRIAL LAMINATES CORPORATI</v>
      </c>
      <c r="G653" s="2">
        <v>12191</v>
      </c>
      <c r="H653" t="str">
        <f>"DEMO &amp; LABOR"</f>
        <v>DEMO &amp; LABOR</v>
      </c>
    </row>
    <row r="654" spans="1:8" x14ac:dyDescent="0.25">
      <c r="E654" t="str">
        <f>""</f>
        <v/>
      </c>
      <c r="F654" t="str">
        <f>""</f>
        <v/>
      </c>
      <c r="H654" t="str">
        <f>"PLUMBING"</f>
        <v>PLUMBING</v>
      </c>
    </row>
    <row r="655" spans="1:8" x14ac:dyDescent="0.25">
      <c r="E655" t="str">
        <f>""</f>
        <v/>
      </c>
      <c r="F655" t="str">
        <f>""</f>
        <v/>
      </c>
      <c r="H655" t="str">
        <f>"MATERIALS"</f>
        <v>MATERIALS</v>
      </c>
    </row>
    <row r="656" spans="1:8" x14ac:dyDescent="0.25">
      <c r="E656" t="str">
        <f>""</f>
        <v/>
      </c>
      <c r="F656" t="str">
        <f>""</f>
        <v/>
      </c>
      <c r="H656" t="str">
        <f>"DUMPSTER"</f>
        <v>DUMPSTER</v>
      </c>
    </row>
    <row r="657" spans="1:8" x14ac:dyDescent="0.25">
      <c r="A657" t="s">
        <v>154</v>
      </c>
      <c r="B657">
        <v>4516</v>
      </c>
      <c r="C657" s="2">
        <v>4802</v>
      </c>
      <c r="D657" s="1">
        <v>44341</v>
      </c>
      <c r="E657" t="str">
        <f>"202105183318"</f>
        <v>202105183318</v>
      </c>
      <c r="F657" t="str">
        <f>"INDUSTRIAL LAMINATES CORPORATI"</f>
        <v>INDUSTRIAL LAMINATES CORPORATI</v>
      </c>
      <c r="G657" s="2">
        <v>4802</v>
      </c>
      <c r="H657" t="str">
        <f>"Retainage Release"</f>
        <v>Retainage Release</v>
      </c>
    </row>
    <row r="658" spans="1:8" x14ac:dyDescent="0.25">
      <c r="A658" t="s">
        <v>155</v>
      </c>
      <c r="B658">
        <v>4533</v>
      </c>
      <c r="C658" s="2">
        <v>2430</v>
      </c>
      <c r="D658" s="1">
        <v>44341</v>
      </c>
      <c r="E658" t="str">
        <f>"71653"</f>
        <v>71653</v>
      </c>
      <c r="F658" t="str">
        <f>"PROFESSIONAL SRVS/JUNE 2021"</f>
        <v>PROFESSIONAL SRVS/JUNE 2021</v>
      </c>
      <c r="G658" s="2">
        <v>2430</v>
      </c>
      <c r="H658" t="str">
        <f>"PROFESSIONAL SRVS/JUNE 2021"</f>
        <v>PROFESSIONAL SRVS/JUNE 2021</v>
      </c>
    </row>
    <row r="659" spans="1:8" x14ac:dyDescent="0.25">
      <c r="E659" t="str">
        <f>""</f>
        <v/>
      </c>
      <c r="F659" t="str">
        <f>""</f>
        <v/>
      </c>
      <c r="H659" t="str">
        <f>"PROFESSIONAL SRVS/JUNE 2021"</f>
        <v>PROFESSIONAL SRVS/JUNE 2021</v>
      </c>
    </row>
    <row r="660" spans="1:8" x14ac:dyDescent="0.25">
      <c r="A660" t="s">
        <v>156</v>
      </c>
      <c r="B660">
        <v>135503</v>
      </c>
      <c r="C660" s="2">
        <v>171.04</v>
      </c>
      <c r="D660" s="1">
        <v>44326</v>
      </c>
      <c r="E660" t="str">
        <f>"DNKL922"</f>
        <v>DNKL922</v>
      </c>
      <c r="F660" t="str">
        <f>"CUST#AX773/COUNTY CLERK"</f>
        <v>CUST#AX773/COUNTY CLERK</v>
      </c>
      <c r="G660" s="2">
        <v>171.04</v>
      </c>
      <c r="H660" t="str">
        <f>"CUST#AX773/COUNTY CLERK"</f>
        <v>CUST#AX773/COUNTY CLERK</v>
      </c>
    </row>
    <row r="661" spans="1:8" x14ac:dyDescent="0.25">
      <c r="A661" t="s">
        <v>157</v>
      </c>
      <c r="B661">
        <v>135635</v>
      </c>
      <c r="C661" s="2">
        <v>135</v>
      </c>
      <c r="D661" s="1">
        <v>44340</v>
      </c>
      <c r="E661" t="str">
        <f>"202105183321"</f>
        <v>202105183321</v>
      </c>
      <c r="F661" t="str">
        <f>"PER DEIM"</f>
        <v>PER DEIM</v>
      </c>
      <c r="G661" s="2">
        <v>135</v>
      </c>
      <c r="H661" t="str">
        <f>"PER DEIM"</f>
        <v>PER DEIM</v>
      </c>
    </row>
    <row r="662" spans="1:8" x14ac:dyDescent="0.25">
      <c r="A662" t="s">
        <v>158</v>
      </c>
      <c r="B662">
        <v>135504</v>
      </c>
      <c r="C662" s="2">
        <v>140</v>
      </c>
      <c r="D662" s="1">
        <v>44326</v>
      </c>
      <c r="E662" t="str">
        <f>"12763"</f>
        <v>12763</v>
      </c>
      <c r="F662" t="str">
        <f>"SERVICE"</f>
        <v>SERVICE</v>
      </c>
      <c r="G662" s="2">
        <v>140</v>
      </c>
      <c r="H662" t="str">
        <f>"SERVICE"</f>
        <v>SERVICE</v>
      </c>
    </row>
    <row r="663" spans="1:8" x14ac:dyDescent="0.25">
      <c r="A663" t="s">
        <v>159</v>
      </c>
      <c r="B663">
        <v>4466</v>
      </c>
      <c r="C663" s="2">
        <v>1100</v>
      </c>
      <c r="D663" s="1">
        <v>44327</v>
      </c>
      <c r="E663" t="str">
        <f>"12159"</f>
        <v>12159</v>
      </c>
      <c r="F663" t="str">
        <f>"AD LITEM FEE"</f>
        <v>AD LITEM FEE</v>
      </c>
      <c r="G663" s="2">
        <v>150</v>
      </c>
      <c r="H663" t="str">
        <f>"AD LITEM FEE"</f>
        <v>AD LITEM FEE</v>
      </c>
    </row>
    <row r="664" spans="1:8" x14ac:dyDescent="0.25">
      <c r="E664" t="str">
        <f>"12763"</f>
        <v>12763</v>
      </c>
      <c r="F664" t="str">
        <f>"AS LITEM FEE"</f>
        <v>AS LITEM FEE</v>
      </c>
      <c r="G664" s="2">
        <v>150</v>
      </c>
      <c r="H664" t="str">
        <f>"AS LITEM FEE"</f>
        <v>AS LITEM FEE</v>
      </c>
    </row>
    <row r="665" spans="1:8" x14ac:dyDescent="0.25">
      <c r="E665" t="str">
        <f>"202104282856"</f>
        <v>202104282856</v>
      </c>
      <c r="F665" t="str">
        <f>"57-573"</f>
        <v>57-573</v>
      </c>
      <c r="G665" s="2">
        <v>250</v>
      </c>
      <c r="H665" t="str">
        <f>"57-573"</f>
        <v>57-573</v>
      </c>
    </row>
    <row r="666" spans="1:8" x14ac:dyDescent="0.25">
      <c r="E666" t="str">
        <f>"202104282875"</f>
        <v>202104282875</v>
      </c>
      <c r="F666" t="str">
        <f>"20-20110"</f>
        <v>20-20110</v>
      </c>
      <c r="G666" s="2">
        <v>300</v>
      </c>
      <c r="H666" t="str">
        <f>"20-20110"</f>
        <v>20-20110</v>
      </c>
    </row>
    <row r="667" spans="1:8" x14ac:dyDescent="0.25">
      <c r="E667" t="str">
        <f>"202105032919"</f>
        <v>202105032919</v>
      </c>
      <c r="F667" t="str">
        <f>"JP112072020C"</f>
        <v>JP112072020C</v>
      </c>
      <c r="G667" s="2">
        <v>250</v>
      </c>
      <c r="H667" t="str">
        <f>"JP112072020C"</f>
        <v>JP112072020C</v>
      </c>
    </row>
    <row r="668" spans="1:8" x14ac:dyDescent="0.25">
      <c r="A668" t="s">
        <v>159</v>
      </c>
      <c r="B668">
        <v>4542</v>
      </c>
      <c r="C668" s="2">
        <v>300</v>
      </c>
      <c r="D668" s="1">
        <v>44341</v>
      </c>
      <c r="E668" t="str">
        <f>"202105133196"</f>
        <v>202105133196</v>
      </c>
      <c r="F668" t="str">
        <f>"20-20208"</f>
        <v>20-20208</v>
      </c>
      <c r="G668" s="2">
        <v>300</v>
      </c>
      <c r="H668" t="str">
        <f>"20-20208"</f>
        <v>20-20208</v>
      </c>
    </row>
    <row r="669" spans="1:8" x14ac:dyDescent="0.25">
      <c r="A669" t="s">
        <v>160</v>
      </c>
      <c r="B669">
        <v>4427</v>
      </c>
      <c r="C669" s="2">
        <v>150</v>
      </c>
      <c r="D669" s="1">
        <v>44327</v>
      </c>
      <c r="E669" t="str">
        <f>"202105032897"</f>
        <v>202105032897</v>
      </c>
      <c r="F669" t="str">
        <f>"TRAVEL ADVANCE/JO DAWN BOMAR"</f>
        <v>TRAVEL ADVANCE/JO DAWN BOMAR</v>
      </c>
      <c r="G669" s="2">
        <v>150</v>
      </c>
      <c r="H669" t="str">
        <f>"TRAVEL ADVANCE/JO DAWN BOMAR"</f>
        <v>TRAVEL ADVANCE/JO DAWN BOMAR</v>
      </c>
    </row>
    <row r="670" spans="1:8" x14ac:dyDescent="0.25">
      <c r="A670" t="s">
        <v>161</v>
      </c>
      <c r="B670">
        <v>135636</v>
      </c>
      <c r="C670" s="2">
        <v>15</v>
      </c>
      <c r="D670" s="1">
        <v>44340</v>
      </c>
      <c r="E670" t="str">
        <f>"202105183330"</f>
        <v>202105183330</v>
      </c>
      <c r="F670" t="str">
        <f>"JOHNNA GRIFFITH"</f>
        <v>JOHNNA GRIFFITH</v>
      </c>
      <c r="G670" s="2">
        <v>15</v>
      </c>
      <c r="H670" t="str">
        <f>""</f>
        <v/>
      </c>
    </row>
    <row r="671" spans="1:8" x14ac:dyDescent="0.25">
      <c r="A671" t="s">
        <v>162</v>
      </c>
      <c r="B671">
        <v>135637</v>
      </c>
      <c r="C671" s="2">
        <v>10</v>
      </c>
      <c r="D671" s="1">
        <v>44340</v>
      </c>
      <c r="E671" t="str">
        <f>"202105183295"</f>
        <v>202105183295</v>
      </c>
      <c r="F671" t="str">
        <f>"REIMBURSEMENT/JOHNNIE SCHROEDE"</f>
        <v>REIMBURSEMENT/JOHNNIE SCHROEDE</v>
      </c>
      <c r="G671" s="2">
        <v>10</v>
      </c>
      <c r="H671" t="str">
        <f>"REIMBURSEMENT/JOHNNIE SCHROEDE"</f>
        <v>REIMBURSEMENT/JOHNNIE SCHROEDE</v>
      </c>
    </row>
    <row r="672" spans="1:8" x14ac:dyDescent="0.25">
      <c r="A672" t="s">
        <v>163</v>
      </c>
      <c r="B672">
        <v>135505</v>
      </c>
      <c r="C672" s="2">
        <v>60.78</v>
      </c>
      <c r="D672" s="1">
        <v>44326</v>
      </c>
      <c r="E672" t="str">
        <f>"202105043011"</f>
        <v>202105043011</v>
      </c>
      <c r="F672" t="str">
        <f>"REIMBURSEMENT"</f>
        <v>REIMBURSEMENT</v>
      </c>
      <c r="G672" s="2">
        <v>60.78</v>
      </c>
      <c r="H672" t="str">
        <f>"REIMBURSEMENT"</f>
        <v>REIMBURSEMENT</v>
      </c>
    </row>
    <row r="673" spans="1:8" x14ac:dyDescent="0.25">
      <c r="A673" t="s">
        <v>164</v>
      </c>
      <c r="B673">
        <v>4407</v>
      </c>
      <c r="C673" s="2">
        <v>400</v>
      </c>
      <c r="D673" s="1">
        <v>44327</v>
      </c>
      <c r="E673" t="str">
        <f>"202105042997"</f>
        <v>202105042997</v>
      </c>
      <c r="F673" t="str">
        <f>"TOWER MOWING SRVS/OEM"</f>
        <v>TOWER MOWING SRVS/OEM</v>
      </c>
      <c r="G673" s="2">
        <v>400</v>
      </c>
      <c r="H673" t="str">
        <f>"TOWER MOWING SRVS/OEM"</f>
        <v>TOWER MOWING SRVS/OEM</v>
      </c>
    </row>
    <row r="674" spans="1:8" x14ac:dyDescent="0.25">
      <c r="A674" t="s">
        <v>165</v>
      </c>
      <c r="B674">
        <v>4458</v>
      </c>
      <c r="C674" s="2">
        <v>2150</v>
      </c>
      <c r="D674" s="1">
        <v>44327</v>
      </c>
      <c r="E674" t="str">
        <f>"202105032952"</f>
        <v>202105032952</v>
      </c>
      <c r="F674" t="str">
        <f>"JP101062021G"</f>
        <v>JP101062021G</v>
      </c>
      <c r="G674" s="2">
        <v>250</v>
      </c>
      <c r="H674" t="str">
        <f>"JP101062021G"</f>
        <v>JP101062021G</v>
      </c>
    </row>
    <row r="675" spans="1:8" x14ac:dyDescent="0.25">
      <c r="E675" t="str">
        <f>"202105032953"</f>
        <v>202105032953</v>
      </c>
      <c r="F675" t="str">
        <f>"57469"</f>
        <v>57469</v>
      </c>
      <c r="G675" s="2">
        <v>350</v>
      </c>
      <c r="H675" t="str">
        <f>"57469"</f>
        <v>57469</v>
      </c>
    </row>
    <row r="676" spans="1:8" x14ac:dyDescent="0.25">
      <c r="E676" t="str">
        <f>"202105032954"</f>
        <v>202105032954</v>
      </c>
      <c r="F676" t="str">
        <f>"57000"</f>
        <v>57000</v>
      </c>
      <c r="G676" s="2">
        <v>250</v>
      </c>
      <c r="H676" t="str">
        <f>"57000"</f>
        <v>57000</v>
      </c>
    </row>
    <row r="677" spans="1:8" x14ac:dyDescent="0.25">
      <c r="E677" t="str">
        <f>"202105042989"</f>
        <v>202105042989</v>
      </c>
      <c r="F677" t="str">
        <f>"3102720202A"</f>
        <v>3102720202A</v>
      </c>
      <c r="G677" s="2">
        <v>400</v>
      </c>
      <c r="H677" t="str">
        <f>"3102720202A"</f>
        <v>3102720202A</v>
      </c>
    </row>
    <row r="678" spans="1:8" x14ac:dyDescent="0.25">
      <c r="E678" t="str">
        <f>"202105042990"</f>
        <v>202105042990</v>
      </c>
      <c r="F678" t="str">
        <f>"412099.1"</f>
        <v>412099.1</v>
      </c>
      <c r="G678" s="2">
        <v>400</v>
      </c>
      <c r="H678" t="str">
        <f>"412099.1"</f>
        <v>412099.1</v>
      </c>
    </row>
    <row r="679" spans="1:8" x14ac:dyDescent="0.25">
      <c r="E679" t="str">
        <f>"202105042991"</f>
        <v>202105042991</v>
      </c>
      <c r="F679" t="str">
        <f>"4012121-10"</f>
        <v>4012121-10</v>
      </c>
      <c r="G679" s="2">
        <v>100</v>
      </c>
      <c r="H679" t="str">
        <f>"4012121-10"</f>
        <v>4012121-10</v>
      </c>
    </row>
    <row r="680" spans="1:8" x14ac:dyDescent="0.25">
      <c r="E680" t="str">
        <f>"202105042992"</f>
        <v>202105042992</v>
      </c>
      <c r="F680" t="str">
        <f>"17232"</f>
        <v>17232</v>
      </c>
      <c r="G680" s="2">
        <v>400</v>
      </c>
      <c r="H680" t="str">
        <f>"17232"</f>
        <v>17232</v>
      </c>
    </row>
    <row r="681" spans="1:8" x14ac:dyDescent="0.25">
      <c r="A681" t="s">
        <v>165</v>
      </c>
      <c r="B681">
        <v>4537</v>
      </c>
      <c r="C681" s="2">
        <v>2300</v>
      </c>
      <c r="D681" s="1">
        <v>44341</v>
      </c>
      <c r="E681" t="str">
        <f>"202105133195"</f>
        <v>202105133195</v>
      </c>
      <c r="F681" t="str">
        <f>"16873"</f>
        <v>16873</v>
      </c>
      <c r="G681" s="2">
        <v>400</v>
      </c>
      <c r="H681" t="str">
        <f>"16873"</f>
        <v>16873</v>
      </c>
    </row>
    <row r="682" spans="1:8" x14ac:dyDescent="0.25">
      <c r="E682" t="str">
        <f>"202105133218"</f>
        <v>202105133218</v>
      </c>
      <c r="F682" t="str">
        <f>"57824"</f>
        <v>57824</v>
      </c>
      <c r="G682" s="2">
        <v>250</v>
      </c>
      <c r="H682" t="str">
        <f>"57824"</f>
        <v>57824</v>
      </c>
    </row>
    <row r="683" spans="1:8" x14ac:dyDescent="0.25">
      <c r="E683" t="str">
        <f>"202105133219"</f>
        <v>202105133219</v>
      </c>
      <c r="F683" t="str">
        <f>"54019"</f>
        <v>54019</v>
      </c>
      <c r="G683" s="2">
        <v>250</v>
      </c>
      <c r="H683" t="str">
        <f>"54019"</f>
        <v>54019</v>
      </c>
    </row>
    <row r="684" spans="1:8" x14ac:dyDescent="0.25">
      <c r="E684" t="str">
        <f>"202105133220"</f>
        <v>202105133220</v>
      </c>
      <c r="F684" t="str">
        <f>"17106-31010201913"</f>
        <v>17106-31010201913</v>
      </c>
      <c r="G684" s="2">
        <v>600</v>
      </c>
      <c r="H684" t="str">
        <f>"17106-31010201913"</f>
        <v>17106-31010201913</v>
      </c>
    </row>
    <row r="685" spans="1:8" x14ac:dyDescent="0.25">
      <c r="E685" t="str">
        <f>"202105133221"</f>
        <v>202105133221</v>
      </c>
      <c r="F685" t="str">
        <f>"16719"</f>
        <v>16719</v>
      </c>
      <c r="G685" s="2">
        <v>400</v>
      </c>
      <c r="H685" t="str">
        <f>"16719"</f>
        <v>16719</v>
      </c>
    </row>
    <row r="686" spans="1:8" x14ac:dyDescent="0.25">
      <c r="E686" t="str">
        <f>"202105133222"</f>
        <v>202105133222</v>
      </c>
      <c r="F686" t="str">
        <f>"16255"</f>
        <v>16255</v>
      </c>
      <c r="G686" s="2">
        <v>400</v>
      </c>
      <c r="H686" t="str">
        <f>"16255"</f>
        <v>16255</v>
      </c>
    </row>
    <row r="687" spans="1:8" x14ac:dyDescent="0.25">
      <c r="A687" t="s">
        <v>166</v>
      </c>
      <c r="B687">
        <v>135638</v>
      </c>
      <c r="C687" s="2">
        <v>25</v>
      </c>
      <c r="D687" s="1">
        <v>44340</v>
      </c>
      <c r="E687" t="str">
        <f>"8-898 4-26-21"</f>
        <v>8-898 4-26-21</v>
      </c>
      <c r="F687" t="str">
        <f>"RESTITUTION/JOHNNY HOFFMAN"</f>
        <v>RESTITUTION/JOHNNY HOFFMAN</v>
      </c>
      <c r="G687" s="2">
        <v>25</v>
      </c>
      <c r="H687" t="str">
        <f>"RESTITUTION/JOHNNY HOFFMAN"</f>
        <v>RESTITUTION/JOHNNY HOFFMAN</v>
      </c>
    </row>
    <row r="688" spans="1:8" x14ac:dyDescent="0.25">
      <c r="A688" t="s">
        <v>167</v>
      </c>
      <c r="B688">
        <v>135639</v>
      </c>
      <c r="C688" s="2">
        <v>1362.5</v>
      </c>
      <c r="D688" s="1">
        <v>44340</v>
      </c>
      <c r="E688" t="str">
        <f>"202105183312"</f>
        <v>202105183312</v>
      </c>
      <c r="F688" t="str">
        <f>"19-19967"</f>
        <v>19-19967</v>
      </c>
      <c r="G688" s="2">
        <v>148.75</v>
      </c>
      <c r="H688" t="str">
        <f>"19-19967"</f>
        <v>19-19967</v>
      </c>
    </row>
    <row r="689" spans="1:8" x14ac:dyDescent="0.25">
      <c r="E689" t="str">
        <f>"202105183313"</f>
        <v>202105183313</v>
      </c>
      <c r="F689" t="str">
        <f>"20-20227"</f>
        <v>20-20227</v>
      </c>
      <c r="G689" s="2">
        <v>300</v>
      </c>
      <c r="H689" t="str">
        <f>"20-20227"</f>
        <v>20-20227</v>
      </c>
    </row>
    <row r="690" spans="1:8" x14ac:dyDescent="0.25">
      <c r="E690" t="str">
        <f>"202105183314"</f>
        <v>202105183314</v>
      </c>
      <c r="F690" t="str">
        <f>"20-20060"</f>
        <v>20-20060</v>
      </c>
      <c r="G690" s="2">
        <v>502.5</v>
      </c>
      <c r="H690" t="str">
        <f>"20-20060"</f>
        <v>20-20060</v>
      </c>
    </row>
    <row r="691" spans="1:8" x14ac:dyDescent="0.25">
      <c r="E691" t="str">
        <f>"202105183315"</f>
        <v>202105183315</v>
      </c>
      <c r="F691" t="str">
        <f>"18-18836"</f>
        <v>18-18836</v>
      </c>
      <c r="G691" s="2">
        <v>206.25</v>
      </c>
      <c r="H691" t="str">
        <f>"18-18836"</f>
        <v>18-18836</v>
      </c>
    </row>
    <row r="692" spans="1:8" x14ac:dyDescent="0.25">
      <c r="E692" t="str">
        <f>"202105183316"</f>
        <v>202105183316</v>
      </c>
      <c r="F692" t="str">
        <f>"21-20677"</f>
        <v>21-20677</v>
      </c>
      <c r="G692" s="2">
        <v>205</v>
      </c>
      <c r="H692" t="str">
        <f>"21-20677"</f>
        <v>21-20677</v>
      </c>
    </row>
    <row r="693" spans="1:8" x14ac:dyDescent="0.25">
      <c r="A693" t="s">
        <v>168</v>
      </c>
      <c r="B693">
        <v>135506</v>
      </c>
      <c r="C693" s="2">
        <v>300</v>
      </c>
      <c r="D693" s="1">
        <v>44326</v>
      </c>
      <c r="E693" t="str">
        <f>"1134"</f>
        <v>1134</v>
      </c>
      <c r="F693" t="str">
        <f>"INTERPRETER"</f>
        <v>INTERPRETER</v>
      </c>
      <c r="G693" s="2">
        <v>300</v>
      </c>
      <c r="H693" t="str">
        <f>"INTERPRETER"</f>
        <v>INTERPRETER</v>
      </c>
    </row>
    <row r="694" spans="1:8" x14ac:dyDescent="0.25">
      <c r="A694" t="s">
        <v>168</v>
      </c>
      <c r="B694">
        <v>135640</v>
      </c>
      <c r="C694" s="2">
        <v>300</v>
      </c>
      <c r="D694" s="1">
        <v>44340</v>
      </c>
      <c r="E694" t="str">
        <f>"202105133227"</f>
        <v>202105133227</v>
      </c>
      <c r="F694" t="str">
        <f>"DOCKET/ESKEW"</f>
        <v>DOCKET/ESKEW</v>
      </c>
      <c r="G694" s="2">
        <v>300</v>
      </c>
      <c r="H694" t="str">
        <f>"DOCKET/ESKEW"</f>
        <v>DOCKET/ESKEW</v>
      </c>
    </row>
    <row r="695" spans="1:8" x14ac:dyDescent="0.25">
      <c r="A695" t="s">
        <v>169</v>
      </c>
      <c r="B695">
        <v>135507</v>
      </c>
      <c r="C695" s="2">
        <v>165</v>
      </c>
      <c r="D695" s="1">
        <v>44326</v>
      </c>
      <c r="E695" t="str">
        <f>"8152387"</f>
        <v>8152387</v>
      </c>
      <c r="F695" t="str">
        <f>"REAR COMBINATION LAMP/PCT#3"</f>
        <v>REAR COMBINATION LAMP/PCT#3</v>
      </c>
      <c r="G695" s="2">
        <v>165</v>
      </c>
      <c r="H695" t="str">
        <f>"REAR COMBINATION LAMP/PCT#3"</f>
        <v>REAR COMBINATION LAMP/PCT#3</v>
      </c>
    </row>
    <row r="696" spans="1:8" x14ac:dyDescent="0.25">
      <c r="A696" t="s">
        <v>170</v>
      </c>
      <c r="B696">
        <v>135641</v>
      </c>
      <c r="C696" s="2">
        <v>390</v>
      </c>
      <c r="D696" s="1">
        <v>44340</v>
      </c>
      <c r="E696" t="str">
        <f>"868442"</f>
        <v>868442</v>
      </c>
      <c r="F696" t="str">
        <f>"TRASH/MOWING/KENNETH LIMUEL"</f>
        <v>TRASH/MOWING/KENNETH LIMUEL</v>
      </c>
      <c r="G696" s="2">
        <v>390</v>
      </c>
      <c r="H696" t="str">
        <f>"TRASH/MOWING/KENNETH LIMUEL"</f>
        <v>TRASH/MOWING/KENNETH LIMUEL</v>
      </c>
    </row>
    <row r="697" spans="1:8" x14ac:dyDescent="0.25">
      <c r="A697" t="s">
        <v>171</v>
      </c>
      <c r="B697">
        <v>4450</v>
      </c>
      <c r="C697" s="2">
        <v>2717</v>
      </c>
      <c r="D697" s="1">
        <v>44327</v>
      </c>
      <c r="E697" t="str">
        <f>"428"</f>
        <v>428</v>
      </c>
      <c r="F697" t="str">
        <f>"TOWER RENTAL"</f>
        <v>TOWER RENTAL</v>
      </c>
      <c r="G697" s="2">
        <v>2717</v>
      </c>
      <c r="H697" t="str">
        <f>"TOWER RENTAL"</f>
        <v>TOWER RENTAL</v>
      </c>
    </row>
    <row r="698" spans="1:8" x14ac:dyDescent="0.25">
      <c r="A698" t="s">
        <v>172</v>
      </c>
      <c r="B698">
        <v>4409</v>
      </c>
      <c r="C698" s="2">
        <v>513.58000000000004</v>
      </c>
      <c r="D698" s="1">
        <v>44327</v>
      </c>
      <c r="E698" t="str">
        <f>"825627"</f>
        <v>825627</v>
      </c>
      <c r="F698" t="str">
        <f>"ACCT#101517"</f>
        <v>ACCT#101517</v>
      </c>
      <c r="G698" s="2">
        <v>513.58000000000004</v>
      </c>
      <c r="H698" t="str">
        <f>"ACCT#101517"</f>
        <v>ACCT#101517</v>
      </c>
    </row>
    <row r="699" spans="1:8" x14ac:dyDescent="0.25">
      <c r="A699" t="s">
        <v>172</v>
      </c>
      <c r="B699">
        <v>4484</v>
      </c>
      <c r="C699" s="2">
        <v>1800.38</v>
      </c>
      <c r="D699" s="1">
        <v>44341</v>
      </c>
      <c r="E699" t="str">
        <f>"824877"</f>
        <v>824877</v>
      </c>
      <c r="F699" t="str">
        <f>"CUST#10222"</f>
        <v>CUST#10222</v>
      </c>
      <c r="G699" s="2">
        <v>1800.38</v>
      </c>
      <c r="H699" t="str">
        <f>"CUST#10222"</f>
        <v>CUST#10222</v>
      </c>
    </row>
    <row r="700" spans="1:8" x14ac:dyDescent="0.25">
      <c r="A700" t="s">
        <v>173</v>
      </c>
      <c r="B700">
        <v>4494</v>
      </c>
      <c r="C700" s="2">
        <v>900</v>
      </c>
      <c r="D700" s="1">
        <v>44341</v>
      </c>
      <c r="E700" t="str">
        <f>"280560"</f>
        <v>280560</v>
      </c>
      <c r="F700" t="str">
        <f>"ACCT#1269-9983/MIKE FISHER BLD"</f>
        <v>ACCT#1269-9983/MIKE FISHER BLD</v>
      </c>
      <c r="G700" s="2">
        <v>420</v>
      </c>
      <c r="H700" t="str">
        <f>"ACCT#1269-9983/MIKE FISHER BLD"</f>
        <v>ACCT#1269-9983/MIKE FISHER BLD</v>
      </c>
    </row>
    <row r="701" spans="1:8" x14ac:dyDescent="0.25">
      <c r="E701" t="str">
        <f>"280819"</f>
        <v>280819</v>
      </c>
      <c r="F701" t="str">
        <f>"MIKE FISHER BLD/SMOKE DETECTOR"</f>
        <v>MIKE FISHER BLD/SMOKE DETECTOR</v>
      </c>
      <c r="G701" s="2">
        <v>480</v>
      </c>
      <c r="H701" t="str">
        <f>"MIKE FISHER BLD/SMOKE DETECTOR"</f>
        <v>MIKE FISHER BLD/SMOKE DETECTOR</v>
      </c>
    </row>
    <row r="702" spans="1:8" x14ac:dyDescent="0.25">
      <c r="A702" t="s">
        <v>174</v>
      </c>
      <c r="B702">
        <v>135508</v>
      </c>
      <c r="C702" s="2">
        <v>718.95</v>
      </c>
      <c r="D702" s="1">
        <v>44326</v>
      </c>
      <c r="E702" t="str">
        <f>"T301014950"</f>
        <v>T301014950</v>
      </c>
      <c r="F702" t="str">
        <f>"2019 INTERNATIONAL/PCT#1"</f>
        <v>2019 INTERNATIONAL/PCT#1</v>
      </c>
      <c r="G702" s="2">
        <v>718.95</v>
      </c>
      <c r="H702" t="str">
        <f>"2019 INTERNATIONAL/PCT#1"</f>
        <v>2019 INTERNATIONAL/PCT#1</v>
      </c>
    </row>
    <row r="703" spans="1:8" x14ac:dyDescent="0.25">
      <c r="A703" t="s">
        <v>175</v>
      </c>
      <c r="B703">
        <v>135642</v>
      </c>
      <c r="C703" s="2">
        <v>813.68</v>
      </c>
      <c r="D703" s="1">
        <v>44340</v>
      </c>
      <c r="E703" t="str">
        <f>"202105183317"</f>
        <v>202105183317</v>
      </c>
      <c r="F703" t="str">
        <f>"ACCT#1800/PCT#4"</f>
        <v>ACCT#1800/PCT#4</v>
      </c>
      <c r="G703" s="2">
        <v>325.54000000000002</v>
      </c>
      <c r="H703" t="str">
        <f>"ACCT#1800/PCT#4"</f>
        <v>ACCT#1800/PCT#4</v>
      </c>
    </row>
    <row r="704" spans="1:8" x14ac:dyDescent="0.25">
      <c r="E704" t="str">
        <f>"202105193367"</f>
        <v>202105193367</v>
      </c>
      <c r="F704" t="str">
        <f>"ACCT#1650/PCT#1"</f>
        <v>ACCT#1650/PCT#1</v>
      </c>
      <c r="G704" s="2">
        <v>397.32</v>
      </c>
      <c r="H704" t="str">
        <f>"ACCT#1650/PCT#1"</f>
        <v>ACCT#1650/PCT#1</v>
      </c>
    </row>
    <row r="705" spans="1:8" x14ac:dyDescent="0.25">
      <c r="E705" t="str">
        <f>"202507932"</f>
        <v>202507932</v>
      </c>
      <c r="F705" t="str">
        <f>"ACCT#1750/PCT#3"</f>
        <v>ACCT#1750/PCT#3</v>
      </c>
      <c r="G705" s="2">
        <v>90.82</v>
      </c>
      <c r="H705" t="str">
        <f>"ACCT#1750/PCT#3"</f>
        <v>ACCT#1750/PCT#3</v>
      </c>
    </row>
    <row r="706" spans="1:8" x14ac:dyDescent="0.25">
      <c r="A706" t="s">
        <v>176</v>
      </c>
      <c r="B706">
        <v>4404</v>
      </c>
      <c r="C706" s="2">
        <v>2586.08</v>
      </c>
      <c r="D706" s="1">
        <v>44327</v>
      </c>
      <c r="E706" t="str">
        <f>"04213856"</f>
        <v>04213856</v>
      </c>
      <c r="F706" t="str">
        <f>"INV 04213856  04284167"</f>
        <v>INV 04213856  04284167</v>
      </c>
      <c r="G706" s="2">
        <v>2586.08</v>
      </c>
      <c r="H706" t="str">
        <f>"INV 04213856"</f>
        <v>INV 04213856</v>
      </c>
    </row>
    <row r="707" spans="1:8" x14ac:dyDescent="0.25">
      <c r="E707" t="str">
        <f>""</f>
        <v/>
      </c>
      <c r="F707" t="str">
        <f>""</f>
        <v/>
      </c>
      <c r="H707" t="str">
        <f>"INV 04284167"</f>
        <v>INV 04284167</v>
      </c>
    </row>
    <row r="708" spans="1:8" x14ac:dyDescent="0.25">
      <c r="A708" t="s">
        <v>176</v>
      </c>
      <c r="B708">
        <v>4480</v>
      </c>
      <c r="C708" s="2">
        <v>1523.27</v>
      </c>
      <c r="D708" s="1">
        <v>44341</v>
      </c>
      <c r="E708" t="str">
        <f>"05054452"</f>
        <v>05054452</v>
      </c>
      <c r="F708" t="str">
        <f>"INV 05054452  05124222"</f>
        <v>INV 05054452  05124222</v>
      </c>
      <c r="G708" s="2">
        <v>1523.27</v>
      </c>
      <c r="H708" t="str">
        <f>"INV 05054452"</f>
        <v>INV 05054452</v>
      </c>
    </row>
    <row r="709" spans="1:8" x14ac:dyDescent="0.25">
      <c r="E709" t="str">
        <f>""</f>
        <v/>
      </c>
      <c r="F709" t="str">
        <f>""</f>
        <v/>
      </c>
      <c r="H709" t="str">
        <f>"INV 05124222"</f>
        <v>INV 05124222</v>
      </c>
    </row>
    <row r="710" spans="1:8" x14ac:dyDescent="0.25">
      <c r="A710" t="s">
        <v>177</v>
      </c>
      <c r="B710">
        <v>135643</v>
      </c>
      <c r="C710" s="2">
        <v>212623.42</v>
      </c>
      <c r="D710" s="1">
        <v>44340</v>
      </c>
      <c r="E710" t="str">
        <f>"17-178F000"</f>
        <v>17-178F000</v>
      </c>
      <c r="F710" t="str">
        <f>"LAKE COUNTRY CHEVROLET  INC."</f>
        <v>LAKE COUNTRY CHEVROLET  INC.</v>
      </c>
      <c r="G710" s="2">
        <v>28440.2</v>
      </c>
      <c r="H710" t="str">
        <f>"Chev Silverado PU"</f>
        <v>Chev Silverado PU</v>
      </c>
    </row>
    <row r="711" spans="1:8" x14ac:dyDescent="0.25">
      <c r="E711" t="str">
        <f>"202105173247"</f>
        <v>202105173247</v>
      </c>
      <c r="F711" t="str">
        <f>"LAKE COUNTRY CHEVROLET  INC."</f>
        <v>LAKE COUNTRY CHEVROLET  INC.</v>
      </c>
      <c r="G711" s="2">
        <v>20000</v>
      </c>
      <c r="H711" t="str">
        <f>"CHEVROLET TAHOE"</f>
        <v>CHEVROLET TAHOE</v>
      </c>
    </row>
    <row r="712" spans="1:8" x14ac:dyDescent="0.25">
      <c r="E712" t="str">
        <f>"21839"</f>
        <v>21839</v>
      </c>
      <c r="F712" t="str">
        <f>"LAKE COUNTRY CHEVROLET  INC."</f>
        <v>LAKE COUNTRY CHEVROLET  INC.</v>
      </c>
      <c r="G712" s="2">
        <v>164183.22</v>
      </c>
      <c r="H712" t="str">
        <f>"2021 CHEV TAHOE"</f>
        <v>2021 CHEV TAHOE</v>
      </c>
    </row>
    <row r="713" spans="1:8" x14ac:dyDescent="0.25">
      <c r="E713" t="str">
        <f>""</f>
        <v/>
      </c>
      <c r="F713" t="str">
        <f>""</f>
        <v/>
      </c>
      <c r="H713" t="str">
        <f>"TRADE IN CREDIT"</f>
        <v>TRADE IN CREDIT</v>
      </c>
    </row>
    <row r="714" spans="1:8" x14ac:dyDescent="0.25">
      <c r="E714" t="str">
        <f>""</f>
        <v/>
      </c>
      <c r="F714" t="str">
        <f>""</f>
        <v/>
      </c>
      <c r="H714" t="str">
        <f>"2021 CHEV TAHOE"</f>
        <v>2021 CHEV TAHOE</v>
      </c>
    </row>
    <row r="715" spans="1:8" x14ac:dyDescent="0.25">
      <c r="A715" t="s">
        <v>178</v>
      </c>
      <c r="B715">
        <v>4435</v>
      </c>
      <c r="C715" s="2">
        <v>150</v>
      </c>
      <c r="D715" s="1">
        <v>44327</v>
      </c>
      <c r="E715" t="str">
        <f>"156912"</f>
        <v>156912</v>
      </c>
      <c r="F715" t="str">
        <f>"CLEANING SRVS/LAURA ROBERTSON"</f>
        <v>CLEANING SRVS/LAURA ROBERTSON</v>
      </c>
      <c r="G715" s="2">
        <v>150</v>
      </c>
      <c r="H715" t="str">
        <f>"CLEANING SRVS/LAURA ROBERTSON"</f>
        <v>CLEANING SRVS/LAURA ROBERTSON</v>
      </c>
    </row>
    <row r="716" spans="1:8" x14ac:dyDescent="0.25">
      <c r="A716" t="s">
        <v>178</v>
      </c>
      <c r="B716">
        <v>4511</v>
      </c>
      <c r="C716" s="2">
        <v>150</v>
      </c>
      <c r="D716" s="1">
        <v>44341</v>
      </c>
      <c r="E716" t="str">
        <f>"202105183294"</f>
        <v>202105183294</v>
      </c>
      <c r="F716" t="str">
        <f>"CLEANING/LAURA ROBERTSON"</f>
        <v>CLEANING/LAURA ROBERTSON</v>
      </c>
      <c r="G716" s="2">
        <v>150</v>
      </c>
      <c r="H716" t="str">
        <f>"CLEANING/LAURA ROBERTSON"</f>
        <v>CLEANING/LAURA ROBERTSON</v>
      </c>
    </row>
    <row r="717" spans="1:8" x14ac:dyDescent="0.25">
      <c r="A717" t="s">
        <v>179</v>
      </c>
      <c r="B717">
        <v>135644</v>
      </c>
      <c r="C717" s="2">
        <v>185</v>
      </c>
      <c r="D717" s="1">
        <v>44340</v>
      </c>
      <c r="E717" t="str">
        <f>"202105193373"</f>
        <v>202105193373</v>
      </c>
      <c r="F717" t="str">
        <f>"TIRES/LUCIO LEAL/PCT#4"</f>
        <v>TIRES/LUCIO LEAL/PCT#4</v>
      </c>
      <c r="G717" s="2">
        <v>185</v>
      </c>
      <c r="H717" t="str">
        <f>"TIRES/LUCIO LEAL/PCT#4"</f>
        <v>TIRES/LUCIO LEAL/PCT#4</v>
      </c>
    </row>
    <row r="718" spans="1:8" x14ac:dyDescent="0.25">
      <c r="A718" t="s">
        <v>180</v>
      </c>
      <c r="B718">
        <v>135439</v>
      </c>
      <c r="C718" s="2">
        <v>92.96</v>
      </c>
      <c r="D718" s="1">
        <v>44322</v>
      </c>
      <c r="E718" t="str">
        <f>"202105063141"</f>
        <v>202105063141</v>
      </c>
      <c r="F718" t="str">
        <f>"ACCT#1-09-00072-021 / 04232021"</f>
        <v>ACCT#1-09-00072-021 / 04232021</v>
      </c>
      <c r="G718" s="2">
        <v>92.96</v>
      </c>
      <c r="H718" t="str">
        <f>"LEE COUNTY WATER SUPPLY CORP"</f>
        <v>LEE COUNTY WATER SUPPLY CORP</v>
      </c>
    </row>
    <row r="719" spans="1:8" x14ac:dyDescent="0.25">
      <c r="A719" t="s">
        <v>181</v>
      </c>
      <c r="B719">
        <v>135509</v>
      </c>
      <c r="C719" s="2">
        <v>50</v>
      </c>
      <c r="D719" s="1">
        <v>44326</v>
      </c>
      <c r="E719" t="str">
        <f>"1394645-20210430"</f>
        <v>1394645-20210430</v>
      </c>
      <c r="F719" t="str">
        <f>"BILL#1394545/COUNTY CLERK"</f>
        <v>BILL#1394545/COUNTY CLERK</v>
      </c>
      <c r="G719" s="2">
        <v>50</v>
      </c>
      <c r="H719" t="str">
        <f>"BILL#1394545/COUNTY CLERK"</f>
        <v>BILL#1394545/COUNTY CLERK</v>
      </c>
    </row>
    <row r="720" spans="1:8" x14ac:dyDescent="0.25">
      <c r="A720" t="s">
        <v>181</v>
      </c>
      <c r="B720">
        <v>135645</v>
      </c>
      <c r="C720" s="2">
        <v>812.3</v>
      </c>
      <c r="D720" s="1">
        <v>44340</v>
      </c>
      <c r="E720" t="str">
        <f>"1211621-20210430"</f>
        <v>1211621-20210430</v>
      </c>
      <c r="F720" t="str">
        <f>"BILL#1211621/HEALTH SRVS"</f>
        <v>BILL#1211621/HEALTH SRVS</v>
      </c>
      <c r="G720" s="2">
        <v>178.5</v>
      </c>
      <c r="H720" t="str">
        <f>"BILL#1211621/HEALTH SRVS"</f>
        <v>BILL#1211621/HEALTH SRVS</v>
      </c>
    </row>
    <row r="721" spans="1:8" x14ac:dyDescent="0.25">
      <c r="E721" t="str">
        <f>"1361725-20210331"</f>
        <v>1361725-20210331</v>
      </c>
      <c r="F721" t="str">
        <f>"BILL#1361725/INDIGENT HEALTH"</f>
        <v>BILL#1361725/INDIGENT HEALTH</v>
      </c>
      <c r="G721" s="2">
        <v>150</v>
      </c>
      <c r="H721" t="str">
        <f>"BILL#1361725/INDIGENT HEALTH"</f>
        <v>BILL#1361725/INDIGENT HEALTH</v>
      </c>
    </row>
    <row r="722" spans="1:8" x14ac:dyDescent="0.25">
      <c r="E722" t="str">
        <f>"1361725-20210403"</f>
        <v>1361725-20210403</v>
      </c>
      <c r="F722" t="str">
        <f>"BILL#1361725/INDIGENT HEALTH"</f>
        <v>BILL#1361725/INDIGENT HEALTH</v>
      </c>
      <c r="G722" s="2">
        <v>150</v>
      </c>
      <c r="H722" t="str">
        <f>"BILL#1361725/INDIGENT HEALTH"</f>
        <v>BILL#1361725/INDIGENT HEALTH</v>
      </c>
    </row>
    <row r="723" spans="1:8" x14ac:dyDescent="0.25">
      <c r="E723" t="str">
        <f>"1420944-20210430"</f>
        <v>1420944-20210430</v>
      </c>
      <c r="F723" t="str">
        <f>"BILL#1420944/SHERIFF OFFICE"</f>
        <v>BILL#1420944/SHERIFF OFFICE</v>
      </c>
      <c r="G723" s="2">
        <v>283.8</v>
      </c>
      <c r="H723" t="str">
        <f>"BILL#1420944/SHERIFF OFFICE"</f>
        <v>BILL#1420944/SHERIFF OFFICE</v>
      </c>
    </row>
    <row r="724" spans="1:8" x14ac:dyDescent="0.25">
      <c r="E724" t="str">
        <f>"1489870-20210430"</f>
        <v>1489870-20210430</v>
      </c>
      <c r="F724" t="str">
        <f>"BILL#1489870/DISTRICT CLERK"</f>
        <v>BILL#1489870/DISTRICT CLERK</v>
      </c>
      <c r="G724" s="2">
        <v>50</v>
      </c>
      <c r="H724" t="str">
        <f>"BILL#1489870/DISTRICT CLERK"</f>
        <v>BILL#1489870/DISTRICT CLERK</v>
      </c>
    </row>
    <row r="725" spans="1:8" x14ac:dyDescent="0.25">
      <c r="A725" t="s">
        <v>182</v>
      </c>
      <c r="B725">
        <v>135646</v>
      </c>
      <c r="C725" s="2">
        <v>4410.21</v>
      </c>
      <c r="D725" s="1">
        <v>44340</v>
      </c>
      <c r="E725" t="str">
        <f>"2033405"</f>
        <v>2033405</v>
      </c>
      <c r="F725" t="str">
        <f>"ACCT#15717/TIRES"</f>
        <v>ACCT#15717/TIRES</v>
      </c>
      <c r="G725" s="2">
        <v>3829.44</v>
      </c>
      <c r="H725" t="str">
        <f>"ACCT#15717/TIRES"</f>
        <v>ACCT#15717/TIRES</v>
      </c>
    </row>
    <row r="726" spans="1:8" x14ac:dyDescent="0.25">
      <c r="E726" t="str">
        <f>"2038273"</f>
        <v>2038273</v>
      </c>
      <c r="F726" t="str">
        <f>"ACCT#15717"</f>
        <v>ACCT#15717</v>
      </c>
      <c r="G726" s="2">
        <v>580.77</v>
      </c>
      <c r="H726" t="str">
        <f>"ACCT#15717"</f>
        <v>ACCT#15717</v>
      </c>
    </row>
    <row r="727" spans="1:8" x14ac:dyDescent="0.25">
      <c r="A727" t="s">
        <v>183</v>
      </c>
      <c r="B727">
        <v>4500</v>
      </c>
      <c r="C727" s="2">
        <v>285</v>
      </c>
      <c r="D727" s="1">
        <v>44341</v>
      </c>
      <c r="E727" t="str">
        <f>"202105173285"</f>
        <v>202105173285</v>
      </c>
      <c r="F727" t="str">
        <f>"BAR DUES 2021/LINDSEY SIMMONS"</f>
        <v>BAR DUES 2021/LINDSEY SIMMONS</v>
      </c>
      <c r="G727" s="2">
        <v>285</v>
      </c>
      <c r="H727" t="str">
        <f>"BAR DUES 2021/LINDSEY SIMMONS"</f>
        <v>BAR DUES 2021/LINDSEY SIMMONS</v>
      </c>
    </row>
    <row r="728" spans="1:8" x14ac:dyDescent="0.25">
      <c r="A728" t="s">
        <v>184</v>
      </c>
      <c r="B728">
        <v>135510</v>
      </c>
      <c r="C728" s="2">
        <v>1596.24</v>
      </c>
      <c r="D728" s="1">
        <v>44326</v>
      </c>
      <c r="E728" t="str">
        <f>"SVC0981239"</f>
        <v>SVC0981239</v>
      </c>
      <c r="F728" t="str">
        <f>"INV SVC0981239"</f>
        <v>INV SVC0981239</v>
      </c>
      <c r="G728" s="2">
        <v>1596.24</v>
      </c>
      <c r="H728" t="str">
        <f>"INV SVC0981239"</f>
        <v>INV SVC0981239</v>
      </c>
    </row>
    <row r="729" spans="1:8" x14ac:dyDescent="0.25">
      <c r="A729" t="s">
        <v>185</v>
      </c>
      <c r="B729">
        <v>4502</v>
      </c>
      <c r="C729" s="2">
        <v>18266.79</v>
      </c>
      <c r="D729" s="1">
        <v>44341</v>
      </c>
      <c r="E729" t="str">
        <f>"202105173256"</f>
        <v>202105173256</v>
      </c>
      <c r="F729" t="str">
        <f>"HOME VISIT GRANT/LONE STAR"</f>
        <v>HOME VISIT GRANT/LONE STAR</v>
      </c>
      <c r="G729" s="2">
        <v>18266.79</v>
      </c>
      <c r="H729" t="str">
        <f>"HOME VISIT GRANT/LONE STAR"</f>
        <v>HOME VISIT GRANT/LONE STAR</v>
      </c>
    </row>
    <row r="730" spans="1:8" x14ac:dyDescent="0.25">
      <c r="A730" t="s">
        <v>186</v>
      </c>
      <c r="B730">
        <v>4422</v>
      </c>
      <c r="C730" s="2">
        <v>938.9</v>
      </c>
      <c r="D730" s="1">
        <v>44327</v>
      </c>
      <c r="E730" t="str">
        <f>"2012-1211"</f>
        <v>2012-1211</v>
      </c>
      <c r="F730" t="str">
        <f>"Glass replacement"</f>
        <v>Glass replacement</v>
      </c>
      <c r="G730" s="2">
        <v>360</v>
      </c>
      <c r="H730" t="str">
        <f>"Sublet Auto Glass"</f>
        <v>Sublet Auto Glass</v>
      </c>
    </row>
    <row r="731" spans="1:8" x14ac:dyDescent="0.25">
      <c r="E731" t="str">
        <f>""</f>
        <v/>
      </c>
      <c r="F731" t="str">
        <f>""</f>
        <v/>
      </c>
      <c r="H731" t="str">
        <f>"Sublet Glass Labor"</f>
        <v>Sublet Glass Labor</v>
      </c>
    </row>
    <row r="732" spans="1:8" x14ac:dyDescent="0.25">
      <c r="E732" t="str">
        <f>"202105043005"</f>
        <v>202105043005</v>
      </c>
      <c r="F732" t="str">
        <f>"INV 2021-1227"</f>
        <v>INV 2021-1227</v>
      </c>
      <c r="G732" s="2">
        <v>280</v>
      </c>
      <c r="H732" t="str">
        <f>"INV 2021-1227"</f>
        <v>INV 2021-1227</v>
      </c>
    </row>
    <row r="733" spans="1:8" x14ac:dyDescent="0.25">
      <c r="E733" t="str">
        <f>"21-0429-11012"</f>
        <v>21-0429-11012</v>
      </c>
      <c r="F733" t="str">
        <f>"TOWING BASTROP CO PRECINCT #1"</f>
        <v>TOWING BASTROP CO PRECINCT #1</v>
      </c>
      <c r="G733" s="2">
        <v>177</v>
      </c>
      <c r="H733" t="str">
        <f>"TOWING BASTROP CO PRECINCT #1"</f>
        <v>TOWING BASTROP CO PRECINCT #1</v>
      </c>
    </row>
    <row r="734" spans="1:8" x14ac:dyDescent="0.25">
      <c r="E734" t="str">
        <f>"21-0503-11042"</f>
        <v>21-0503-11042</v>
      </c>
      <c r="F734" t="str">
        <f>"TOWING UNIT#7193/ANIMAL SHELTE"</f>
        <v>TOWING UNIT#7193/ANIMAL SHELTE</v>
      </c>
      <c r="G734" s="2">
        <v>121.9</v>
      </c>
      <c r="H734" t="str">
        <f>"TOWING UNIT#7193/ANIMAL SHELTE"</f>
        <v>TOWING UNIT#7193/ANIMAL SHELTE</v>
      </c>
    </row>
    <row r="735" spans="1:8" x14ac:dyDescent="0.25">
      <c r="A735" t="s">
        <v>186</v>
      </c>
      <c r="B735">
        <v>4499</v>
      </c>
      <c r="C735" s="2">
        <v>884</v>
      </c>
      <c r="D735" s="1">
        <v>44341</v>
      </c>
      <c r="E735" t="str">
        <f>"00021"</f>
        <v>00021</v>
      </c>
      <c r="F735" t="str">
        <f>"INV 000021"</f>
        <v>INV 000021</v>
      </c>
      <c r="G735" s="2">
        <v>509</v>
      </c>
      <c r="H735" t="str">
        <f>"INV 000021"</f>
        <v>INV 000021</v>
      </c>
    </row>
    <row r="736" spans="1:8" x14ac:dyDescent="0.25">
      <c r="E736" t="str">
        <f>"2021-1232"</f>
        <v>2021-1232</v>
      </c>
      <c r="F736" t="str">
        <f>"INV 2021-1232"</f>
        <v>INV 2021-1232</v>
      </c>
      <c r="G736" s="2">
        <v>375</v>
      </c>
      <c r="H736" t="str">
        <f>"INV 2021-1232"</f>
        <v>INV 2021-1232</v>
      </c>
    </row>
    <row r="737" spans="1:8" x14ac:dyDescent="0.25">
      <c r="A737" t="s">
        <v>187</v>
      </c>
      <c r="B737">
        <v>4430</v>
      </c>
      <c r="C737" s="2">
        <v>689</v>
      </c>
      <c r="D737" s="1">
        <v>44327</v>
      </c>
      <c r="E737" t="str">
        <f>"202105042978"</f>
        <v>202105042978</v>
      </c>
      <c r="F737" t="str">
        <f>"TRASH REMOVAL/PCT#4"</f>
        <v>TRASH REMOVAL/PCT#4</v>
      </c>
      <c r="G737" s="2">
        <v>169</v>
      </c>
      <c r="H737" t="str">
        <f>"TRASH REMOVAL/PCT#4"</f>
        <v>TRASH REMOVAL/PCT#4</v>
      </c>
    </row>
    <row r="738" spans="1:8" x14ac:dyDescent="0.25">
      <c r="E738" t="str">
        <f>"202105042979"</f>
        <v>202105042979</v>
      </c>
      <c r="F738" t="str">
        <f>"TRASH REMOVAL/PCT#4"</f>
        <v>TRASH REMOVAL/PCT#4</v>
      </c>
      <c r="G738" s="2">
        <v>520</v>
      </c>
      <c r="H738" t="str">
        <f>"TRASH REMOVAL/PCT#4"</f>
        <v>TRASH REMOVAL/PCT#4</v>
      </c>
    </row>
    <row r="739" spans="1:8" x14ac:dyDescent="0.25">
      <c r="A739" t="s">
        <v>187</v>
      </c>
      <c r="B739">
        <v>4507</v>
      </c>
      <c r="C739" s="2">
        <v>767</v>
      </c>
      <c r="D739" s="1">
        <v>44341</v>
      </c>
      <c r="E739" t="str">
        <f>"202105183301"</f>
        <v>202105183301</v>
      </c>
      <c r="F739" t="str">
        <f>"TRASH/LONNIE LAWRENCE DAVIS JR"</f>
        <v>TRASH/LONNIE LAWRENCE DAVIS JR</v>
      </c>
      <c r="G739" s="2">
        <v>767</v>
      </c>
      <c r="H739" t="str">
        <f>"TRASH/LONNIE LAWRENCE DAVIS JR"</f>
        <v>TRASH/LONNIE LAWRENCE DAVIS JR</v>
      </c>
    </row>
    <row r="740" spans="1:8" x14ac:dyDescent="0.25">
      <c r="A740" t="s">
        <v>188</v>
      </c>
      <c r="B740">
        <v>4457</v>
      </c>
      <c r="C740" s="2">
        <v>85</v>
      </c>
      <c r="D740" s="1">
        <v>44327</v>
      </c>
      <c r="E740" t="str">
        <f>"10-0116160"</f>
        <v>10-0116160</v>
      </c>
      <c r="F740" t="str">
        <f>"STATEMENT 10-000565"</f>
        <v>STATEMENT 10-000565</v>
      </c>
      <c r="G740" s="2">
        <v>85</v>
      </c>
      <c r="H740" t="str">
        <f>"INV 10-0116160"</f>
        <v>INV 10-0116160</v>
      </c>
    </row>
    <row r="741" spans="1:8" x14ac:dyDescent="0.25">
      <c r="E741" t="str">
        <f>""</f>
        <v/>
      </c>
      <c r="F741" t="str">
        <f>""</f>
        <v/>
      </c>
      <c r="H741" t="str">
        <f>"INV 10-0116967"</f>
        <v>INV 10-0116967</v>
      </c>
    </row>
    <row r="742" spans="1:8" x14ac:dyDescent="0.25">
      <c r="E742" t="str">
        <f>""</f>
        <v/>
      </c>
      <c r="F742" t="str">
        <f>""</f>
        <v/>
      </c>
      <c r="H742" t="str">
        <f>"INV 10-0117706"</f>
        <v>INV 10-0117706</v>
      </c>
    </row>
    <row r="743" spans="1:8" x14ac:dyDescent="0.25">
      <c r="A743" t="s">
        <v>189</v>
      </c>
      <c r="B743">
        <v>135571</v>
      </c>
      <c r="C743" s="2">
        <v>45590</v>
      </c>
      <c r="D743" s="1">
        <v>44334</v>
      </c>
      <c r="E743" t="str">
        <f>"MANMN0000351"</f>
        <v>MANMN0000351</v>
      </c>
      <c r="F743" t="str">
        <f>"YEARLY SOFTWARE SUPPORT"</f>
        <v>YEARLY SOFTWARE SUPPORT</v>
      </c>
      <c r="G743" s="2">
        <v>45590</v>
      </c>
      <c r="H743" t="str">
        <f>"MANATRON  INC"</f>
        <v>MANATRON  INC</v>
      </c>
    </row>
    <row r="744" spans="1:8" x14ac:dyDescent="0.25">
      <c r="A744" t="s">
        <v>190</v>
      </c>
      <c r="B744">
        <v>4426</v>
      </c>
      <c r="C744" s="2">
        <v>325</v>
      </c>
      <c r="D744" s="1">
        <v>44327</v>
      </c>
      <c r="E744" t="str">
        <f>"202105053026"</f>
        <v>202105053026</v>
      </c>
      <c r="F744" t="str">
        <f>"REIMBURSEMENT/MARK MEUTH"</f>
        <v>REIMBURSEMENT/MARK MEUTH</v>
      </c>
      <c r="G744" s="2">
        <v>325</v>
      </c>
      <c r="H744" t="str">
        <f>"REIMBURSEMENT/MARK MEUTH"</f>
        <v>REIMBURSEMENT/MARK MEUTH</v>
      </c>
    </row>
    <row r="745" spans="1:8" x14ac:dyDescent="0.25">
      <c r="A745" t="s">
        <v>191</v>
      </c>
      <c r="B745">
        <v>135647</v>
      </c>
      <c r="C745" s="2">
        <v>1960.34</v>
      </c>
      <c r="D745" s="1">
        <v>44340</v>
      </c>
      <c r="E745" t="str">
        <f>"INV001943794"</f>
        <v>INV001943794</v>
      </c>
      <c r="F745" t="str">
        <f>"INV001943794  INV00194395"</f>
        <v>INV001943794  INV00194395</v>
      </c>
      <c r="G745" s="2">
        <v>1960.34</v>
      </c>
      <c r="H745" t="str">
        <f>"INV001943794"</f>
        <v>INV001943794</v>
      </c>
    </row>
    <row r="746" spans="1:8" x14ac:dyDescent="0.25">
      <c r="E746" t="str">
        <f>""</f>
        <v/>
      </c>
      <c r="F746" t="str">
        <f>""</f>
        <v/>
      </c>
      <c r="H746" t="str">
        <f>"INV001943959"</f>
        <v>INV001943959</v>
      </c>
    </row>
    <row r="747" spans="1:8" x14ac:dyDescent="0.25">
      <c r="A747" t="s">
        <v>192</v>
      </c>
      <c r="B747">
        <v>4496</v>
      </c>
      <c r="C747" s="2">
        <v>2525</v>
      </c>
      <c r="D747" s="1">
        <v>44341</v>
      </c>
      <c r="E747" t="str">
        <f>"202105133198"</f>
        <v>202105133198</v>
      </c>
      <c r="F747" t="str">
        <f>"57-602"</f>
        <v>57-602</v>
      </c>
      <c r="G747" s="2">
        <v>250</v>
      </c>
      <c r="H747" t="str">
        <f>"57-602"</f>
        <v>57-602</v>
      </c>
    </row>
    <row r="748" spans="1:8" x14ac:dyDescent="0.25">
      <c r="E748" t="str">
        <f>"202105133199"</f>
        <v>202105133199</v>
      </c>
      <c r="F748" t="str">
        <f>"J-3221"</f>
        <v>J-3221</v>
      </c>
      <c r="G748" s="2">
        <v>250</v>
      </c>
      <c r="H748" t="str">
        <f>"J-3221"</f>
        <v>J-3221</v>
      </c>
    </row>
    <row r="749" spans="1:8" x14ac:dyDescent="0.25">
      <c r="E749" t="str">
        <f>"202105133200"</f>
        <v>202105133200</v>
      </c>
      <c r="F749" t="str">
        <f>"J-3232"</f>
        <v>J-3232</v>
      </c>
      <c r="G749" s="2">
        <v>250</v>
      </c>
      <c r="H749" t="str">
        <f>"J-3232"</f>
        <v>J-3232</v>
      </c>
    </row>
    <row r="750" spans="1:8" x14ac:dyDescent="0.25">
      <c r="E750" t="str">
        <f>"202105133201"</f>
        <v>202105133201</v>
      </c>
      <c r="F750" t="str">
        <f>"LOPEZ DET. HEARING"</f>
        <v>LOPEZ DET. HEARING</v>
      </c>
      <c r="G750" s="2">
        <v>100</v>
      </c>
      <c r="H750" t="str">
        <f>"LOPEZ DET. HEARING"</f>
        <v>LOPEZ DET. HEARING</v>
      </c>
    </row>
    <row r="751" spans="1:8" x14ac:dyDescent="0.25">
      <c r="E751" t="str">
        <f>"202105133210"</f>
        <v>202105133210</v>
      </c>
      <c r="F751" t="str">
        <f>"55807"</f>
        <v>55807</v>
      </c>
      <c r="G751" s="2">
        <v>250</v>
      </c>
      <c r="H751" t="str">
        <f>"55807"</f>
        <v>55807</v>
      </c>
    </row>
    <row r="752" spans="1:8" x14ac:dyDescent="0.25">
      <c r="E752" t="str">
        <f>"202105133211"</f>
        <v>202105133211</v>
      </c>
      <c r="F752" t="str">
        <f>"57-151"</f>
        <v>57-151</v>
      </c>
      <c r="G752" s="2">
        <v>250</v>
      </c>
      <c r="H752" t="str">
        <f>"57-151"</f>
        <v>57-151</v>
      </c>
    </row>
    <row r="753" spans="1:8" x14ac:dyDescent="0.25">
      <c r="E753" t="str">
        <f>"202105133242"</f>
        <v>202105133242</v>
      </c>
      <c r="F753" t="str">
        <f>"20-20482"</f>
        <v>20-20482</v>
      </c>
      <c r="G753" s="2">
        <v>925</v>
      </c>
      <c r="H753" t="str">
        <f>"20-20482"</f>
        <v>20-20482</v>
      </c>
    </row>
    <row r="754" spans="1:8" x14ac:dyDescent="0.25">
      <c r="E754" t="str">
        <f>"202105173282"</f>
        <v>202105173282</v>
      </c>
      <c r="F754" t="str">
        <f>"57638"</f>
        <v>57638</v>
      </c>
      <c r="G754" s="2">
        <v>250</v>
      </c>
      <c r="H754" t="str">
        <f>"57638"</f>
        <v>57638</v>
      </c>
    </row>
    <row r="755" spans="1:8" x14ac:dyDescent="0.25">
      <c r="A755" t="s">
        <v>193</v>
      </c>
      <c r="B755">
        <v>135648</v>
      </c>
      <c r="C755" s="2">
        <v>117.37</v>
      </c>
      <c r="D755" s="1">
        <v>44340</v>
      </c>
      <c r="E755" t="str">
        <f>"0023487975"</f>
        <v>0023487975</v>
      </c>
      <c r="F755" t="str">
        <f>"ACCT#45057/PCT#4"</f>
        <v>ACCT#45057/PCT#4</v>
      </c>
      <c r="G755" s="2">
        <v>54.73</v>
      </c>
      <c r="H755" t="str">
        <f>"ACCT#45057/PCT#4"</f>
        <v>ACCT#45057/PCT#4</v>
      </c>
    </row>
    <row r="756" spans="1:8" x14ac:dyDescent="0.25">
      <c r="E756" t="str">
        <f>"0023488020"</f>
        <v>0023488020</v>
      </c>
      <c r="F756" t="str">
        <f>"INV 0023488020"</f>
        <v>INV 0023488020</v>
      </c>
      <c r="G756" s="2">
        <v>62.64</v>
      </c>
      <c r="H756" t="str">
        <f>"INV 0023488020"</f>
        <v>INV 0023488020</v>
      </c>
    </row>
    <row r="757" spans="1:8" x14ac:dyDescent="0.25">
      <c r="A757" t="s">
        <v>194</v>
      </c>
      <c r="B757">
        <v>135511</v>
      </c>
      <c r="C757" s="2">
        <v>15500.34</v>
      </c>
      <c r="D757" s="1">
        <v>44326</v>
      </c>
      <c r="E757" t="str">
        <f>"12159"</f>
        <v>12159</v>
      </c>
      <c r="F757" t="str">
        <f>"ABST FEE"</f>
        <v>ABST FEE</v>
      </c>
      <c r="G757" s="2">
        <v>175</v>
      </c>
      <c r="H757" t="str">
        <f>"ABST FEE"</f>
        <v>ABST FEE</v>
      </c>
    </row>
    <row r="758" spans="1:8" x14ac:dyDescent="0.25">
      <c r="E758" t="str">
        <f>"12763"</f>
        <v>12763</v>
      </c>
      <c r="F758" t="str">
        <f>"ABST FEE"</f>
        <v>ABST FEE</v>
      </c>
      <c r="G758" s="2">
        <v>225</v>
      </c>
      <c r="H758" t="str">
        <f>"ABST FEE"</f>
        <v>ABST FEE</v>
      </c>
    </row>
    <row r="759" spans="1:8" x14ac:dyDescent="0.25">
      <c r="E759" t="str">
        <f>"12787"</f>
        <v>12787</v>
      </c>
      <c r="F759" t="str">
        <f>"ABST FEE"</f>
        <v>ABST FEE</v>
      </c>
      <c r="G759" s="2">
        <v>225</v>
      </c>
      <c r="H759" t="str">
        <f>"ABST FEE"</f>
        <v>ABST FEE</v>
      </c>
    </row>
    <row r="760" spans="1:8" x14ac:dyDescent="0.25">
      <c r="E760" t="str">
        <f>"13607-3-18-21"</f>
        <v>13607-3-18-21</v>
      </c>
      <c r="F760" t="str">
        <f>"ABST FEE"</f>
        <v>ABST FEE</v>
      </c>
      <c r="G760" s="2">
        <v>150</v>
      </c>
      <c r="H760" t="str">
        <f>"ABST FEE"</f>
        <v>ABST FEE</v>
      </c>
    </row>
    <row r="761" spans="1:8" x14ac:dyDescent="0.25">
      <c r="E761" t="str">
        <f>"13627"</f>
        <v>13627</v>
      </c>
      <c r="F761" t="str">
        <f>"ABST FEE"</f>
        <v>ABST FEE</v>
      </c>
      <c r="G761" s="2">
        <v>225</v>
      </c>
      <c r="H761" t="str">
        <f>"ABST FEE"</f>
        <v>ABST FEE</v>
      </c>
    </row>
    <row r="762" spans="1:8" x14ac:dyDescent="0.25">
      <c r="E762" t="str">
        <f>"202105042972"</f>
        <v>202105042972</v>
      </c>
      <c r="F762" t="str">
        <f>"DELINQUENT TAX APRIL 2021"</f>
        <v>DELINQUENT TAX APRIL 2021</v>
      </c>
      <c r="G762" s="2">
        <v>14500.34</v>
      </c>
      <c r="H762" t="str">
        <f>"DELINQUENT TAX APRIL 2021"</f>
        <v>DELINQUENT TAX APRIL 2021</v>
      </c>
    </row>
    <row r="763" spans="1:8" x14ac:dyDescent="0.25">
      <c r="A763" t="s">
        <v>195</v>
      </c>
      <c r="B763">
        <v>135512</v>
      </c>
      <c r="C763" s="2">
        <v>1011.88</v>
      </c>
      <c r="D763" s="1">
        <v>44326</v>
      </c>
      <c r="E763" t="str">
        <f>"202105053056"</f>
        <v>202105053056</v>
      </c>
      <c r="F763" t="str">
        <f>"INV 18011969  18024768"</f>
        <v>INV 18011969  18024768</v>
      </c>
      <c r="G763" s="2">
        <v>1011.88</v>
      </c>
      <c r="H763" t="str">
        <f>"INV 18011969"</f>
        <v>INV 18011969</v>
      </c>
    </row>
    <row r="764" spans="1:8" x14ac:dyDescent="0.25">
      <c r="E764" t="str">
        <f>""</f>
        <v/>
      </c>
      <c r="F764" t="str">
        <f>""</f>
        <v/>
      </c>
      <c r="H764" t="str">
        <f>"INV 18024768"</f>
        <v>INV 18024768</v>
      </c>
    </row>
    <row r="765" spans="1:8" x14ac:dyDescent="0.25">
      <c r="E765" t="str">
        <f>""</f>
        <v/>
      </c>
      <c r="F765" t="str">
        <f>""</f>
        <v/>
      </c>
      <c r="H765" t="str">
        <f>"INV 18034613"</f>
        <v>INV 18034613</v>
      </c>
    </row>
    <row r="766" spans="1:8" x14ac:dyDescent="0.25">
      <c r="E766" t="str">
        <f>""</f>
        <v/>
      </c>
      <c r="F766" t="str">
        <f>""</f>
        <v/>
      </c>
      <c r="H766" t="str">
        <f>"INV 18141446"</f>
        <v>INV 18141446</v>
      </c>
    </row>
    <row r="767" spans="1:8" x14ac:dyDescent="0.25">
      <c r="A767" t="s">
        <v>196</v>
      </c>
      <c r="B767">
        <v>135649</v>
      </c>
      <c r="C767" s="2">
        <v>2354.73</v>
      </c>
      <c r="D767" s="1">
        <v>44340</v>
      </c>
      <c r="E767" t="str">
        <f>"202105193354"</f>
        <v>202105193354</v>
      </c>
      <c r="F767" t="str">
        <f>"INDIGENT HEALTH"</f>
        <v>INDIGENT HEALTH</v>
      </c>
      <c r="G767" s="2">
        <v>2354.73</v>
      </c>
      <c r="H767" t="str">
        <f>"INDIGENT HEALTH"</f>
        <v>INDIGENT HEALTH</v>
      </c>
    </row>
    <row r="768" spans="1:8" x14ac:dyDescent="0.25">
      <c r="A768" t="s">
        <v>197</v>
      </c>
      <c r="B768">
        <v>135513</v>
      </c>
      <c r="C768" s="2">
        <v>1250</v>
      </c>
      <c r="D768" s="1">
        <v>44326</v>
      </c>
      <c r="E768" t="str">
        <f>"242272509"</f>
        <v>242272509</v>
      </c>
      <c r="F768" t="str">
        <f>"CUST#10004926/ANIMAL SHELTER"</f>
        <v>CUST#10004926/ANIMAL SHELTER</v>
      </c>
      <c r="G768" s="2">
        <v>1250</v>
      </c>
      <c r="H768" t="str">
        <f>"CUST#10004926/ANIMAL SHELTER"</f>
        <v>CUST#10004926/ANIMAL SHELTER</v>
      </c>
    </row>
    <row r="769" spans="1:8" x14ac:dyDescent="0.25">
      <c r="A769" t="s">
        <v>198</v>
      </c>
      <c r="B769">
        <v>4451</v>
      </c>
      <c r="C769" s="2">
        <v>144</v>
      </c>
      <c r="D769" s="1">
        <v>44327</v>
      </c>
      <c r="E769" t="str">
        <f>"21-010"</f>
        <v>21-010</v>
      </c>
      <c r="F769" t="str">
        <f>"COURT REPORTER"</f>
        <v>COURT REPORTER</v>
      </c>
      <c r="G769" s="2">
        <v>144</v>
      </c>
      <c r="H769" t="str">
        <f>"COURT REPORTER"</f>
        <v>COURT REPORTER</v>
      </c>
    </row>
    <row r="770" spans="1:8" x14ac:dyDescent="0.25">
      <c r="A770" t="s">
        <v>198</v>
      </c>
      <c r="B770">
        <v>4527</v>
      </c>
      <c r="C770" s="2">
        <v>164</v>
      </c>
      <c r="D770" s="1">
        <v>44341</v>
      </c>
      <c r="E770" t="str">
        <f>"202105133224"</f>
        <v>202105133224</v>
      </c>
      <c r="F770" t="str">
        <f>"17-332/1780-335/423-7787"</f>
        <v>17-332/1780-335/423-7787</v>
      </c>
      <c r="G770" s="2">
        <v>114</v>
      </c>
      <c r="H770" t="str">
        <f>"17-332/1780-335/423-7787"</f>
        <v>17-332/1780-335/423-7787</v>
      </c>
    </row>
    <row r="771" spans="1:8" x14ac:dyDescent="0.25">
      <c r="E771" t="str">
        <f>"202105133225"</f>
        <v>202105133225</v>
      </c>
      <c r="F771" t="str">
        <f>"17-216"</f>
        <v>17-216</v>
      </c>
      <c r="G771" s="2">
        <v>50</v>
      </c>
      <c r="H771" t="str">
        <f>"17-216"</f>
        <v>17-216</v>
      </c>
    </row>
    <row r="772" spans="1:8" x14ac:dyDescent="0.25">
      <c r="A772" t="s">
        <v>199</v>
      </c>
      <c r="B772">
        <v>4412</v>
      </c>
      <c r="C772" s="2">
        <v>1753.05</v>
      </c>
      <c r="D772" s="1">
        <v>44327</v>
      </c>
      <c r="E772" t="str">
        <f>"24466"</f>
        <v>24466</v>
      </c>
      <c r="F772" t="str">
        <f>"FREIGHT SALES/PCT#2"</f>
        <v>FREIGHT SALES/PCT#2</v>
      </c>
      <c r="G772" s="2">
        <v>1296.75</v>
      </c>
      <c r="H772" t="str">
        <f>"FREIGHT SALES/PCT#2"</f>
        <v>FREIGHT SALES/PCT#2</v>
      </c>
    </row>
    <row r="773" spans="1:8" x14ac:dyDescent="0.25">
      <c r="E773" t="str">
        <f>"24529"</f>
        <v>24529</v>
      </c>
      <c r="F773" t="str">
        <f>"FRIGHT SALES"</f>
        <v>FRIGHT SALES</v>
      </c>
      <c r="G773" s="2">
        <v>456.3</v>
      </c>
      <c r="H773" t="str">
        <f>"FRIGHT SALES"</f>
        <v>FRIGHT SALES</v>
      </c>
    </row>
    <row r="774" spans="1:8" x14ac:dyDescent="0.25">
      <c r="A774" t="s">
        <v>199</v>
      </c>
      <c r="B774">
        <v>4487</v>
      </c>
      <c r="C774" s="2">
        <v>604.6</v>
      </c>
      <c r="D774" s="1">
        <v>44341</v>
      </c>
      <c r="E774" t="str">
        <f>"24590"</f>
        <v>24590</v>
      </c>
      <c r="F774" t="str">
        <f>"FREIGHT SALES/PCT#2"</f>
        <v>FREIGHT SALES/PCT#2</v>
      </c>
      <c r="G774" s="2">
        <v>366.55</v>
      </c>
      <c r="H774" t="str">
        <f>"FREIGHT SALES/PCT#2"</f>
        <v>FREIGHT SALES/PCT#2</v>
      </c>
    </row>
    <row r="775" spans="1:8" x14ac:dyDescent="0.25">
      <c r="E775" t="str">
        <f>"24642"</f>
        <v>24642</v>
      </c>
      <c r="F775" t="str">
        <f>"FRIGHT SALES/PCT#2"</f>
        <v>FRIGHT SALES/PCT#2</v>
      </c>
      <c r="G775" s="2">
        <v>238.05</v>
      </c>
      <c r="H775" t="str">
        <f>"FRIGHT SALES/PCT#2"</f>
        <v>FRIGHT SALES/PCT#2</v>
      </c>
    </row>
    <row r="776" spans="1:8" x14ac:dyDescent="0.25">
      <c r="A776" t="s">
        <v>200</v>
      </c>
      <c r="B776">
        <v>135650</v>
      </c>
      <c r="C776" s="2">
        <v>170.43</v>
      </c>
      <c r="D776" s="1">
        <v>44340</v>
      </c>
      <c r="E776" t="str">
        <f>"202105193343"</f>
        <v>202105193343</v>
      </c>
      <c r="F776" t="str">
        <f>"INDIGENT HEALTH"</f>
        <v>INDIGENT HEALTH</v>
      </c>
      <c r="G776" s="2">
        <v>170.43</v>
      </c>
      <c r="H776" t="str">
        <f>"INDIGENT HEALTH"</f>
        <v>INDIGENT HEALTH</v>
      </c>
    </row>
    <row r="777" spans="1:8" x14ac:dyDescent="0.25">
      <c r="A777" t="s">
        <v>201</v>
      </c>
      <c r="B777">
        <v>135514</v>
      </c>
      <c r="C777" s="2">
        <v>99.62</v>
      </c>
      <c r="D777" s="1">
        <v>44326</v>
      </c>
      <c r="E777" t="str">
        <f>"TX063423"</f>
        <v>TX063423</v>
      </c>
      <c r="F777" t="str">
        <f>"TX-C004092/ANIMAL SHELTER"</f>
        <v>TX-C004092/ANIMAL SHELTER</v>
      </c>
      <c r="G777" s="2">
        <v>90.84</v>
      </c>
      <c r="H777" t="str">
        <f>"TX-C004092/ANIMAL SHELTER"</f>
        <v>TX-C004092/ANIMAL SHELTER</v>
      </c>
    </row>
    <row r="778" spans="1:8" x14ac:dyDescent="0.25">
      <c r="E778" t="str">
        <f>"TX064136"</f>
        <v>TX064136</v>
      </c>
      <c r="F778" t="str">
        <f>"CUST#TX-C004092"</f>
        <v>CUST#TX-C004092</v>
      </c>
      <c r="G778" s="2">
        <v>8.7799999999999994</v>
      </c>
      <c r="H778" t="str">
        <f>"CUST#TX-C004092"</f>
        <v>CUST#TX-C004092</v>
      </c>
    </row>
    <row r="779" spans="1:8" x14ac:dyDescent="0.25">
      <c r="A779" t="s">
        <v>201</v>
      </c>
      <c r="B779">
        <v>135651</v>
      </c>
      <c r="C779" s="2">
        <v>204.26</v>
      </c>
      <c r="D779" s="1">
        <v>44340</v>
      </c>
      <c r="E779" t="str">
        <f>"TX006450"</f>
        <v>TX006450</v>
      </c>
      <c r="F779" t="str">
        <f>"CUST#TX-C004092/ANIMAL SHELTER"</f>
        <v>CUST#TX-C004092/ANIMAL SHELTER</v>
      </c>
      <c r="G779" s="2">
        <v>7.7</v>
      </c>
      <c r="H779" t="str">
        <f>"CUST#TX-C004092/ANIMAL SHELTER"</f>
        <v>CUST#TX-C004092/ANIMAL SHELTER</v>
      </c>
    </row>
    <row r="780" spans="1:8" x14ac:dyDescent="0.25">
      <c r="E780" t="str">
        <f>"TX065436"</f>
        <v>TX065436</v>
      </c>
      <c r="F780" t="str">
        <f>"CUST#TX-C004092/ANIMAL SHELTER"</f>
        <v>CUST#TX-C004092/ANIMAL SHELTER</v>
      </c>
      <c r="G780" s="2">
        <v>134.1</v>
      </c>
      <c r="H780" t="str">
        <f>"CUST#TX-C004092/ANIMAL SHELTER"</f>
        <v>CUST#TX-C004092/ANIMAL SHELTER</v>
      </c>
    </row>
    <row r="781" spans="1:8" x14ac:dyDescent="0.25">
      <c r="E781" t="str">
        <f>"TX066209"</f>
        <v>TX066209</v>
      </c>
      <c r="F781" t="str">
        <f>"CUST#TX-C004092/ANIMAL SHELTER"</f>
        <v>CUST#TX-C004092/ANIMAL SHELTER</v>
      </c>
      <c r="G781" s="2">
        <v>62.46</v>
      </c>
      <c r="H781" t="str">
        <f>"CUST#TX-C004092/ANIMAL SHELTER"</f>
        <v>CUST#TX-C004092/ANIMAL SHELTER</v>
      </c>
    </row>
    <row r="782" spans="1:8" x14ac:dyDescent="0.25">
      <c r="A782" t="s">
        <v>202</v>
      </c>
      <c r="B782">
        <v>135515</v>
      </c>
      <c r="C782" s="2">
        <v>60</v>
      </c>
      <c r="D782" s="1">
        <v>44326</v>
      </c>
      <c r="E782" t="str">
        <f>"202105043018"</f>
        <v>202105043018</v>
      </c>
      <c r="F782" t="str">
        <f>"MIRIAM CORONADO"</f>
        <v>MIRIAM CORONADO</v>
      </c>
      <c r="G782" s="2">
        <v>60</v>
      </c>
      <c r="H782" t="str">
        <f>""</f>
        <v/>
      </c>
    </row>
    <row r="783" spans="1:8" x14ac:dyDescent="0.25">
      <c r="A783" t="s">
        <v>203</v>
      </c>
      <c r="B783">
        <v>135572</v>
      </c>
      <c r="C783" s="2">
        <v>40</v>
      </c>
      <c r="D783" s="1">
        <v>44335</v>
      </c>
      <c r="E783" t="str">
        <f>"202105193376"</f>
        <v>202105193376</v>
      </c>
      <c r="F783" t="str">
        <f>"Miscella"</f>
        <v>Miscella</v>
      </c>
      <c r="G783" s="2">
        <v>40</v>
      </c>
      <c r="H783" t="str">
        <f>"ADAM HAROLD STAGMAN"</f>
        <v>ADAM HAROLD STAGMAN</v>
      </c>
    </row>
    <row r="784" spans="1:8" x14ac:dyDescent="0.25">
      <c r="A784" t="s">
        <v>204</v>
      </c>
      <c r="B784">
        <v>135573</v>
      </c>
      <c r="C784" s="2">
        <v>40</v>
      </c>
      <c r="D784" s="1">
        <v>44335</v>
      </c>
      <c r="E784" t="str">
        <f>"202105193377"</f>
        <v>202105193377</v>
      </c>
      <c r="F784" t="str">
        <f>"Miscel"</f>
        <v>Miscel</v>
      </c>
      <c r="G784" s="2">
        <v>40</v>
      </c>
      <c r="H784" t="str">
        <f>"GREGORY N BICKWERMERT"</f>
        <v>GREGORY N BICKWERMERT</v>
      </c>
    </row>
    <row r="785" spans="1:8" x14ac:dyDescent="0.25">
      <c r="A785" t="s">
        <v>205</v>
      </c>
      <c r="B785">
        <v>135574</v>
      </c>
      <c r="C785" s="2">
        <v>40</v>
      </c>
      <c r="D785" s="1">
        <v>44335</v>
      </c>
      <c r="E785" t="str">
        <f>"202105193378"</f>
        <v>202105193378</v>
      </c>
      <c r="F785" t="str">
        <f>"Miscell"</f>
        <v>Miscell</v>
      </c>
      <c r="G785" s="2">
        <v>40</v>
      </c>
      <c r="H785" t="str">
        <f>"GAIL BELLAH MCDONALD"</f>
        <v>GAIL BELLAH MCDONALD</v>
      </c>
    </row>
    <row r="786" spans="1:8" x14ac:dyDescent="0.25">
      <c r="A786" t="s">
        <v>206</v>
      </c>
      <c r="B786">
        <v>135575</v>
      </c>
      <c r="C786" s="2">
        <v>40</v>
      </c>
      <c r="D786" s="1">
        <v>44335</v>
      </c>
      <c r="E786" t="str">
        <f>"202105193379"</f>
        <v>202105193379</v>
      </c>
      <c r="F786" t="str">
        <f>"Miscel"</f>
        <v>Miscel</v>
      </c>
      <c r="G786" s="2">
        <v>40</v>
      </c>
      <c r="H786" t="str">
        <f>"JEANNIE MARIE RICHTER"</f>
        <v>JEANNIE MARIE RICHTER</v>
      </c>
    </row>
    <row r="787" spans="1:8" x14ac:dyDescent="0.25">
      <c r="A787" t="s">
        <v>207</v>
      </c>
      <c r="B787">
        <v>135576</v>
      </c>
      <c r="C787" s="2">
        <v>40</v>
      </c>
      <c r="D787" s="1">
        <v>44335</v>
      </c>
      <c r="E787" t="str">
        <f>"202105193380"</f>
        <v>202105193380</v>
      </c>
      <c r="F787" t="str">
        <f>"Miscell"</f>
        <v>Miscell</v>
      </c>
      <c r="G787" s="2">
        <v>40</v>
      </c>
      <c r="H787" t="str">
        <f>"BRAD MARTIN LINDGREN"</f>
        <v>BRAD MARTIN LINDGREN</v>
      </c>
    </row>
    <row r="788" spans="1:8" x14ac:dyDescent="0.25">
      <c r="A788" t="s">
        <v>208</v>
      </c>
      <c r="B788">
        <v>135577</v>
      </c>
      <c r="C788" s="2">
        <v>40</v>
      </c>
      <c r="D788" s="1">
        <v>44335</v>
      </c>
      <c r="E788" t="str">
        <f>"202105193381"</f>
        <v>202105193381</v>
      </c>
      <c r="F788" t="str">
        <f>"Miscel"</f>
        <v>Miscel</v>
      </c>
      <c r="G788" s="2">
        <v>40</v>
      </c>
      <c r="H788" t="str">
        <f>"RONALD DWAYNE DANIELS"</f>
        <v>RONALD DWAYNE DANIELS</v>
      </c>
    </row>
    <row r="789" spans="1:8" x14ac:dyDescent="0.25">
      <c r="A789" t="s">
        <v>209</v>
      </c>
      <c r="B789">
        <v>135578</v>
      </c>
      <c r="C789" s="2">
        <v>40</v>
      </c>
      <c r="D789" s="1">
        <v>44335</v>
      </c>
      <c r="E789" t="str">
        <f>"202105193382"</f>
        <v>202105193382</v>
      </c>
      <c r="F789" t="str">
        <f>"Miscel"</f>
        <v>Miscel</v>
      </c>
      <c r="G789" s="2">
        <v>40</v>
      </c>
      <c r="H789" t="str">
        <f>"RONALD DALE BLACKMORE"</f>
        <v>RONALD DALE BLACKMORE</v>
      </c>
    </row>
    <row r="790" spans="1:8" x14ac:dyDescent="0.25">
      <c r="A790" t="s">
        <v>210</v>
      </c>
      <c r="B790">
        <v>135579</v>
      </c>
      <c r="C790" s="2">
        <v>40</v>
      </c>
      <c r="D790" s="1">
        <v>44335</v>
      </c>
      <c r="E790" t="str">
        <f>"202105193383"</f>
        <v>202105193383</v>
      </c>
      <c r="F790" t="str">
        <f>"Miscella"</f>
        <v>Miscella</v>
      </c>
      <c r="G790" s="2">
        <v>40</v>
      </c>
      <c r="H790" t="str">
        <f>"THOMAS EDWARD WHITE"</f>
        <v>THOMAS EDWARD WHITE</v>
      </c>
    </row>
    <row r="791" spans="1:8" x14ac:dyDescent="0.25">
      <c r="A791" t="s">
        <v>211</v>
      </c>
      <c r="B791">
        <v>135580</v>
      </c>
      <c r="C791" s="2">
        <v>40</v>
      </c>
      <c r="D791" s="1">
        <v>44335</v>
      </c>
      <c r="E791" t="str">
        <f>"202105193384"</f>
        <v>202105193384</v>
      </c>
      <c r="F791" t="str">
        <f>"Miscel"</f>
        <v>Miscel</v>
      </c>
      <c r="G791" s="2">
        <v>40</v>
      </c>
      <c r="H791" t="str">
        <f>"RONA MICHELLE SHEERAN"</f>
        <v>RONA MICHELLE SHEERAN</v>
      </c>
    </row>
    <row r="792" spans="1:8" x14ac:dyDescent="0.25">
      <c r="A792" t="s">
        <v>212</v>
      </c>
      <c r="B792">
        <v>135581</v>
      </c>
      <c r="C792" s="2">
        <v>40</v>
      </c>
      <c r="D792" s="1">
        <v>44335</v>
      </c>
      <c r="E792" t="str">
        <f>"202105193385"</f>
        <v>202105193385</v>
      </c>
      <c r="F792" t="str">
        <f>"Mi"</f>
        <v>Mi</v>
      </c>
      <c r="G792" s="2">
        <v>40</v>
      </c>
      <c r="H792" t="str">
        <f>"SAMELLA THOMPSON WILLIAMS"</f>
        <v>SAMELLA THOMPSON WILLIAMS</v>
      </c>
    </row>
    <row r="793" spans="1:8" x14ac:dyDescent="0.25">
      <c r="A793" t="s">
        <v>213</v>
      </c>
      <c r="B793">
        <v>135582</v>
      </c>
      <c r="C793" s="2">
        <v>40</v>
      </c>
      <c r="D793" s="1">
        <v>44335</v>
      </c>
      <c r="E793" t="str">
        <f>"202105193386"</f>
        <v>202105193386</v>
      </c>
      <c r="F793" t="str">
        <f>"Miscel"</f>
        <v>Miscel</v>
      </c>
      <c r="G793" s="2">
        <v>40</v>
      </c>
      <c r="H793" t="str">
        <f>"STEVE RAY CHAMBERLAIN"</f>
        <v>STEVE RAY CHAMBERLAIN</v>
      </c>
    </row>
    <row r="794" spans="1:8" x14ac:dyDescent="0.25">
      <c r="A794" t="s">
        <v>214</v>
      </c>
      <c r="B794">
        <v>135652</v>
      </c>
      <c r="C794" s="2">
        <v>20769.310000000001</v>
      </c>
      <c r="D794" s="1">
        <v>44340</v>
      </c>
      <c r="E794" t="str">
        <f>"8230323140"</f>
        <v>8230323140</v>
      </c>
      <c r="F794" t="str">
        <f>"TRANSACTION#8230318371"</f>
        <v>TRANSACTION#8230318371</v>
      </c>
      <c r="G794" s="2">
        <v>20769.310000000001</v>
      </c>
      <c r="H794" t="str">
        <f>"CUST#10362152177"</f>
        <v>CUST#10362152177</v>
      </c>
    </row>
    <row r="795" spans="1:8" x14ac:dyDescent="0.25">
      <c r="A795" t="s">
        <v>215</v>
      </c>
      <c r="B795">
        <v>135653</v>
      </c>
      <c r="C795" s="2">
        <v>97.13</v>
      </c>
      <c r="D795" s="1">
        <v>44340</v>
      </c>
      <c r="E795" t="str">
        <f>"202105193344"</f>
        <v>202105193344</v>
      </c>
      <c r="F795" t="str">
        <f>"INDIGENT HEALTH"</f>
        <v>INDIGENT HEALTH</v>
      </c>
      <c r="G795" s="2">
        <v>97.13</v>
      </c>
      <c r="H795" t="str">
        <f>"INDIGENT HEALTH"</f>
        <v>INDIGENT HEALTH</v>
      </c>
    </row>
    <row r="796" spans="1:8" x14ac:dyDescent="0.25">
      <c r="A796" t="s">
        <v>216</v>
      </c>
      <c r="B796">
        <v>135654</v>
      </c>
      <c r="C796" s="2">
        <v>630</v>
      </c>
      <c r="D796" s="1">
        <v>44340</v>
      </c>
      <c r="E796" t="str">
        <f>"202105133177"</f>
        <v>202105133177</v>
      </c>
      <c r="F796" t="str">
        <f>"REIMBURSEMENT/24055/24054/2285"</f>
        <v>REIMBURSEMENT/24055/24054/2285</v>
      </c>
      <c r="G796" s="2">
        <v>195</v>
      </c>
      <c r="H796" t="str">
        <f>"REIMBURSEMENT/24055/24054/2285"</f>
        <v>REIMBURSEMENT/24055/24054/2285</v>
      </c>
    </row>
    <row r="797" spans="1:8" x14ac:dyDescent="0.25">
      <c r="E797" t="str">
        <f>"202105133238"</f>
        <v>202105133238</v>
      </c>
      <c r="F797" t="str">
        <f>"REIMBURSE#25790/25945/25803"</f>
        <v>REIMBURSE#25790/25945/25803</v>
      </c>
      <c r="G797" s="2">
        <v>435</v>
      </c>
      <c r="H797" t="str">
        <f>"REIMBURSE#25790/25945/25803"</f>
        <v>REIMBURSE#25790/25945/25803</v>
      </c>
    </row>
    <row r="798" spans="1:8" x14ac:dyDescent="0.25">
      <c r="A798" t="s">
        <v>217</v>
      </c>
      <c r="B798">
        <v>135655</v>
      </c>
      <c r="C798" s="2">
        <v>41.31</v>
      </c>
      <c r="D798" s="1">
        <v>44340</v>
      </c>
      <c r="E798" t="str">
        <f>"202105183322"</f>
        <v>202105183322</v>
      </c>
      <c r="F798" t="str">
        <f>"REIMBUSEMENT FOR FUEL"</f>
        <v>REIMBUSEMENT FOR FUEL</v>
      </c>
      <c r="G798" s="2">
        <v>41.31</v>
      </c>
      <c r="H798" t="str">
        <f>"REIMBUSEMENT FOR FUEL"</f>
        <v>REIMBUSEMENT FOR FUEL</v>
      </c>
    </row>
    <row r="799" spans="1:8" x14ac:dyDescent="0.25">
      <c r="A799" t="s">
        <v>218</v>
      </c>
      <c r="B799">
        <v>4401</v>
      </c>
      <c r="C799" s="2">
        <v>9387.4</v>
      </c>
      <c r="D799" s="1">
        <v>44327</v>
      </c>
      <c r="E799" t="str">
        <f>"IN0857971"</f>
        <v>IN0857971</v>
      </c>
      <c r="F799" t="str">
        <f>"INV IN0857971"</f>
        <v>INV IN0857971</v>
      </c>
      <c r="G799" s="2">
        <v>1814.8</v>
      </c>
      <c r="H799" t="str">
        <f>"INV IN0857971"</f>
        <v>INV IN0857971</v>
      </c>
    </row>
    <row r="800" spans="1:8" x14ac:dyDescent="0.25">
      <c r="E800" t="str">
        <f>"IN0858354"</f>
        <v>IN0858354</v>
      </c>
      <c r="F800" t="str">
        <f>"IN0858354"</f>
        <v>IN0858354</v>
      </c>
      <c r="G800" s="2">
        <v>7572.6</v>
      </c>
      <c r="H800" t="str">
        <f>"IN0858354"</f>
        <v>IN0858354</v>
      </c>
    </row>
    <row r="801" spans="1:8" x14ac:dyDescent="0.25">
      <c r="A801" t="s">
        <v>218</v>
      </c>
      <c r="B801">
        <v>4475</v>
      </c>
      <c r="C801" s="2">
        <v>14842.38</v>
      </c>
      <c r="D801" s="1">
        <v>44341</v>
      </c>
      <c r="E801" t="str">
        <f>"IN0858019"</f>
        <v>IN0858019</v>
      </c>
      <c r="F801" t="str">
        <f>"INV IN0858019  IN0858797"</f>
        <v>INV IN0858019  IN0858797</v>
      </c>
      <c r="G801" s="2">
        <v>14842.38</v>
      </c>
      <c r="H801" t="str">
        <f>"INV IN0858019"</f>
        <v>INV IN0858019</v>
      </c>
    </row>
    <row r="802" spans="1:8" x14ac:dyDescent="0.25">
      <c r="E802" t="str">
        <f>""</f>
        <v/>
      </c>
      <c r="F802" t="str">
        <f>""</f>
        <v/>
      </c>
      <c r="H802" t="str">
        <f>"INV IN0858797"</f>
        <v>INV IN0858797</v>
      </c>
    </row>
    <row r="803" spans="1:8" x14ac:dyDescent="0.25">
      <c r="E803" t="str">
        <f>""</f>
        <v/>
      </c>
      <c r="F803" t="str">
        <f>""</f>
        <v/>
      </c>
      <c r="H803" t="str">
        <f>"INV IN0858935"</f>
        <v>INV IN0858935</v>
      </c>
    </row>
    <row r="804" spans="1:8" x14ac:dyDescent="0.25">
      <c r="E804" t="str">
        <f>""</f>
        <v/>
      </c>
      <c r="F804" t="str">
        <f>""</f>
        <v/>
      </c>
      <c r="H804" t="str">
        <f>"INV IN0858489"</f>
        <v>INV IN0858489</v>
      </c>
    </row>
    <row r="805" spans="1:8" x14ac:dyDescent="0.25">
      <c r="E805" t="str">
        <f>""</f>
        <v/>
      </c>
      <c r="F805" t="str">
        <f>""</f>
        <v/>
      </c>
      <c r="H805" t="str">
        <f>"INV IN0858763"</f>
        <v>INV IN0858763</v>
      </c>
    </row>
    <row r="806" spans="1:8" x14ac:dyDescent="0.25">
      <c r="A806" t="s">
        <v>219</v>
      </c>
      <c r="B806">
        <v>135516</v>
      </c>
      <c r="C806" s="2">
        <v>7200</v>
      </c>
      <c r="D806" s="1">
        <v>44326</v>
      </c>
      <c r="E806" t="str">
        <f>"2051"</f>
        <v>2051</v>
      </c>
      <c r="F806" t="str">
        <f>"Video Magistrate Service"</f>
        <v>Video Magistrate Service</v>
      </c>
      <c r="G806" s="2">
        <v>7200</v>
      </c>
      <c r="H806" t="str">
        <f>"Video Magistrate Serivce"</f>
        <v>Video Magistrate Serivce</v>
      </c>
    </row>
    <row r="807" spans="1:8" x14ac:dyDescent="0.25">
      <c r="A807" t="s">
        <v>220</v>
      </c>
      <c r="B807">
        <v>0</v>
      </c>
      <c r="C807" s="2">
        <v>0</v>
      </c>
      <c r="D807" s="1">
        <v>44341</v>
      </c>
      <c r="E807" t="str">
        <f>"202105253393"</f>
        <v>202105253393</v>
      </c>
      <c r="F807" t="str">
        <f>"INDIGENT HEALTH - VOID"</f>
        <v>INDIGENT HEALTH - VOID</v>
      </c>
      <c r="G807" s="2">
        <v>-503.08</v>
      </c>
      <c r="H807" t="str">
        <f>"INDIGENT HEALTH - VOID"</f>
        <v>INDIGENT HEALTH - VOID</v>
      </c>
    </row>
    <row r="808" spans="1:8" x14ac:dyDescent="0.25">
      <c r="E808" t="str">
        <f>"202105193345"</f>
        <v>202105193345</v>
      </c>
      <c r="F808" t="str">
        <f>"INDIGENT HEALTH"</f>
        <v>INDIGENT HEALTH</v>
      </c>
      <c r="G808" s="2">
        <v>503.08</v>
      </c>
      <c r="H808" t="str">
        <f>"INDIGENT HEALTH"</f>
        <v>INDIGENT HEALTH</v>
      </c>
    </row>
    <row r="809" spans="1:8" x14ac:dyDescent="0.25">
      <c r="A809" t="s">
        <v>220</v>
      </c>
      <c r="B809">
        <v>135656</v>
      </c>
      <c r="C809" s="2">
        <v>503.08</v>
      </c>
      <c r="D809" s="1">
        <v>44340</v>
      </c>
      <c r="E809" t="str">
        <f>"202105193364"</f>
        <v>202105193364</v>
      </c>
      <c r="F809" t="str">
        <f>"JAIL MEDICAL"</f>
        <v>JAIL MEDICAL</v>
      </c>
      <c r="G809" s="2">
        <v>503.08</v>
      </c>
      <c r="H809" t="str">
        <f>"JAIL MEDICAL"</f>
        <v>JAIL MEDICAL</v>
      </c>
    </row>
    <row r="810" spans="1:8" x14ac:dyDescent="0.25">
      <c r="A810" t="s">
        <v>221</v>
      </c>
      <c r="B810">
        <v>135517</v>
      </c>
      <c r="C810" s="2">
        <v>1167</v>
      </c>
      <c r="D810" s="1">
        <v>44326</v>
      </c>
      <c r="E810" t="str">
        <f>"404641S"</f>
        <v>404641S</v>
      </c>
      <c r="F810" t="str">
        <f>"CUST#38859/PCT#2"</f>
        <v>CUST#38859/PCT#2</v>
      </c>
      <c r="G810" s="2">
        <v>1167</v>
      </c>
      <c r="H810" t="str">
        <f>"CUST#38859/PCT#2"</f>
        <v>CUST#38859/PCT#2</v>
      </c>
    </row>
    <row r="811" spans="1:8" x14ac:dyDescent="0.25">
      <c r="A811" t="s">
        <v>222</v>
      </c>
      <c r="B811">
        <v>4464</v>
      </c>
      <c r="C811" s="2">
        <v>307.11</v>
      </c>
      <c r="D811" s="1">
        <v>44327</v>
      </c>
      <c r="E811" t="str">
        <f>"0581-2782523"</f>
        <v>0581-2782523</v>
      </c>
      <c r="F811" t="str">
        <f>"INV 0581-2782523"</f>
        <v>INV 0581-2782523</v>
      </c>
      <c r="G811" s="2">
        <v>29.36</v>
      </c>
      <c r="H811" t="str">
        <f>"INV 0581-2782523"</f>
        <v>INV 0581-2782523</v>
      </c>
    </row>
    <row r="812" spans="1:8" x14ac:dyDescent="0.25">
      <c r="E812" t="str">
        <f>"0581-278254"</f>
        <v>0581-278254</v>
      </c>
      <c r="F812" t="str">
        <f>"INV 0581-278254"</f>
        <v>INV 0581-278254</v>
      </c>
      <c r="G812" s="2">
        <v>79.959999999999994</v>
      </c>
      <c r="H812" t="str">
        <f>"INV 0581-278254"</f>
        <v>INV 0581-278254</v>
      </c>
    </row>
    <row r="813" spans="1:8" x14ac:dyDescent="0.25">
      <c r="E813" t="str">
        <f>"202105042984"</f>
        <v>202105042984</v>
      </c>
      <c r="F813" t="str">
        <f>"ACCT#99088/PCT#4"</f>
        <v>ACCT#99088/PCT#4</v>
      </c>
      <c r="G813" s="2">
        <v>110.26</v>
      </c>
      <c r="H813" t="str">
        <f>"ACCT#99088/PCT#4"</f>
        <v>ACCT#99088/PCT#4</v>
      </c>
    </row>
    <row r="814" spans="1:8" x14ac:dyDescent="0.25">
      <c r="E814" t="str">
        <f>"202105053046"</f>
        <v>202105053046</v>
      </c>
      <c r="F814" t="str">
        <f>"CUST#1772018/PCT#1"</f>
        <v>CUST#1772018/PCT#1</v>
      </c>
      <c r="G814" s="2">
        <v>87.53</v>
      </c>
      <c r="H814" t="str">
        <f>"CUST#1772018/PCT#1"</f>
        <v>CUST#1772018/PCT#1</v>
      </c>
    </row>
    <row r="815" spans="1:8" x14ac:dyDescent="0.25">
      <c r="A815" t="s">
        <v>223</v>
      </c>
      <c r="B815">
        <v>135657</v>
      </c>
      <c r="C815" s="2">
        <v>1556.28</v>
      </c>
      <c r="D815" s="1">
        <v>44340</v>
      </c>
      <c r="E815" t="str">
        <f>"202105193392"</f>
        <v>202105193392</v>
      </c>
      <c r="F815" t="str">
        <f>"Statement"</f>
        <v>Statement</v>
      </c>
      <c r="G815" s="2">
        <v>1556.28</v>
      </c>
      <c r="H815" t="str">
        <f>"170600730002"</f>
        <v>170600730002</v>
      </c>
    </row>
    <row r="816" spans="1:8" x14ac:dyDescent="0.25">
      <c r="E816" t="str">
        <f>""</f>
        <v/>
      </c>
      <c r="F816" t="str">
        <f>""</f>
        <v/>
      </c>
      <c r="H816" t="str">
        <f>"170607914001"</f>
        <v>170607914001</v>
      </c>
    </row>
    <row r="817" spans="5:8" x14ac:dyDescent="0.25">
      <c r="E817" t="str">
        <f>""</f>
        <v/>
      </c>
      <c r="F817" t="str">
        <f>""</f>
        <v/>
      </c>
      <c r="H817" t="str">
        <f>"171357236001"</f>
        <v>171357236001</v>
      </c>
    </row>
    <row r="818" spans="5:8" x14ac:dyDescent="0.25">
      <c r="E818" t="str">
        <f>""</f>
        <v/>
      </c>
      <c r="F818" t="str">
        <f>""</f>
        <v/>
      </c>
      <c r="H818" t="str">
        <f>"169138001001"</f>
        <v>169138001001</v>
      </c>
    </row>
    <row r="819" spans="5:8" x14ac:dyDescent="0.25">
      <c r="E819" t="str">
        <f>""</f>
        <v/>
      </c>
      <c r="F819" t="str">
        <f>""</f>
        <v/>
      </c>
      <c r="H819" t="str">
        <f>"169396852001"</f>
        <v>169396852001</v>
      </c>
    </row>
    <row r="820" spans="5:8" x14ac:dyDescent="0.25">
      <c r="E820" t="str">
        <f>""</f>
        <v/>
      </c>
      <c r="F820" t="str">
        <f>""</f>
        <v/>
      </c>
      <c r="H820" t="str">
        <f>"169400223001"</f>
        <v>169400223001</v>
      </c>
    </row>
    <row r="821" spans="5:8" x14ac:dyDescent="0.25">
      <c r="E821" t="str">
        <f>""</f>
        <v/>
      </c>
      <c r="F821" t="str">
        <f>""</f>
        <v/>
      </c>
      <c r="H821" t="str">
        <f>"167030138001"</f>
        <v>167030138001</v>
      </c>
    </row>
    <row r="822" spans="5:8" x14ac:dyDescent="0.25">
      <c r="E822" t="str">
        <f>""</f>
        <v/>
      </c>
      <c r="F822" t="str">
        <f>""</f>
        <v/>
      </c>
      <c r="H822" t="str">
        <f>"170513873001"</f>
        <v>170513873001</v>
      </c>
    </row>
    <row r="823" spans="5:8" x14ac:dyDescent="0.25">
      <c r="E823" t="str">
        <f>""</f>
        <v/>
      </c>
      <c r="F823" t="str">
        <f>""</f>
        <v/>
      </c>
      <c r="H823" t="str">
        <f>"170515952001"</f>
        <v>170515952001</v>
      </c>
    </row>
    <row r="824" spans="5:8" x14ac:dyDescent="0.25">
      <c r="E824" t="str">
        <f>""</f>
        <v/>
      </c>
      <c r="F824" t="str">
        <f>""</f>
        <v/>
      </c>
      <c r="H824" t="str">
        <f>"167469991002"</f>
        <v>167469991002</v>
      </c>
    </row>
    <row r="825" spans="5:8" x14ac:dyDescent="0.25">
      <c r="E825" t="str">
        <f>""</f>
        <v/>
      </c>
      <c r="F825" t="str">
        <f>""</f>
        <v/>
      </c>
      <c r="H825" t="str">
        <f>"169252955001"</f>
        <v>169252955001</v>
      </c>
    </row>
    <row r="826" spans="5:8" x14ac:dyDescent="0.25">
      <c r="E826" t="str">
        <f>""</f>
        <v/>
      </c>
      <c r="F826" t="str">
        <f>""</f>
        <v/>
      </c>
      <c r="H826" t="str">
        <f>"169252955002"</f>
        <v>169252955002</v>
      </c>
    </row>
    <row r="827" spans="5:8" x14ac:dyDescent="0.25">
      <c r="E827" t="str">
        <f>""</f>
        <v/>
      </c>
      <c r="F827" t="str">
        <f>""</f>
        <v/>
      </c>
      <c r="H827" t="str">
        <f>"169262468001"</f>
        <v>169262468001</v>
      </c>
    </row>
    <row r="828" spans="5:8" x14ac:dyDescent="0.25">
      <c r="E828" t="str">
        <f>""</f>
        <v/>
      </c>
      <c r="F828" t="str">
        <f>""</f>
        <v/>
      </c>
      <c r="H828" t="str">
        <f>"169248028001"</f>
        <v>169248028001</v>
      </c>
    </row>
    <row r="829" spans="5:8" x14ac:dyDescent="0.25">
      <c r="E829" t="str">
        <f>""</f>
        <v/>
      </c>
      <c r="F829" t="str">
        <f>""</f>
        <v/>
      </c>
      <c r="H829" t="str">
        <f>"169898868001"</f>
        <v>169898868001</v>
      </c>
    </row>
    <row r="830" spans="5:8" x14ac:dyDescent="0.25">
      <c r="E830" t="str">
        <f>""</f>
        <v/>
      </c>
      <c r="F830" t="str">
        <f>""</f>
        <v/>
      </c>
      <c r="H830" t="str">
        <f>"169069144001"</f>
        <v>169069144001</v>
      </c>
    </row>
    <row r="831" spans="5:8" x14ac:dyDescent="0.25">
      <c r="E831" t="str">
        <f>""</f>
        <v/>
      </c>
      <c r="F831" t="str">
        <f>""</f>
        <v/>
      </c>
      <c r="H831" t="str">
        <f>"169095974001"</f>
        <v>169095974001</v>
      </c>
    </row>
    <row r="832" spans="5:8" x14ac:dyDescent="0.25">
      <c r="E832" t="str">
        <f>""</f>
        <v/>
      </c>
      <c r="F832" t="str">
        <f>""</f>
        <v/>
      </c>
      <c r="H832" t="str">
        <f>"169095975001"</f>
        <v>169095975001</v>
      </c>
    </row>
    <row r="833" spans="1:8" x14ac:dyDescent="0.25">
      <c r="A833" t="s">
        <v>224</v>
      </c>
      <c r="B833">
        <v>135658</v>
      </c>
      <c r="C833" s="2">
        <v>640</v>
      </c>
      <c r="D833" s="1">
        <v>44340</v>
      </c>
      <c r="E833" t="str">
        <f>"288915"</f>
        <v>288915</v>
      </c>
      <c r="F833" t="str">
        <f>"CUST#BASCOU"</f>
        <v>CUST#BASCOU</v>
      </c>
      <c r="G833" s="2">
        <v>640</v>
      </c>
      <c r="H833" t="str">
        <f t="shared" ref="H833:H839" si="10">"CUST#BASCOU"</f>
        <v>CUST#BASCOU</v>
      </c>
    </row>
    <row r="834" spans="1:8" x14ac:dyDescent="0.25">
      <c r="E834" t="str">
        <f>""</f>
        <v/>
      </c>
      <c r="F834" t="str">
        <f>""</f>
        <v/>
      </c>
      <c r="H834" t="str">
        <f t="shared" si="10"/>
        <v>CUST#BASCOU</v>
      </c>
    </row>
    <row r="835" spans="1:8" x14ac:dyDescent="0.25">
      <c r="E835" t="str">
        <f>""</f>
        <v/>
      </c>
      <c r="F835" t="str">
        <f>""</f>
        <v/>
      </c>
      <c r="H835" t="str">
        <f t="shared" si="10"/>
        <v>CUST#BASCOU</v>
      </c>
    </row>
    <row r="836" spans="1:8" x14ac:dyDescent="0.25">
      <c r="E836" t="str">
        <f>""</f>
        <v/>
      </c>
      <c r="F836" t="str">
        <f>""</f>
        <v/>
      </c>
      <c r="H836" t="str">
        <f t="shared" si="10"/>
        <v>CUST#BASCOU</v>
      </c>
    </row>
    <row r="837" spans="1:8" x14ac:dyDescent="0.25">
      <c r="E837" t="str">
        <f>""</f>
        <v/>
      </c>
      <c r="F837" t="str">
        <f>""</f>
        <v/>
      </c>
      <c r="H837" t="str">
        <f t="shared" si="10"/>
        <v>CUST#BASCOU</v>
      </c>
    </row>
    <row r="838" spans="1:8" x14ac:dyDescent="0.25">
      <c r="E838" t="str">
        <f>""</f>
        <v/>
      </c>
      <c r="F838" t="str">
        <f>""</f>
        <v/>
      </c>
      <c r="H838" t="str">
        <f t="shared" si="10"/>
        <v>CUST#BASCOU</v>
      </c>
    </row>
    <row r="839" spans="1:8" x14ac:dyDescent="0.25">
      <c r="E839" t="str">
        <f>""</f>
        <v/>
      </c>
      <c r="F839" t="str">
        <f>""</f>
        <v/>
      </c>
      <c r="H839" t="str">
        <f t="shared" si="10"/>
        <v>CUST#BASCOU</v>
      </c>
    </row>
    <row r="840" spans="1:8" x14ac:dyDescent="0.25">
      <c r="A840" t="s">
        <v>225</v>
      </c>
      <c r="B840">
        <v>4453</v>
      </c>
      <c r="C840" s="2">
        <v>2248</v>
      </c>
      <c r="D840" s="1">
        <v>44327</v>
      </c>
      <c r="E840" t="str">
        <f>"2814"</f>
        <v>2814</v>
      </c>
      <c r="F840" t="str">
        <f>"WATER HEATER LEAKING"</f>
        <v>WATER HEATER LEAKING</v>
      </c>
      <c r="G840" s="2">
        <v>1550</v>
      </c>
      <c r="H840" t="str">
        <f>"WATER HEATER LEAKING"</f>
        <v>WATER HEATER LEAKING</v>
      </c>
    </row>
    <row r="841" spans="1:8" x14ac:dyDescent="0.25">
      <c r="E841" t="str">
        <f>"2972"</f>
        <v>2972</v>
      </c>
      <c r="F841" t="str">
        <f>"SHOWER DRAIN REPLACEMENT"</f>
        <v>SHOWER DRAIN REPLACEMENT</v>
      </c>
      <c r="G841" s="2">
        <v>698</v>
      </c>
      <c r="H841" t="str">
        <f>"SHOWER DRAIN REPLACEMENT"</f>
        <v>SHOWER DRAIN REPLACEMENT</v>
      </c>
    </row>
    <row r="842" spans="1:8" x14ac:dyDescent="0.25">
      <c r="A842" t="s">
        <v>225</v>
      </c>
      <c r="B842">
        <v>4529</v>
      </c>
      <c r="C842" s="2">
        <v>256</v>
      </c>
      <c r="D842" s="1">
        <v>44341</v>
      </c>
      <c r="E842" t="str">
        <f>"2814/1"</f>
        <v>2814/1</v>
      </c>
      <c r="F842" t="str">
        <f>"FINAL PAYMENT #2814/GENERAL S"</f>
        <v>FINAL PAYMENT #2814/GENERAL S</v>
      </c>
      <c r="G842" s="2">
        <v>256</v>
      </c>
      <c r="H842" t="str">
        <f>"FINAL PAYMENT #2814/GENERAL S"</f>
        <v>FINAL PAYMENT #2814/GENERAL S</v>
      </c>
    </row>
    <row r="843" spans="1:8" x14ac:dyDescent="0.25">
      <c r="A843" t="s">
        <v>226</v>
      </c>
      <c r="B843">
        <v>4474</v>
      </c>
      <c r="C843" s="2">
        <v>28237.09</v>
      </c>
      <c r="D843" s="1">
        <v>44327</v>
      </c>
      <c r="E843" t="str">
        <f>"21149"</f>
        <v>21149</v>
      </c>
      <c r="F843" t="str">
        <f>"P2 STABILIZER ASPHALT EMUL/P2"</f>
        <v>P2 STABILIZER ASPHALT EMUL/P2</v>
      </c>
      <c r="G843" s="2">
        <v>-13338.31</v>
      </c>
      <c r="H843" t="str">
        <f>"P2 STABILIZER ASPHALT EMULSION"</f>
        <v>P2 STABILIZER ASPHALT EMULSION</v>
      </c>
    </row>
    <row r="844" spans="1:8" x14ac:dyDescent="0.25">
      <c r="E844" t="str">
        <f>"21151"</f>
        <v>21151</v>
      </c>
      <c r="F844" t="str">
        <f>"P2 CWP/POTHOLE PATCH/ PCT#2"</f>
        <v>P2 CWP/POTHOLE PATCH/ PCT#2</v>
      </c>
      <c r="G844" s="2">
        <v>-14898.78</v>
      </c>
      <c r="H844" t="str">
        <f>"P2 CWP/POTHOLE PATCH/ PCT#2"</f>
        <v>P2 CWP/POTHOLE PATCH/ PCT#2</v>
      </c>
    </row>
    <row r="845" spans="1:8" x14ac:dyDescent="0.25">
      <c r="E845" t="str">
        <f>"21149"</f>
        <v>21149</v>
      </c>
      <c r="F845" t="str">
        <f>"STABILIZER EMULSION/PCT#3"</f>
        <v>STABILIZER EMULSION/PCT#3</v>
      </c>
      <c r="G845" s="2">
        <v>13338.31</v>
      </c>
      <c r="H845" t="str">
        <f>"STABILIZER EMULSION/PCT#3"</f>
        <v>STABILIZER EMULSION/PCT#3</v>
      </c>
    </row>
    <row r="846" spans="1:8" x14ac:dyDescent="0.25">
      <c r="E846" t="str">
        <f>"21149-I"</f>
        <v>21149-I</v>
      </c>
      <c r="F846" t="str">
        <f>"P2 STABILIZER ASPHALT EMUL/P2"</f>
        <v>P2 STABILIZER ASPHALT EMUL/P2</v>
      </c>
      <c r="G846" s="2">
        <v>13338.31</v>
      </c>
      <c r="H846" t="str">
        <f>"P2 STABILIZER ASPHALT EMUL/P2"</f>
        <v>P2 STABILIZER ASPHALT EMUL/P2</v>
      </c>
    </row>
    <row r="847" spans="1:8" x14ac:dyDescent="0.25">
      <c r="E847" t="str">
        <f>"21151"</f>
        <v>21151</v>
      </c>
      <c r="F847" t="str">
        <f>"POTHOLE PATCH/PCT#3"</f>
        <v>POTHOLE PATCH/PCT#3</v>
      </c>
      <c r="G847" s="2">
        <v>14898.78</v>
      </c>
      <c r="H847" t="str">
        <f>"POTHOLE PATCH/PCT#3"</f>
        <v>POTHOLE PATCH/PCT#3</v>
      </c>
    </row>
    <row r="848" spans="1:8" x14ac:dyDescent="0.25">
      <c r="E848" t="str">
        <f>"21151-I"</f>
        <v>21151-I</v>
      </c>
      <c r="F848" t="str">
        <f>"P2 CWP POTHOLE PATCH/PCT#2"</f>
        <v>P2 CWP POTHOLE PATCH/PCT#2</v>
      </c>
      <c r="G848" s="2">
        <v>14898.78</v>
      </c>
      <c r="H848" t="str">
        <f>"P2 CWP POTHOLE PATCH/PCT#2"</f>
        <v>P2 CWP POTHOLE PATCH/PCT#2</v>
      </c>
    </row>
    <row r="849" spans="1:8" x14ac:dyDescent="0.25">
      <c r="A849" t="s">
        <v>227</v>
      </c>
      <c r="B849">
        <v>135518</v>
      </c>
      <c r="C849" s="2">
        <v>381.98</v>
      </c>
      <c r="D849" s="1">
        <v>44326</v>
      </c>
      <c r="E849" t="str">
        <f>"81880"</f>
        <v>81880</v>
      </c>
      <c r="F849" t="str">
        <f>"TRIMMER/PCT#1"</f>
        <v>TRIMMER/PCT#1</v>
      </c>
      <c r="G849" s="2">
        <v>381.98</v>
      </c>
      <c r="H849" t="str">
        <f>"TRIMMER/PCT#1"</f>
        <v>TRIMMER/PCT#1</v>
      </c>
    </row>
    <row r="850" spans="1:8" x14ac:dyDescent="0.25">
      <c r="A850" t="s">
        <v>227</v>
      </c>
      <c r="B850">
        <v>135659</v>
      </c>
      <c r="C850" s="2">
        <v>392.98</v>
      </c>
      <c r="D850" s="1">
        <v>44340</v>
      </c>
      <c r="E850" t="str">
        <f>"81845"</f>
        <v>81845</v>
      </c>
      <c r="F850" t="str">
        <f>"18  BAR/PCT#4"</f>
        <v>18  BAR/PCT#4</v>
      </c>
      <c r="G850" s="2">
        <v>392.98</v>
      </c>
      <c r="H850" t="str">
        <f>"18  BAR/PCT#4"</f>
        <v>18  BAR/PCT#4</v>
      </c>
    </row>
    <row r="851" spans="1:8" x14ac:dyDescent="0.25">
      <c r="A851" t="s">
        <v>228</v>
      </c>
      <c r="B851">
        <v>4514</v>
      </c>
      <c r="C851" s="2">
        <v>145</v>
      </c>
      <c r="D851" s="1">
        <v>44341</v>
      </c>
      <c r="E851" t="str">
        <f>"0000057405"</f>
        <v>0000057405</v>
      </c>
      <c r="F851" t="str">
        <f>"INV 0000057405"</f>
        <v>INV 0000057405</v>
      </c>
      <c r="G851" s="2">
        <v>145</v>
      </c>
      <c r="H851" t="str">
        <f>"INV 0000057405"</f>
        <v>INV 0000057405</v>
      </c>
    </row>
    <row r="852" spans="1:8" x14ac:dyDescent="0.25">
      <c r="A852" t="s">
        <v>229</v>
      </c>
      <c r="B852">
        <v>135660</v>
      </c>
      <c r="C852" s="2">
        <v>95.42</v>
      </c>
      <c r="D852" s="1">
        <v>44340</v>
      </c>
      <c r="E852" t="str">
        <f>"202105133184"</f>
        <v>202105133184</v>
      </c>
      <c r="F852" t="str">
        <f>"ACCT#1137/PCT#4"</f>
        <v>ACCT#1137/PCT#4</v>
      </c>
      <c r="G852" s="2">
        <v>95.42</v>
      </c>
      <c r="H852" t="str">
        <f>"ACCT#1137/PCT#4"</f>
        <v>ACCT#1137/PCT#4</v>
      </c>
    </row>
    <row r="853" spans="1:8" x14ac:dyDescent="0.25">
      <c r="E853" t="str">
        <f>""</f>
        <v/>
      </c>
      <c r="F853" t="str">
        <f>""</f>
        <v/>
      </c>
      <c r="H853" t="str">
        <f>"ACCT#1137/PCT#4"</f>
        <v>ACCT#1137/PCT#4</v>
      </c>
    </row>
    <row r="854" spans="1:8" x14ac:dyDescent="0.25">
      <c r="A854" t="s">
        <v>230</v>
      </c>
      <c r="B854">
        <v>135519</v>
      </c>
      <c r="C854" s="2">
        <v>930.93</v>
      </c>
      <c r="D854" s="1">
        <v>44326</v>
      </c>
      <c r="E854" t="str">
        <f>"202105042996"</f>
        <v>202105042996</v>
      </c>
      <c r="F854" t="str">
        <f>"ACCT# 0200140783"</f>
        <v>ACCT# 0200140783</v>
      </c>
      <c r="G854" s="2">
        <v>930.93</v>
      </c>
      <c r="H854" t="str">
        <f>"ACCT# 0200140783"</f>
        <v>ACCT# 0200140783</v>
      </c>
    </row>
    <row r="855" spans="1:8" x14ac:dyDescent="0.25">
      <c r="E855" t="str">
        <f>""</f>
        <v/>
      </c>
      <c r="F855" t="str">
        <f>""</f>
        <v/>
      </c>
      <c r="H855" t="str">
        <f>"ACCT# 0200140783"</f>
        <v>ACCT# 0200140783</v>
      </c>
    </row>
    <row r="856" spans="1:8" x14ac:dyDescent="0.25">
      <c r="E856" t="str">
        <f>""</f>
        <v/>
      </c>
      <c r="F856" t="str">
        <f>""</f>
        <v/>
      </c>
      <c r="H856" t="str">
        <f>"ACCT# 0200140783"</f>
        <v>ACCT# 0200140783</v>
      </c>
    </row>
    <row r="857" spans="1:8" x14ac:dyDescent="0.25">
      <c r="A857" t="s">
        <v>231</v>
      </c>
      <c r="B857">
        <v>4406</v>
      </c>
      <c r="C857" s="2">
        <v>448.5</v>
      </c>
      <c r="D857" s="1">
        <v>44327</v>
      </c>
      <c r="E857" t="str">
        <f>"202105042980"</f>
        <v>202105042980</v>
      </c>
      <c r="F857" t="str">
        <f>"TRASH REMOVAL/PCT#4"</f>
        <v>TRASH REMOVAL/PCT#4</v>
      </c>
      <c r="G857" s="2">
        <v>227.5</v>
      </c>
      <c r="H857" t="str">
        <f>"TRASH REMOVAL/PCT#4"</f>
        <v>TRASH REMOVAL/PCT#4</v>
      </c>
    </row>
    <row r="858" spans="1:8" x14ac:dyDescent="0.25">
      <c r="E858" t="str">
        <f>"202105042981"</f>
        <v>202105042981</v>
      </c>
      <c r="F858" t="str">
        <f>"TRASH REMOVAL/PCT#4"</f>
        <v>TRASH REMOVAL/PCT#4</v>
      </c>
      <c r="G858" s="2">
        <v>221</v>
      </c>
      <c r="H858" t="str">
        <f>"TRASH REMOVAL/PCT#4"</f>
        <v>TRASH REMOVAL/PCT#4</v>
      </c>
    </row>
    <row r="859" spans="1:8" x14ac:dyDescent="0.25">
      <c r="A859" t="s">
        <v>231</v>
      </c>
      <c r="B859">
        <v>4482</v>
      </c>
      <c r="C859" s="2">
        <v>377</v>
      </c>
      <c r="D859" s="1">
        <v>44341</v>
      </c>
      <c r="E859" t="str">
        <f>"202105183299"</f>
        <v>202105183299</v>
      </c>
      <c r="F859" t="str">
        <f>"TRASH REMOVAL/PAUL GRANADO"</f>
        <v>TRASH REMOVAL/PAUL GRANADO</v>
      </c>
      <c r="G859" s="2">
        <v>377</v>
      </c>
      <c r="H859" t="str">
        <f>"TRASH REMOVAL/PAUL GRANADO"</f>
        <v>TRASH REMOVAL/PAUL GRANADO</v>
      </c>
    </row>
    <row r="860" spans="1:8" x14ac:dyDescent="0.25">
      <c r="A860" t="s">
        <v>232</v>
      </c>
      <c r="B860">
        <v>135520</v>
      </c>
      <c r="C860" s="2">
        <v>125</v>
      </c>
      <c r="D860" s="1">
        <v>44326</v>
      </c>
      <c r="E860" t="str">
        <f>"202104282880"</f>
        <v>202104282880</v>
      </c>
      <c r="F860" t="str">
        <f>"REIMBURSEMENT/PHILIP HALL"</f>
        <v>REIMBURSEMENT/PHILIP HALL</v>
      </c>
      <c r="G860" s="2">
        <v>125</v>
      </c>
      <c r="H860" t="str">
        <f>"REIMBURSEMENT/PHILIP HALL"</f>
        <v>REIMBURSEMENT/PHILIP HALL</v>
      </c>
    </row>
    <row r="861" spans="1:8" x14ac:dyDescent="0.25">
      <c r="A861" t="s">
        <v>233</v>
      </c>
      <c r="B861">
        <v>4454</v>
      </c>
      <c r="C861" s="2">
        <v>941</v>
      </c>
      <c r="D861" s="1">
        <v>44327</v>
      </c>
      <c r="E861" t="str">
        <f>"202104282853"</f>
        <v>202104282853</v>
      </c>
      <c r="F861" t="str">
        <f>"57-489 BC201916D"</f>
        <v>57-489 BC201916D</v>
      </c>
      <c r="G861" s="2">
        <v>375</v>
      </c>
      <c r="H861" t="str">
        <f>"57-489 BC201916D"</f>
        <v>57-489 BC201916D</v>
      </c>
    </row>
    <row r="862" spans="1:8" x14ac:dyDescent="0.25">
      <c r="E862" t="str">
        <f>"202104282854"</f>
        <v>202104282854</v>
      </c>
      <c r="F862" t="str">
        <f>"57600"</f>
        <v>57600</v>
      </c>
      <c r="G862" s="2">
        <v>250</v>
      </c>
      <c r="H862" t="str">
        <f>"57600"</f>
        <v>57600</v>
      </c>
    </row>
    <row r="863" spans="1:8" x14ac:dyDescent="0.25">
      <c r="E863" t="str">
        <f>"202105032918"</f>
        <v>202105032918</v>
      </c>
      <c r="F863" t="str">
        <f>"57513"</f>
        <v>57513</v>
      </c>
      <c r="G863" s="2">
        <v>316</v>
      </c>
      <c r="H863" t="str">
        <f>"57513"</f>
        <v>57513</v>
      </c>
    </row>
    <row r="864" spans="1:8" x14ac:dyDescent="0.25">
      <c r="A864" t="s">
        <v>234</v>
      </c>
      <c r="B864">
        <v>135521</v>
      </c>
      <c r="C864" s="2">
        <v>1000</v>
      </c>
      <c r="D864" s="1">
        <v>44326</v>
      </c>
      <c r="E864" t="str">
        <f>"202105032913"</f>
        <v>202105032913</v>
      </c>
      <c r="F864" t="str">
        <f>"310302020A"</f>
        <v>310302020A</v>
      </c>
      <c r="G864" s="2">
        <v>250</v>
      </c>
      <c r="H864" t="str">
        <f>"310302020A"</f>
        <v>310302020A</v>
      </c>
    </row>
    <row r="865" spans="1:8" x14ac:dyDescent="0.25">
      <c r="E865" t="str">
        <f>"202105032914"</f>
        <v>202105032914</v>
      </c>
      <c r="F865" t="str">
        <f>"4100820.6"</f>
        <v>4100820.6</v>
      </c>
      <c r="G865" s="2">
        <v>250</v>
      </c>
      <c r="H865" t="str">
        <f>"4100820.6"</f>
        <v>4100820.6</v>
      </c>
    </row>
    <row r="866" spans="1:8" x14ac:dyDescent="0.25">
      <c r="E866" t="str">
        <f>"202105032915"</f>
        <v>202105032915</v>
      </c>
      <c r="F866" t="str">
        <f>"4012720.5"</f>
        <v>4012720.5</v>
      </c>
      <c r="G866" s="2">
        <v>250</v>
      </c>
      <c r="H866" t="str">
        <f>"4012720.5"</f>
        <v>4012720.5</v>
      </c>
    </row>
    <row r="867" spans="1:8" x14ac:dyDescent="0.25">
      <c r="E867" t="str">
        <f>"202105032916"</f>
        <v>202105032916</v>
      </c>
      <c r="F867" t="str">
        <f>"JP110132020E"</f>
        <v>JP110132020E</v>
      </c>
      <c r="G867" s="2">
        <v>250</v>
      </c>
      <c r="H867" t="str">
        <f>"JP110132020E"</f>
        <v>JP110132020E</v>
      </c>
    </row>
    <row r="868" spans="1:8" x14ac:dyDescent="0.25">
      <c r="A868" t="s">
        <v>235</v>
      </c>
      <c r="B868">
        <v>135522</v>
      </c>
      <c r="C868" s="2">
        <v>54</v>
      </c>
      <c r="D868" s="1">
        <v>44326</v>
      </c>
      <c r="E868" t="str">
        <f>"00320"</f>
        <v>00320</v>
      </c>
      <c r="F868" t="str">
        <f>"INSPECTIONS/PCT#3"</f>
        <v>INSPECTIONS/PCT#3</v>
      </c>
      <c r="G868" s="2">
        <v>54</v>
      </c>
      <c r="H868" t="str">
        <f>"INSPECTIONS/PCT#3"</f>
        <v>INSPECTIONS/PCT#3</v>
      </c>
    </row>
    <row r="869" spans="1:8" x14ac:dyDescent="0.25">
      <c r="A869" t="s">
        <v>236</v>
      </c>
      <c r="B869">
        <v>135661</v>
      </c>
      <c r="C869" s="2">
        <v>618.4</v>
      </c>
      <c r="D869" s="1">
        <v>44340</v>
      </c>
      <c r="E869" t="str">
        <f>"1018103353"</f>
        <v>1018103353</v>
      </c>
      <c r="F869" t="str">
        <f>"ACCT#0011198047"</f>
        <v>ACCT#0011198047</v>
      </c>
      <c r="G869" s="2">
        <v>618.4</v>
      </c>
      <c r="H869" t="str">
        <f>"ACCT#0011198047"</f>
        <v>ACCT#0011198047</v>
      </c>
    </row>
    <row r="870" spans="1:8" x14ac:dyDescent="0.25">
      <c r="A870" t="s">
        <v>237</v>
      </c>
      <c r="B870">
        <v>4416</v>
      </c>
      <c r="C870" s="2">
        <v>5657.5</v>
      </c>
      <c r="D870" s="1">
        <v>44327</v>
      </c>
      <c r="E870" t="str">
        <f>"202104282865"</f>
        <v>202104282865</v>
      </c>
      <c r="F870" t="str">
        <f>"403049.3 403049.2"</f>
        <v>403049.3 403049.2</v>
      </c>
      <c r="G870" s="2">
        <v>375</v>
      </c>
      <c r="H870" t="str">
        <f>"403049.3 403049.2"</f>
        <v>403049.3 403049.2</v>
      </c>
    </row>
    <row r="871" spans="1:8" x14ac:dyDescent="0.25">
      <c r="E871" t="str">
        <f>"202104282866"</f>
        <v>202104282866</v>
      </c>
      <c r="F871" t="str">
        <f>"JP101152020M"</f>
        <v>JP101152020M</v>
      </c>
      <c r="G871" s="2">
        <v>250</v>
      </c>
      <c r="H871" t="str">
        <f>"JP101152020M"</f>
        <v>JP101152020M</v>
      </c>
    </row>
    <row r="872" spans="1:8" x14ac:dyDescent="0.25">
      <c r="E872" t="str">
        <f>"202104282867"</f>
        <v>202104282867</v>
      </c>
      <c r="F872" t="str">
        <f>"55-946"</f>
        <v>55-946</v>
      </c>
      <c r="G872" s="2">
        <v>250</v>
      </c>
      <c r="H872" t="str">
        <f>"55-946"</f>
        <v>55-946</v>
      </c>
    </row>
    <row r="873" spans="1:8" x14ac:dyDescent="0.25">
      <c r="E873" t="str">
        <f>"202104282868"</f>
        <v>202104282868</v>
      </c>
      <c r="F873" t="str">
        <f>"56-884 57-250"</f>
        <v>56-884 57-250</v>
      </c>
      <c r="G873" s="2">
        <v>375</v>
      </c>
      <c r="H873" t="str">
        <f>"56-884 57-250"</f>
        <v>56-884 57-250</v>
      </c>
    </row>
    <row r="874" spans="1:8" x14ac:dyDescent="0.25">
      <c r="E874" t="str">
        <f>"202104282869"</f>
        <v>202104282869</v>
      </c>
      <c r="F874" t="str">
        <f>"57-253"</f>
        <v>57-253</v>
      </c>
      <c r="G874" s="2">
        <v>250</v>
      </c>
      <c r="H874" t="str">
        <f>"57-253"</f>
        <v>57-253</v>
      </c>
    </row>
    <row r="875" spans="1:8" x14ac:dyDescent="0.25">
      <c r="E875" t="str">
        <f>"202104282870"</f>
        <v>202104282870</v>
      </c>
      <c r="F875" t="str">
        <f>"02-0722-2-19"</f>
        <v>02-0722-2-19</v>
      </c>
      <c r="G875" s="2">
        <v>250</v>
      </c>
      <c r="H875" t="str">
        <f>"02-0722-2-19"</f>
        <v>02-0722-2-19</v>
      </c>
    </row>
    <row r="876" spans="1:8" x14ac:dyDescent="0.25">
      <c r="E876" t="str">
        <f>"202104282871"</f>
        <v>202104282871</v>
      </c>
      <c r="F876" t="str">
        <f>"3100720196"</f>
        <v>3100720196</v>
      </c>
      <c r="G876" s="2">
        <v>250</v>
      </c>
      <c r="H876" t="str">
        <f>"3100720196"</f>
        <v>3100720196</v>
      </c>
    </row>
    <row r="877" spans="1:8" x14ac:dyDescent="0.25">
      <c r="E877" t="str">
        <f>"202104282872"</f>
        <v>202104282872</v>
      </c>
      <c r="F877" t="str">
        <f>"AC-2020-1230"</f>
        <v>AC-2020-1230</v>
      </c>
      <c r="G877" s="2">
        <v>250</v>
      </c>
      <c r="H877" t="str">
        <f>"AC-2020-1230"</f>
        <v>AC-2020-1230</v>
      </c>
    </row>
    <row r="878" spans="1:8" x14ac:dyDescent="0.25">
      <c r="E878" t="str">
        <f>"202105032902"</f>
        <v>202105032902</v>
      </c>
      <c r="F878" t="str">
        <f>"19-19567"</f>
        <v>19-19567</v>
      </c>
      <c r="G878" s="2">
        <v>1157.5</v>
      </c>
      <c r="H878" t="str">
        <f>"19-19567"</f>
        <v>19-19567</v>
      </c>
    </row>
    <row r="879" spans="1:8" x14ac:dyDescent="0.25">
      <c r="E879" t="str">
        <f>"202105032905"</f>
        <v>202105032905</v>
      </c>
      <c r="F879" t="str">
        <f>"3100720196"</f>
        <v>3100720196</v>
      </c>
      <c r="G879" s="2">
        <v>250</v>
      </c>
      <c r="H879" t="str">
        <f>"3100720196"</f>
        <v>3100720196</v>
      </c>
    </row>
    <row r="880" spans="1:8" x14ac:dyDescent="0.25">
      <c r="E880" t="str">
        <f>"202105032906"</f>
        <v>202105032906</v>
      </c>
      <c r="F880" t="str">
        <f>"02-0722-2-19"</f>
        <v>02-0722-2-19</v>
      </c>
      <c r="G880" s="2">
        <v>250</v>
      </c>
      <c r="H880" t="str">
        <f>"02-0722-2-19"</f>
        <v>02-0722-2-19</v>
      </c>
    </row>
    <row r="881" spans="1:8" x14ac:dyDescent="0.25">
      <c r="E881" t="str">
        <f>"202105032907"</f>
        <v>202105032907</v>
      </c>
      <c r="F881" t="str">
        <f>"57-253"</f>
        <v>57-253</v>
      </c>
      <c r="G881" s="2">
        <v>250</v>
      </c>
      <c r="H881" t="str">
        <f>"57-253"</f>
        <v>57-253</v>
      </c>
    </row>
    <row r="882" spans="1:8" x14ac:dyDescent="0.25">
      <c r="E882" t="str">
        <f>"202105032908"</f>
        <v>202105032908</v>
      </c>
      <c r="F882" t="str">
        <f>"AC-2020-1230"</f>
        <v>AC-2020-1230</v>
      </c>
      <c r="G882" s="2">
        <v>250</v>
      </c>
      <c r="H882" t="str">
        <f>"AC-2020-1230"</f>
        <v>AC-2020-1230</v>
      </c>
    </row>
    <row r="883" spans="1:8" x14ac:dyDescent="0.25">
      <c r="E883" t="str">
        <f>"202105032909"</f>
        <v>202105032909</v>
      </c>
      <c r="F883" t="str">
        <f>"55-946"</f>
        <v>55-946</v>
      </c>
      <c r="G883" s="2">
        <v>250</v>
      </c>
      <c r="H883" t="str">
        <f>"55-946"</f>
        <v>55-946</v>
      </c>
    </row>
    <row r="884" spans="1:8" x14ac:dyDescent="0.25">
      <c r="E884" t="str">
        <f>"202105032910"</f>
        <v>202105032910</v>
      </c>
      <c r="F884" t="str">
        <f>"56-884/57-250"</f>
        <v>56-884/57-250</v>
      </c>
      <c r="G884" s="2">
        <v>375</v>
      </c>
      <c r="H884" t="str">
        <f>"56-884/57-250"</f>
        <v>56-884/57-250</v>
      </c>
    </row>
    <row r="885" spans="1:8" x14ac:dyDescent="0.25">
      <c r="E885" t="str">
        <f>"202105032911"</f>
        <v>202105032911</v>
      </c>
      <c r="F885" t="str">
        <f>"403049.3/403049.2"</f>
        <v>403049.3/403049.2</v>
      </c>
      <c r="G885" s="2">
        <v>375</v>
      </c>
      <c r="H885" t="str">
        <f>"403049.3/403049.2"</f>
        <v>403049.3/403049.2</v>
      </c>
    </row>
    <row r="886" spans="1:8" x14ac:dyDescent="0.25">
      <c r="E886" t="str">
        <f>"202105032912"</f>
        <v>202105032912</v>
      </c>
      <c r="F886" t="str">
        <f>"JP101152020M"</f>
        <v>JP101152020M</v>
      </c>
      <c r="G886" s="2">
        <v>250</v>
      </c>
      <c r="H886" t="str">
        <f>"JP101152020M"</f>
        <v>JP101152020M</v>
      </c>
    </row>
    <row r="887" spans="1:8" x14ac:dyDescent="0.25">
      <c r="A887" t="s">
        <v>238</v>
      </c>
      <c r="B887">
        <v>135662</v>
      </c>
      <c r="C887" s="2">
        <v>166</v>
      </c>
      <c r="D887" s="1">
        <v>44340</v>
      </c>
      <c r="E887" t="str">
        <f>"202105133170"</f>
        <v>202105133170</v>
      </c>
      <c r="F887" t="str">
        <f>"PO BOX JP1"</f>
        <v>PO BOX JP1</v>
      </c>
      <c r="G887" s="2">
        <v>166</v>
      </c>
      <c r="H887" t="str">
        <f>"PO BOX JP1"</f>
        <v>PO BOX JP1</v>
      </c>
    </row>
    <row r="888" spans="1:8" x14ac:dyDescent="0.25">
      <c r="A888" t="s">
        <v>239</v>
      </c>
      <c r="B888">
        <v>135663</v>
      </c>
      <c r="C888" s="2">
        <v>1180.3699999999999</v>
      </c>
      <c r="D888" s="1">
        <v>44340</v>
      </c>
      <c r="E888" t="str">
        <f>"202105183297"</f>
        <v>202105183297</v>
      </c>
      <c r="F888" t="str">
        <f>"ACCT#8850283308/PCT#3"</f>
        <v>ACCT#8850283308/PCT#3</v>
      </c>
      <c r="G888" s="2">
        <v>32.049999999999997</v>
      </c>
      <c r="H888" t="str">
        <f>"ACCT#8850283308/PCT#3"</f>
        <v>ACCT#8850283308/PCT#3</v>
      </c>
    </row>
    <row r="889" spans="1:8" x14ac:dyDescent="0.25">
      <c r="E889" t="str">
        <f>"202105183298"</f>
        <v>202105183298</v>
      </c>
      <c r="F889" t="str">
        <f>"ACCT#8850283308/PCT#4"</f>
        <v>ACCT#8850283308/PCT#4</v>
      </c>
      <c r="G889" s="2">
        <v>1148.32</v>
      </c>
      <c r="H889" t="str">
        <f>"ACCT#8850283308/PCT#4"</f>
        <v>ACCT#8850283308/PCT#4</v>
      </c>
    </row>
    <row r="890" spans="1:8" x14ac:dyDescent="0.25">
      <c r="A890" t="s">
        <v>240</v>
      </c>
      <c r="B890">
        <v>135523</v>
      </c>
      <c r="C890" s="2">
        <v>100</v>
      </c>
      <c r="D890" s="1">
        <v>44326</v>
      </c>
      <c r="E890" t="str">
        <f>"16-181"</f>
        <v>16-181</v>
      </c>
      <c r="F890" t="str">
        <f>"RESTITUTION-COY FERRIS"</f>
        <v>RESTITUTION-COY FERRIS</v>
      </c>
      <c r="G890" s="2">
        <v>100</v>
      </c>
      <c r="H890" t="str">
        <f>"RESTITUTION-COY FERRIS"</f>
        <v>RESTITUTION-COY FERRIS</v>
      </c>
    </row>
    <row r="891" spans="1:8" x14ac:dyDescent="0.25">
      <c r="A891" t="s">
        <v>240</v>
      </c>
      <c r="B891">
        <v>135664</v>
      </c>
      <c r="C891" s="2">
        <v>50</v>
      </c>
      <c r="D891" s="1">
        <v>44340</v>
      </c>
      <c r="E891" t="str">
        <f>"16-181 4-15-21"</f>
        <v>16-181 4-15-21</v>
      </c>
      <c r="F891" t="str">
        <f>"RESTITUTION/COY FERRIS"</f>
        <v>RESTITUTION/COY FERRIS</v>
      </c>
      <c r="G891" s="2">
        <v>50</v>
      </c>
      <c r="H891" t="str">
        <f>"RESTITUTION/COY FERRIS"</f>
        <v>RESTITUTION/COY FERRIS</v>
      </c>
    </row>
    <row r="892" spans="1:8" x14ac:dyDescent="0.25">
      <c r="A892" t="s">
        <v>241</v>
      </c>
      <c r="B892">
        <v>135524</v>
      </c>
      <c r="C892" s="2">
        <v>1925</v>
      </c>
      <c r="D892" s="1">
        <v>44326</v>
      </c>
      <c r="E892" t="str">
        <f>"336786"</f>
        <v>336786</v>
      </c>
      <c r="F892" t="str">
        <f>"FIRE MAINTENANCE/PCT#`1"</f>
        <v>FIRE MAINTENANCE/PCT#`1</v>
      </c>
      <c r="G892" s="2">
        <v>221</v>
      </c>
      <c r="H892" t="str">
        <f>"FIRE MAINTENANCE/COUTHOUSE"</f>
        <v>FIRE MAINTENANCE/COUTHOUSE</v>
      </c>
    </row>
    <row r="893" spans="1:8" x14ac:dyDescent="0.25">
      <c r="E893" t="str">
        <f>"336787"</f>
        <v>336787</v>
      </c>
      <c r="F893" t="str">
        <f>"ANNUAL FIRE SERVICE/ANIMAL SH."</f>
        <v>ANNUAL FIRE SERVICE/ANIMAL SH.</v>
      </c>
      <c r="G893" s="2">
        <v>265</v>
      </c>
      <c r="H893" t="str">
        <f>"ANNUAL FIRE SERVICE/ANIMAL SH."</f>
        <v>ANNUAL FIRE SERVICE/ANIMAL SH.</v>
      </c>
    </row>
    <row r="894" spans="1:8" x14ac:dyDescent="0.25">
      <c r="E894" t="str">
        <f>"336789"</f>
        <v>336789</v>
      </c>
      <c r="F894" t="str">
        <f>"FIRE EXT. MAINTENANCE/PCT#4"</f>
        <v>FIRE EXT. MAINTENANCE/PCT#4</v>
      </c>
      <c r="G894" s="2">
        <v>609</v>
      </c>
      <c r="H894" t="str">
        <f>"FIRE EXT. MAINTENANCE/PCT#4"</f>
        <v>FIRE EXT. MAINTENANCE/PCT#4</v>
      </c>
    </row>
    <row r="895" spans="1:8" x14ac:dyDescent="0.25">
      <c r="E895" t="str">
        <f>"PSI47295"</f>
        <v>PSI47295</v>
      </c>
      <c r="F895" t="str">
        <f>"ACCT#C542836"</f>
        <v>ACCT#C542836</v>
      </c>
      <c r="G895" s="2">
        <v>221</v>
      </c>
      <c r="H895" t="str">
        <f>"ACCT#C542836"</f>
        <v>ACCT#C542836</v>
      </c>
    </row>
    <row r="896" spans="1:8" x14ac:dyDescent="0.25">
      <c r="E896" t="str">
        <f>"PSI475297"</f>
        <v>PSI475297</v>
      </c>
      <c r="F896" t="str">
        <f>"ACCT#C542836"</f>
        <v>ACCT#C542836</v>
      </c>
      <c r="G896" s="2">
        <v>609</v>
      </c>
      <c r="H896" t="str">
        <f>"ACCT#C542836"</f>
        <v>ACCT#C542836</v>
      </c>
    </row>
    <row r="897" spans="1:8" x14ac:dyDescent="0.25">
      <c r="A897" t="s">
        <v>241</v>
      </c>
      <c r="B897">
        <v>135665</v>
      </c>
      <c r="C897" s="2">
        <v>418.5</v>
      </c>
      <c r="D897" s="1">
        <v>44340</v>
      </c>
      <c r="E897" t="str">
        <f>"338822"</f>
        <v>338822</v>
      </c>
      <c r="F897" t="str">
        <f>"ANNUAL FIRE MAINTENANCE/PCT#3"</f>
        <v>ANNUAL FIRE MAINTENANCE/PCT#3</v>
      </c>
      <c r="G897" s="2">
        <v>326</v>
      </c>
      <c r="H897" t="str">
        <f>"ANNUAL FIRE MAINTENANCE/PCT#3"</f>
        <v>ANNUAL FIRE MAINTENANCE/PCT#3</v>
      </c>
    </row>
    <row r="898" spans="1:8" x14ac:dyDescent="0.25">
      <c r="E898" t="str">
        <f>"PSI478924"</f>
        <v>PSI478924</v>
      </c>
      <c r="F898" t="str">
        <f>"ACCT#C542836/SERVICE"</f>
        <v>ACCT#C542836/SERVICE</v>
      </c>
      <c r="G898" s="2">
        <v>92.5</v>
      </c>
      <c r="H898" t="str">
        <f>"ACCT#C542836/SERVICE"</f>
        <v>ACCT#C542836/SERVICE</v>
      </c>
    </row>
    <row r="899" spans="1:8" x14ac:dyDescent="0.25">
      <c r="A899" t="s">
        <v>242</v>
      </c>
      <c r="B899">
        <v>135666</v>
      </c>
      <c r="C899" s="2">
        <v>51.83</v>
      </c>
      <c r="D899" s="1">
        <v>44340</v>
      </c>
      <c r="E899" t="str">
        <f>"202105193346"</f>
        <v>202105193346</v>
      </c>
      <c r="F899" t="str">
        <f>"INDIGENT HEALTH"</f>
        <v>INDIGENT HEALTH</v>
      </c>
      <c r="G899" s="2">
        <v>51.83</v>
      </c>
      <c r="H899" t="str">
        <f>"INDIGENT HEALTH"</f>
        <v>INDIGENT HEALTH</v>
      </c>
    </row>
    <row r="900" spans="1:8" x14ac:dyDescent="0.25">
      <c r="A900" t="s">
        <v>243</v>
      </c>
      <c r="B900">
        <v>135525</v>
      </c>
      <c r="C900" s="2">
        <v>200</v>
      </c>
      <c r="D900" s="1">
        <v>44326</v>
      </c>
      <c r="E900" t="str">
        <f>"INV-007618"</f>
        <v>INV-007618</v>
      </c>
      <c r="F900" t="str">
        <f>"INV-007618"</f>
        <v>INV-007618</v>
      </c>
      <c r="G900" s="2">
        <v>200</v>
      </c>
      <c r="H900" t="str">
        <f>"INV-007618"</f>
        <v>INV-007618</v>
      </c>
    </row>
    <row r="901" spans="1:8" x14ac:dyDescent="0.25">
      <c r="A901" t="s">
        <v>243</v>
      </c>
      <c r="B901">
        <v>135667</v>
      </c>
      <c r="C901" s="2">
        <v>63</v>
      </c>
      <c r="D901" s="1">
        <v>44340</v>
      </c>
      <c r="E901" t="str">
        <f>"007742"</f>
        <v>007742</v>
      </c>
      <c r="F901" t="str">
        <f>"INV-007742"</f>
        <v>INV-007742</v>
      </c>
      <c r="G901" s="2">
        <v>63</v>
      </c>
      <c r="H901" t="str">
        <f>"INV-007742"</f>
        <v>INV-007742</v>
      </c>
    </row>
    <row r="902" spans="1:8" x14ac:dyDescent="0.25">
      <c r="A902" t="s">
        <v>244</v>
      </c>
      <c r="B902">
        <v>4476</v>
      </c>
      <c r="C902" s="2">
        <v>127.87</v>
      </c>
      <c r="D902" s="1">
        <v>44341</v>
      </c>
      <c r="E902" t="str">
        <f>"11E0121587851"</f>
        <v>11E0121587851</v>
      </c>
      <c r="F902" t="str">
        <f>"ACCT#0121587851/PCT#4"</f>
        <v>ACCT#0121587851/PCT#4</v>
      </c>
      <c r="G902" s="2">
        <v>127.87</v>
      </c>
      <c r="H902" t="str">
        <f>"ACCT#0121587851/PCT#4"</f>
        <v>ACCT#0121587851/PCT#4</v>
      </c>
    </row>
    <row r="903" spans="1:8" x14ac:dyDescent="0.25">
      <c r="A903" t="s">
        <v>245</v>
      </c>
      <c r="B903">
        <v>4431</v>
      </c>
      <c r="C903" s="2">
        <v>1500</v>
      </c>
      <c r="D903" s="1">
        <v>44327</v>
      </c>
      <c r="E903" t="str">
        <f>"54"</f>
        <v>54</v>
      </c>
      <c r="F903" t="str">
        <f>"SPAY/NEUTER SERVICES"</f>
        <v>SPAY/NEUTER SERVICES</v>
      </c>
      <c r="G903" s="2">
        <v>1500</v>
      </c>
      <c r="H903" t="str">
        <f>"SPAY/NEUTER SERVICES"</f>
        <v>SPAY/NEUTER SERVICES</v>
      </c>
    </row>
    <row r="904" spans="1:8" x14ac:dyDescent="0.25">
      <c r="A904" t="s">
        <v>245</v>
      </c>
      <c r="B904">
        <v>4508</v>
      </c>
      <c r="C904" s="2">
        <v>2000</v>
      </c>
      <c r="D904" s="1">
        <v>44341</v>
      </c>
      <c r="E904" t="str">
        <f>"56"</f>
        <v>56</v>
      </c>
      <c r="F904" t="str">
        <f>"SPAY NEUTER/REBECCA STRNAD"</f>
        <v>SPAY NEUTER/REBECCA STRNAD</v>
      </c>
      <c r="G904" s="2">
        <v>2000</v>
      </c>
      <c r="H904" t="str">
        <f>"SPAY NEUTER/REBECCA STRNAD"</f>
        <v>SPAY NEUTER/REBECCA STRNAD</v>
      </c>
    </row>
    <row r="905" spans="1:8" x14ac:dyDescent="0.25">
      <c r="A905" t="s">
        <v>246</v>
      </c>
      <c r="B905">
        <v>135668</v>
      </c>
      <c r="C905" s="2">
        <v>233.19</v>
      </c>
      <c r="D905" s="1">
        <v>44340</v>
      </c>
      <c r="E905" t="str">
        <f>"202105133185"</f>
        <v>202105133185</v>
      </c>
      <c r="F905" t="str">
        <f>"ACCT#19610/PCT#4"</f>
        <v>ACCT#19610/PCT#4</v>
      </c>
      <c r="G905" s="2">
        <v>233.19</v>
      </c>
      <c r="H905" t="str">
        <f>"ACCT#19610/PCT#4"</f>
        <v>ACCT#19610/PCT#4</v>
      </c>
    </row>
    <row r="906" spans="1:8" x14ac:dyDescent="0.25">
      <c r="A906" t="s">
        <v>247</v>
      </c>
      <c r="B906">
        <v>135440</v>
      </c>
      <c r="C906" s="2">
        <v>1443.66</v>
      </c>
      <c r="D906" s="1">
        <v>44322</v>
      </c>
      <c r="E906" t="str">
        <f>"303 002 476 260 5"</f>
        <v>303 002 476 260 5</v>
      </c>
      <c r="F906" t="str">
        <f>"ACCT#15 070 712-3 / 04302021"</f>
        <v>ACCT#15 070 712-3 / 04302021</v>
      </c>
      <c r="G906" s="2">
        <v>18.25</v>
      </c>
      <c r="H906" t="str">
        <f>"ACCT#15 070 712-3 / 04302021"</f>
        <v>ACCT#15 070 712-3 / 04302021</v>
      </c>
    </row>
    <row r="907" spans="1:8" x14ac:dyDescent="0.25">
      <c r="E907" t="str">
        <f>"303 002 476 261 3"</f>
        <v>303 002 476 261 3</v>
      </c>
      <c r="F907" t="str">
        <f>"ACCT#15 070 713-1 / 04302021"</f>
        <v>ACCT#15 070 713-1 / 04302021</v>
      </c>
      <c r="G907" s="2">
        <v>21.99</v>
      </c>
      <c r="H907" t="str">
        <f>"NRG ENERGY INC"</f>
        <v>NRG ENERGY INC</v>
      </c>
    </row>
    <row r="908" spans="1:8" x14ac:dyDescent="0.25">
      <c r="E908" t="str">
        <f>"304 000 948 224 4"</f>
        <v>304 000 948 224 4</v>
      </c>
      <c r="F908" t="str">
        <f>"ACCT#15 069 451-1 / 04282021"</f>
        <v>ACCT#15 069 451-1 / 04282021</v>
      </c>
      <c r="G908" s="2">
        <v>426.28</v>
      </c>
      <c r="H908" t="str">
        <f>"ACCT#15 069 451-1 / 04282021"</f>
        <v>ACCT#15 069 451-1 / 04282021</v>
      </c>
    </row>
    <row r="909" spans="1:8" x14ac:dyDescent="0.25">
      <c r="E909" t="str">
        <f>"305 000 834 540 9"</f>
        <v>305 000 834 540 9</v>
      </c>
      <c r="F909" t="str">
        <f>"ACCT#15 072 199-1 / 04292021"</f>
        <v>ACCT#15 072 199-1 / 04292021</v>
      </c>
      <c r="G909" s="2">
        <v>52.04</v>
      </c>
      <c r="H909" t="str">
        <f>"NRG ENERGY INC"</f>
        <v>NRG ENERGY INC</v>
      </c>
    </row>
    <row r="910" spans="1:8" x14ac:dyDescent="0.25">
      <c r="E910" t="str">
        <f>"305 000 834 541 7"</f>
        <v>305 000 834 541 7</v>
      </c>
      <c r="F910" t="str">
        <f>"ACCT#15 072 200 -7 / 04292021"</f>
        <v>ACCT#15 072 200 -7 / 04292021</v>
      </c>
      <c r="G910" s="2">
        <v>232.47</v>
      </c>
      <c r="H910" t="str">
        <f>"NRG ENERGY INC"</f>
        <v>NRG ENERGY INC</v>
      </c>
    </row>
    <row r="911" spans="1:8" x14ac:dyDescent="0.25">
      <c r="E911" t="str">
        <f>"305 000 834 542 5"</f>
        <v>305 000 834 542 5</v>
      </c>
      <c r="F911" t="str">
        <f>"ACCT#15 072 201-5 / 04292021"</f>
        <v>ACCT#15 072 201-5 / 04292021</v>
      </c>
      <c r="G911" s="2">
        <v>352.16</v>
      </c>
      <c r="H911" t="str">
        <f>"NRG ENERGY INC"</f>
        <v>NRG ENERGY INC</v>
      </c>
    </row>
    <row r="912" spans="1:8" x14ac:dyDescent="0.25">
      <c r="E912" t="str">
        <f>"305 000 834 543 3"</f>
        <v>305 000 834 543 3</v>
      </c>
      <c r="F912" t="str">
        <f>"ACCT#15 072 202-3 / 04292021"</f>
        <v>ACCT#15 072 202-3 / 04292021</v>
      </c>
      <c r="G912" s="2">
        <v>33.18</v>
      </c>
      <c r="H912" t="str">
        <f>"ACCT#15 072 202-3 / 04292021"</f>
        <v>ACCT#15 072 202-3 / 04292021</v>
      </c>
    </row>
    <row r="913" spans="1:8" x14ac:dyDescent="0.25">
      <c r="E913" t="str">
        <f>"305 000 834 544 1"</f>
        <v>305 000 834 544 1</v>
      </c>
      <c r="F913" t="str">
        <f>"ACCT#15 072 203-1 / 04292021"</f>
        <v>ACCT#15 072 203-1 / 04292021</v>
      </c>
      <c r="G913" s="2">
        <v>14.68</v>
      </c>
      <c r="H913" t="str">
        <f>"NRG ENERGY INC"</f>
        <v>NRG ENERGY INC</v>
      </c>
    </row>
    <row r="914" spans="1:8" x14ac:dyDescent="0.25">
      <c r="E914" t="str">
        <f>"305 000 834 545 8"</f>
        <v>305 000 834 545 8</v>
      </c>
      <c r="F914" t="str">
        <f>"ACCT#15 072 204-9 / 04292021"</f>
        <v>ACCT#15 072 204-9 / 04292021</v>
      </c>
      <c r="G914" s="2">
        <v>292.61</v>
      </c>
      <c r="H914" t="str">
        <f>"NRG ENERGY INC"</f>
        <v>NRG ENERGY INC</v>
      </c>
    </row>
    <row r="915" spans="1:8" x14ac:dyDescent="0.25">
      <c r="A915" t="s">
        <v>248</v>
      </c>
      <c r="B915">
        <v>4424</v>
      </c>
      <c r="C915" s="2">
        <v>1006.66</v>
      </c>
      <c r="D915" s="1">
        <v>44327</v>
      </c>
      <c r="E915" t="str">
        <f>"18078"</f>
        <v>18078</v>
      </c>
      <c r="F915" t="str">
        <f>"STEEL WHEEL/PCT#4"</f>
        <v>STEEL WHEEL/PCT#4</v>
      </c>
      <c r="G915" s="2">
        <v>706.66</v>
      </c>
      <c r="H915" t="str">
        <f>"STEEL WHEEL/PCT#4"</f>
        <v>STEEL WHEEL/PCT#4</v>
      </c>
    </row>
    <row r="916" spans="1:8" x14ac:dyDescent="0.25">
      <c r="E916" t="str">
        <f>"18103"</f>
        <v>18103</v>
      </c>
      <c r="F916" t="str">
        <f>"CUT/CHIP/PCT#4"</f>
        <v>CUT/CHIP/PCT#4</v>
      </c>
      <c r="G916" s="2">
        <v>300</v>
      </c>
      <c r="H916" t="str">
        <f>"CUT/CHIP/PCT#4"</f>
        <v>CUT/CHIP/PCT#4</v>
      </c>
    </row>
    <row r="917" spans="1:8" x14ac:dyDescent="0.25">
      <c r="A917" t="s">
        <v>249</v>
      </c>
      <c r="B917">
        <v>135669</v>
      </c>
      <c r="C917" s="2">
        <v>9000</v>
      </c>
      <c r="D917" s="1">
        <v>44340</v>
      </c>
      <c r="E917" t="str">
        <f>"202105133165"</f>
        <v>202105133165</v>
      </c>
      <c r="F917" t="str">
        <f>"ACCT#34549337/POSTAGE"</f>
        <v>ACCT#34549337/POSTAGE</v>
      </c>
      <c r="G917" s="2">
        <v>9000</v>
      </c>
      <c r="H917" t="str">
        <f>"ACCT#34549337/POSTAGE"</f>
        <v>ACCT#34549337/POSTAGE</v>
      </c>
    </row>
    <row r="918" spans="1:8" x14ac:dyDescent="0.25">
      <c r="A918" t="s">
        <v>250</v>
      </c>
      <c r="B918">
        <v>4478</v>
      </c>
      <c r="C918" s="2">
        <v>6256.21</v>
      </c>
      <c r="D918" s="1">
        <v>44341</v>
      </c>
      <c r="E918" t="str">
        <f>"202105183319"</f>
        <v>202105183319</v>
      </c>
      <c r="F918" t="str">
        <f>"CUST#12847097"</f>
        <v>CUST#12847097</v>
      </c>
      <c r="G918" s="2">
        <v>6256.21</v>
      </c>
      <c r="H918" t="str">
        <f t="shared" ref="H918:H948" si="11">"CUST#12847097"</f>
        <v>CUST#12847097</v>
      </c>
    </row>
    <row r="919" spans="1:8" x14ac:dyDescent="0.25">
      <c r="E919" t="str">
        <f>""</f>
        <v/>
      </c>
      <c r="F919" t="str">
        <f>""</f>
        <v/>
      </c>
      <c r="H919" t="str">
        <f t="shared" si="11"/>
        <v>CUST#12847097</v>
      </c>
    </row>
    <row r="920" spans="1:8" x14ac:dyDescent="0.25">
      <c r="E920" t="str">
        <f>""</f>
        <v/>
      </c>
      <c r="F920" t="str">
        <f>""</f>
        <v/>
      </c>
      <c r="H920" t="str">
        <f t="shared" si="11"/>
        <v>CUST#12847097</v>
      </c>
    </row>
    <row r="921" spans="1:8" x14ac:dyDescent="0.25">
      <c r="E921" t="str">
        <f>""</f>
        <v/>
      </c>
      <c r="F921" t="str">
        <f>""</f>
        <v/>
      </c>
      <c r="H921" t="str">
        <f t="shared" si="11"/>
        <v>CUST#12847097</v>
      </c>
    </row>
    <row r="922" spans="1:8" x14ac:dyDescent="0.25">
      <c r="E922" t="str">
        <f>""</f>
        <v/>
      </c>
      <c r="F922" t="str">
        <f>""</f>
        <v/>
      </c>
      <c r="H922" t="str">
        <f t="shared" si="11"/>
        <v>CUST#12847097</v>
      </c>
    </row>
    <row r="923" spans="1:8" x14ac:dyDescent="0.25">
      <c r="E923" t="str">
        <f>""</f>
        <v/>
      </c>
      <c r="F923" t="str">
        <f>""</f>
        <v/>
      </c>
      <c r="H923" t="str">
        <f t="shared" si="11"/>
        <v>CUST#12847097</v>
      </c>
    </row>
    <row r="924" spans="1:8" x14ac:dyDescent="0.25">
      <c r="E924" t="str">
        <f>""</f>
        <v/>
      </c>
      <c r="F924" t="str">
        <f>""</f>
        <v/>
      </c>
      <c r="H924" t="str">
        <f t="shared" si="11"/>
        <v>CUST#12847097</v>
      </c>
    </row>
    <row r="925" spans="1:8" x14ac:dyDescent="0.25">
      <c r="E925" t="str">
        <f>""</f>
        <v/>
      </c>
      <c r="F925" t="str">
        <f>""</f>
        <v/>
      </c>
      <c r="H925" t="str">
        <f t="shared" si="11"/>
        <v>CUST#12847097</v>
      </c>
    </row>
    <row r="926" spans="1:8" x14ac:dyDescent="0.25">
      <c r="E926" t="str">
        <f>""</f>
        <v/>
      </c>
      <c r="F926" t="str">
        <f>""</f>
        <v/>
      </c>
      <c r="H926" t="str">
        <f t="shared" si="11"/>
        <v>CUST#12847097</v>
      </c>
    </row>
    <row r="927" spans="1:8" x14ac:dyDescent="0.25">
      <c r="E927" t="str">
        <f>""</f>
        <v/>
      </c>
      <c r="F927" t="str">
        <f>""</f>
        <v/>
      </c>
      <c r="H927" t="str">
        <f t="shared" si="11"/>
        <v>CUST#12847097</v>
      </c>
    </row>
    <row r="928" spans="1:8" x14ac:dyDescent="0.25">
      <c r="E928" t="str">
        <f>""</f>
        <v/>
      </c>
      <c r="F928" t="str">
        <f>""</f>
        <v/>
      </c>
      <c r="H928" t="str">
        <f t="shared" si="11"/>
        <v>CUST#12847097</v>
      </c>
    </row>
    <row r="929" spans="5:8" x14ac:dyDescent="0.25">
      <c r="E929" t="str">
        <f>""</f>
        <v/>
      </c>
      <c r="F929" t="str">
        <f>""</f>
        <v/>
      </c>
      <c r="H929" t="str">
        <f t="shared" si="11"/>
        <v>CUST#12847097</v>
      </c>
    </row>
    <row r="930" spans="5:8" x14ac:dyDescent="0.25">
      <c r="E930" t="str">
        <f>""</f>
        <v/>
      </c>
      <c r="F930" t="str">
        <f>""</f>
        <v/>
      </c>
      <c r="H930" t="str">
        <f t="shared" si="11"/>
        <v>CUST#12847097</v>
      </c>
    </row>
    <row r="931" spans="5:8" x14ac:dyDescent="0.25">
      <c r="E931" t="str">
        <f>""</f>
        <v/>
      </c>
      <c r="F931" t="str">
        <f>""</f>
        <v/>
      </c>
      <c r="H931" t="str">
        <f t="shared" si="11"/>
        <v>CUST#12847097</v>
      </c>
    </row>
    <row r="932" spans="5:8" x14ac:dyDescent="0.25">
      <c r="E932" t="str">
        <f>""</f>
        <v/>
      </c>
      <c r="F932" t="str">
        <f>""</f>
        <v/>
      </c>
      <c r="H932" t="str">
        <f t="shared" si="11"/>
        <v>CUST#12847097</v>
      </c>
    </row>
    <row r="933" spans="5:8" x14ac:dyDescent="0.25">
      <c r="E933" t="str">
        <f>""</f>
        <v/>
      </c>
      <c r="F933" t="str">
        <f>""</f>
        <v/>
      </c>
      <c r="H933" t="str">
        <f t="shared" si="11"/>
        <v>CUST#12847097</v>
      </c>
    </row>
    <row r="934" spans="5:8" x14ac:dyDescent="0.25">
      <c r="E934" t="str">
        <f>""</f>
        <v/>
      </c>
      <c r="F934" t="str">
        <f>""</f>
        <v/>
      </c>
      <c r="H934" t="str">
        <f t="shared" si="11"/>
        <v>CUST#12847097</v>
      </c>
    </row>
    <row r="935" spans="5:8" x14ac:dyDescent="0.25">
      <c r="E935" t="str">
        <f>""</f>
        <v/>
      </c>
      <c r="F935" t="str">
        <f>""</f>
        <v/>
      </c>
      <c r="H935" t="str">
        <f t="shared" si="11"/>
        <v>CUST#12847097</v>
      </c>
    </row>
    <row r="936" spans="5:8" x14ac:dyDescent="0.25">
      <c r="E936" t="str">
        <f>""</f>
        <v/>
      </c>
      <c r="F936" t="str">
        <f>""</f>
        <v/>
      </c>
      <c r="H936" t="str">
        <f t="shared" si="11"/>
        <v>CUST#12847097</v>
      </c>
    </row>
    <row r="937" spans="5:8" x14ac:dyDescent="0.25">
      <c r="E937" t="str">
        <f>""</f>
        <v/>
      </c>
      <c r="F937" t="str">
        <f>""</f>
        <v/>
      </c>
      <c r="H937" t="str">
        <f t="shared" si="11"/>
        <v>CUST#12847097</v>
      </c>
    </row>
    <row r="938" spans="5:8" x14ac:dyDescent="0.25">
      <c r="E938" t="str">
        <f>""</f>
        <v/>
      </c>
      <c r="F938" t="str">
        <f>""</f>
        <v/>
      </c>
      <c r="H938" t="str">
        <f t="shared" si="11"/>
        <v>CUST#12847097</v>
      </c>
    </row>
    <row r="939" spans="5:8" x14ac:dyDescent="0.25">
      <c r="E939" t="str">
        <f>""</f>
        <v/>
      </c>
      <c r="F939" t="str">
        <f>""</f>
        <v/>
      </c>
      <c r="H939" t="str">
        <f t="shared" si="11"/>
        <v>CUST#12847097</v>
      </c>
    </row>
    <row r="940" spans="5:8" x14ac:dyDescent="0.25">
      <c r="E940" t="str">
        <f>""</f>
        <v/>
      </c>
      <c r="F940" t="str">
        <f>""</f>
        <v/>
      </c>
      <c r="H940" t="str">
        <f t="shared" si="11"/>
        <v>CUST#12847097</v>
      </c>
    </row>
    <row r="941" spans="5:8" x14ac:dyDescent="0.25">
      <c r="E941" t="str">
        <f>""</f>
        <v/>
      </c>
      <c r="F941" t="str">
        <f>""</f>
        <v/>
      </c>
      <c r="H941" t="str">
        <f t="shared" si="11"/>
        <v>CUST#12847097</v>
      </c>
    </row>
    <row r="942" spans="5:8" x14ac:dyDescent="0.25">
      <c r="E942" t="str">
        <f>""</f>
        <v/>
      </c>
      <c r="F942" t="str">
        <f>""</f>
        <v/>
      </c>
      <c r="H942" t="str">
        <f t="shared" si="11"/>
        <v>CUST#12847097</v>
      </c>
    </row>
    <row r="943" spans="5:8" x14ac:dyDescent="0.25">
      <c r="E943" t="str">
        <f>""</f>
        <v/>
      </c>
      <c r="F943" t="str">
        <f>""</f>
        <v/>
      </c>
      <c r="H943" t="str">
        <f t="shared" si="11"/>
        <v>CUST#12847097</v>
      </c>
    </row>
    <row r="944" spans="5:8" x14ac:dyDescent="0.25">
      <c r="E944" t="str">
        <f>""</f>
        <v/>
      </c>
      <c r="F944" t="str">
        <f>""</f>
        <v/>
      </c>
      <c r="H944" t="str">
        <f t="shared" si="11"/>
        <v>CUST#12847097</v>
      </c>
    </row>
    <row r="945" spans="1:8" x14ac:dyDescent="0.25">
      <c r="E945" t="str">
        <f>""</f>
        <v/>
      </c>
      <c r="F945" t="str">
        <f>""</f>
        <v/>
      </c>
      <c r="H945" t="str">
        <f t="shared" si="11"/>
        <v>CUST#12847097</v>
      </c>
    </row>
    <row r="946" spans="1:8" x14ac:dyDescent="0.25">
      <c r="E946" t="str">
        <f>""</f>
        <v/>
      </c>
      <c r="F946" t="str">
        <f>""</f>
        <v/>
      </c>
      <c r="H946" t="str">
        <f t="shared" si="11"/>
        <v>CUST#12847097</v>
      </c>
    </row>
    <row r="947" spans="1:8" x14ac:dyDescent="0.25">
      <c r="E947" t="str">
        <f>""</f>
        <v/>
      </c>
      <c r="F947" t="str">
        <f>""</f>
        <v/>
      </c>
      <c r="H947" t="str">
        <f t="shared" si="11"/>
        <v>CUST#12847097</v>
      </c>
    </row>
    <row r="948" spans="1:8" x14ac:dyDescent="0.25">
      <c r="E948" t="str">
        <f>""</f>
        <v/>
      </c>
      <c r="F948" t="str">
        <f>""</f>
        <v/>
      </c>
      <c r="H948" t="str">
        <f t="shared" si="11"/>
        <v>CUST#12847097</v>
      </c>
    </row>
    <row r="949" spans="1:8" x14ac:dyDescent="0.25">
      <c r="A949" t="s">
        <v>251</v>
      </c>
      <c r="B949">
        <v>135670</v>
      </c>
      <c r="C949" s="2">
        <v>9315.17</v>
      </c>
      <c r="D949" s="1">
        <v>44340</v>
      </c>
      <c r="E949" t="str">
        <f>"37667795"</f>
        <v>37667795</v>
      </c>
      <c r="F949" t="str">
        <f>"CUST#2000172616"</f>
        <v>CUST#2000172616</v>
      </c>
      <c r="G949" s="2">
        <v>9315.17</v>
      </c>
      <c r="H949" t="str">
        <f t="shared" ref="H949:H980" si="12">"CUST#2000172616"</f>
        <v>CUST#2000172616</v>
      </c>
    </row>
    <row r="950" spans="1:8" x14ac:dyDescent="0.25">
      <c r="E950" t="str">
        <f>""</f>
        <v/>
      </c>
      <c r="F950" t="str">
        <f>""</f>
        <v/>
      </c>
      <c r="H950" t="str">
        <f t="shared" si="12"/>
        <v>CUST#2000172616</v>
      </c>
    </row>
    <row r="951" spans="1:8" x14ac:dyDescent="0.25">
      <c r="E951" t="str">
        <f>""</f>
        <v/>
      </c>
      <c r="F951" t="str">
        <f>""</f>
        <v/>
      </c>
      <c r="H951" t="str">
        <f t="shared" si="12"/>
        <v>CUST#2000172616</v>
      </c>
    </row>
    <row r="952" spans="1:8" x14ac:dyDescent="0.25">
      <c r="E952" t="str">
        <f>""</f>
        <v/>
      </c>
      <c r="F952" t="str">
        <f>""</f>
        <v/>
      </c>
      <c r="H952" t="str">
        <f t="shared" si="12"/>
        <v>CUST#2000172616</v>
      </c>
    </row>
    <row r="953" spans="1:8" x14ac:dyDescent="0.25">
      <c r="E953" t="str">
        <f>""</f>
        <v/>
      </c>
      <c r="F953" t="str">
        <f>""</f>
        <v/>
      </c>
      <c r="H953" t="str">
        <f t="shared" si="12"/>
        <v>CUST#2000172616</v>
      </c>
    </row>
    <row r="954" spans="1:8" x14ac:dyDescent="0.25">
      <c r="E954" t="str">
        <f>""</f>
        <v/>
      </c>
      <c r="F954" t="str">
        <f>""</f>
        <v/>
      </c>
      <c r="H954" t="str">
        <f t="shared" si="12"/>
        <v>CUST#2000172616</v>
      </c>
    </row>
    <row r="955" spans="1:8" x14ac:dyDescent="0.25">
      <c r="E955" t="str">
        <f>""</f>
        <v/>
      </c>
      <c r="F955" t="str">
        <f>""</f>
        <v/>
      </c>
      <c r="H955" t="str">
        <f t="shared" si="12"/>
        <v>CUST#2000172616</v>
      </c>
    </row>
    <row r="956" spans="1:8" x14ac:dyDescent="0.25">
      <c r="E956" t="str">
        <f>""</f>
        <v/>
      </c>
      <c r="F956" t="str">
        <f>""</f>
        <v/>
      </c>
      <c r="H956" t="str">
        <f t="shared" si="12"/>
        <v>CUST#2000172616</v>
      </c>
    </row>
    <row r="957" spans="1:8" x14ac:dyDescent="0.25">
      <c r="E957" t="str">
        <f>""</f>
        <v/>
      </c>
      <c r="F957" t="str">
        <f>""</f>
        <v/>
      </c>
      <c r="H957" t="str">
        <f t="shared" si="12"/>
        <v>CUST#2000172616</v>
      </c>
    </row>
    <row r="958" spans="1:8" x14ac:dyDescent="0.25">
      <c r="E958" t="str">
        <f>""</f>
        <v/>
      </c>
      <c r="F958" t="str">
        <f>""</f>
        <v/>
      </c>
      <c r="H958" t="str">
        <f t="shared" si="12"/>
        <v>CUST#2000172616</v>
      </c>
    </row>
    <row r="959" spans="1:8" x14ac:dyDescent="0.25">
      <c r="E959" t="str">
        <f>""</f>
        <v/>
      </c>
      <c r="F959" t="str">
        <f>""</f>
        <v/>
      </c>
      <c r="H959" t="str">
        <f t="shared" si="12"/>
        <v>CUST#2000172616</v>
      </c>
    </row>
    <row r="960" spans="1:8" x14ac:dyDescent="0.25">
      <c r="E960" t="str">
        <f>""</f>
        <v/>
      </c>
      <c r="F960" t="str">
        <f>""</f>
        <v/>
      </c>
      <c r="H960" t="str">
        <f t="shared" si="12"/>
        <v>CUST#2000172616</v>
      </c>
    </row>
    <row r="961" spans="5:8" x14ac:dyDescent="0.25">
      <c r="E961" t="str">
        <f>""</f>
        <v/>
      </c>
      <c r="F961" t="str">
        <f>""</f>
        <v/>
      </c>
      <c r="H961" t="str">
        <f t="shared" si="12"/>
        <v>CUST#2000172616</v>
      </c>
    </row>
    <row r="962" spans="5:8" x14ac:dyDescent="0.25">
      <c r="E962" t="str">
        <f>""</f>
        <v/>
      </c>
      <c r="F962" t="str">
        <f>""</f>
        <v/>
      </c>
      <c r="H962" t="str">
        <f t="shared" si="12"/>
        <v>CUST#2000172616</v>
      </c>
    </row>
    <row r="963" spans="5:8" x14ac:dyDescent="0.25">
      <c r="E963" t="str">
        <f>""</f>
        <v/>
      </c>
      <c r="F963" t="str">
        <f>""</f>
        <v/>
      </c>
      <c r="H963" t="str">
        <f t="shared" si="12"/>
        <v>CUST#2000172616</v>
      </c>
    </row>
    <row r="964" spans="5:8" x14ac:dyDescent="0.25">
      <c r="E964" t="str">
        <f>""</f>
        <v/>
      </c>
      <c r="F964" t="str">
        <f>""</f>
        <v/>
      </c>
      <c r="H964" t="str">
        <f t="shared" si="12"/>
        <v>CUST#2000172616</v>
      </c>
    </row>
    <row r="965" spans="5:8" x14ac:dyDescent="0.25">
      <c r="E965" t="str">
        <f>""</f>
        <v/>
      </c>
      <c r="F965" t="str">
        <f>""</f>
        <v/>
      </c>
      <c r="H965" t="str">
        <f t="shared" si="12"/>
        <v>CUST#2000172616</v>
      </c>
    </row>
    <row r="966" spans="5:8" x14ac:dyDescent="0.25">
      <c r="E966" t="str">
        <f>""</f>
        <v/>
      </c>
      <c r="F966" t="str">
        <f>""</f>
        <v/>
      </c>
      <c r="H966" t="str">
        <f t="shared" si="12"/>
        <v>CUST#2000172616</v>
      </c>
    </row>
    <row r="967" spans="5:8" x14ac:dyDescent="0.25">
      <c r="E967" t="str">
        <f>""</f>
        <v/>
      </c>
      <c r="F967" t="str">
        <f>""</f>
        <v/>
      </c>
      <c r="H967" t="str">
        <f t="shared" si="12"/>
        <v>CUST#2000172616</v>
      </c>
    </row>
    <row r="968" spans="5:8" x14ac:dyDescent="0.25">
      <c r="E968" t="str">
        <f>""</f>
        <v/>
      </c>
      <c r="F968" t="str">
        <f>""</f>
        <v/>
      </c>
      <c r="H968" t="str">
        <f t="shared" si="12"/>
        <v>CUST#2000172616</v>
      </c>
    </row>
    <row r="969" spans="5:8" x14ac:dyDescent="0.25">
      <c r="E969" t="str">
        <f>""</f>
        <v/>
      </c>
      <c r="F969" t="str">
        <f>""</f>
        <v/>
      </c>
      <c r="H969" t="str">
        <f t="shared" si="12"/>
        <v>CUST#2000172616</v>
      </c>
    </row>
    <row r="970" spans="5:8" x14ac:dyDescent="0.25">
      <c r="E970" t="str">
        <f>""</f>
        <v/>
      </c>
      <c r="F970" t="str">
        <f>""</f>
        <v/>
      </c>
      <c r="H970" t="str">
        <f t="shared" si="12"/>
        <v>CUST#2000172616</v>
      </c>
    </row>
    <row r="971" spans="5:8" x14ac:dyDescent="0.25">
      <c r="E971" t="str">
        <f>""</f>
        <v/>
      </c>
      <c r="F971" t="str">
        <f>""</f>
        <v/>
      </c>
      <c r="H971" t="str">
        <f t="shared" si="12"/>
        <v>CUST#2000172616</v>
      </c>
    </row>
    <row r="972" spans="5:8" x14ac:dyDescent="0.25">
      <c r="E972" t="str">
        <f>""</f>
        <v/>
      </c>
      <c r="F972" t="str">
        <f>""</f>
        <v/>
      </c>
      <c r="H972" t="str">
        <f t="shared" si="12"/>
        <v>CUST#2000172616</v>
      </c>
    </row>
    <row r="973" spans="5:8" x14ac:dyDescent="0.25">
      <c r="E973" t="str">
        <f>""</f>
        <v/>
      </c>
      <c r="F973" t="str">
        <f>""</f>
        <v/>
      </c>
      <c r="H973" t="str">
        <f t="shared" si="12"/>
        <v>CUST#2000172616</v>
      </c>
    </row>
    <row r="974" spans="5:8" x14ac:dyDescent="0.25">
      <c r="E974" t="str">
        <f>""</f>
        <v/>
      </c>
      <c r="F974" t="str">
        <f>""</f>
        <v/>
      </c>
      <c r="H974" t="str">
        <f t="shared" si="12"/>
        <v>CUST#2000172616</v>
      </c>
    </row>
    <row r="975" spans="5:8" x14ac:dyDescent="0.25">
      <c r="E975" t="str">
        <f>""</f>
        <v/>
      </c>
      <c r="F975" t="str">
        <f>""</f>
        <v/>
      </c>
      <c r="H975" t="str">
        <f t="shared" si="12"/>
        <v>CUST#2000172616</v>
      </c>
    </row>
    <row r="976" spans="5:8" x14ac:dyDescent="0.25">
      <c r="E976" t="str">
        <f>""</f>
        <v/>
      </c>
      <c r="F976" t="str">
        <f>""</f>
        <v/>
      </c>
      <c r="H976" t="str">
        <f t="shared" si="12"/>
        <v>CUST#2000172616</v>
      </c>
    </row>
    <row r="977" spans="1:8" x14ac:dyDescent="0.25">
      <c r="E977" t="str">
        <f>""</f>
        <v/>
      </c>
      <c r="F977" t="str">
        <f>""</f>
        <v/>
      </c>
      <c r="H977" t="str">
        <f t="shared" si="12"/>
        <v>CUST#2000172616</v>
      </c>
    </row>
    <row r="978" spans="1:8" x14ac:dyDescent="0.25">
      <c r="E978" t="str">
        <f>""</f>
        <v/>
      </c>
      <c r="F978" t="str">
        <f>""</f>
        <v/>
      </c>
      <c r="H978" t="str">
        <f t="shared" si="12"/>
        <v>CUST#2000172616</v>
      </c>
    </row>
    <row r="979" spans="1:8" x14ac:dyDescent="0.25">
      <c r="E979" t="str">
        <f>""</f>
        <v/>
      </c>
      <c r="F979" t="str">
        <f>""</f>
        <v/>
      </c>
      <c r="H979" t="str">
        <f t="shared" si="12"/>
        <v>CUST#2000172616</v>
      </c>
    </row>
    <row r="980" spans="1:8" x14ac:dyDescent="0.25">
      <c r="E980" t="str">
        <f>""</f>
        <v/>
      </c>
      <c r="F980" t="str">
        <f>""</f>
        <v/>
      </c>
      <c r="H980" t="str">
        <f t="shared" si="12"/>
        <v>CUST#2000172616</v>
      </c>
    </row>
    <row r="981" spans="1:8" x14ac:dyDescent="0.25">
      <c r="A981" t="s">
        <v>252</v>
      </c>
      <c r="B981">
        <v>4498</v>
      </c>
      <c r="C981" s="2">
        <v>300</v>
      </c>
      <c r="D981" s="1">
        <v>44341</v>
      </c>
      <c r="E981" t="str">
        <f>"BCSOAPRL21"</f>
        <v>BCSOAPRL21</v>
      </c>
      <c r="F981" t="str">
        <f>"INV BCSOAPR21"</f>
        <v>INV BCSOAPR21</v>
      </c>
      <c r="G981" s="2">
        <v>300</v>
      </c>
      <c r="H981" t="str">
        <f>"INV BCSOAPR21"</f>
        <v>INV BCSOAPR21</v>
      </c>
    </row>
    <row r="982" spans="1:8" x14ac:dyDescent="0.25">
      <c r="A982" t="s">
        <v>253</v>
      </c>
      <c r="B982">
        <v>4532</v>
      </c>
      <c r="C982" s="2">
        <v>1400</v>
      </c>
      <c r="D982" s="1">
        <v>44341</v>
      </c>
      <c r="E982" t="str">
        <f>"202105133229"</f>
        <v>202105133229</v>
      </c>
      <c r="F982" t="str">
        <f>"16-366"</f>
        <v>16-366</v>
      </c>
      <c r="G982" s="2">
        <v>1400</v>
      </c>
      <c r="H982" t="str">
        <f>"16-366"</f>
        <v>16-366</v>
      </c>
    </row>
    <row r="983" spans="1:8" x14ac:dyDescent="0.25">
      <c r="A983" t="s">
        <v>254</v>
      </c>
      <c r="B983">
        <v>135526</v>
      </c>
      <c r="C983" s="2">
        <v>155.05000000000001</v>
      </c>
      <c r="D983" s="1">
        <v>44326</v>
      </c>
      <c r="E983" t="str">
        <f>"5261201"</f>
        <v>5261201</v>
      </c>
      <c r="F983" t="str">
        <f>"INV 5261201"</f>
        <v>INV 5261201</v>
      </c>
      <c r="G983" s="2">
        <v>155.05000000000001</v>
      </c>
      <c r="H983" t="str">
        <f>"INV 5261201"</f>
        <v>INV 5261201</v>
      </c>
    </row>
    <row r="984" spans="1:8" x14ac:dyDescent="0.25">
      <c r="A984" t="s">
        <v>254</v>
      </c>
      <c r="B984">
        <v>135671</v>
      </c>
      <c r="C984" s="2">
        <v>3484.86</v>
      </c>
      <c r="D984" s="1">
        <v>44340</v>
      </c>
      <c r="E984" t="str">
        <f>"5277721"</f>
        <v>5277721</v>
      </c>
      <c r="F984" t="str">
        <f>"INV 5277721"</f>
        <v>INV 5277721</v>
      </c>
      <c r="G984" s="2">
        <v>3193.43</v>
      </c>
      <c r="H984" t="str">
        <f>"INV 5277721"</f>
        <v>INV 5277721</v>
      </c>
    </row>
    <row r="985" spans="1:8" x14ac:dyDescent="0.25">
      <c r="E985" t="str">
        <f>"5284896"</f>
        <v>5284896</v>
      </c>
      <c r="F985" t="str">
        <f>"INV 5284896"</f>
        <v>INV 5284896</v>
      </c>
      <c r="G985" s="2">
        <v>291.43</v>
      </c>
      <c r="H985" t="str">
        <f>"INV 5284896"</f>
        <v>INV 5284896</v>
      </c>
    </row>
    <row r="986" spans="1:8" x14ac:dyDescent="0.25">
      <c r="A986" t="s">
        <v>255</v>
      </c>
      <c r="B986">
        <v>135672</v>
      </c>
      <c r="C986" s="2">
        <v>186</v>
      </c>
      <c r="D986" s="1">
        <v>44340</v>
      </c>
      <c r="E986" t="str">
        <f>"210409"</f>
        <v>210409</v>
      </c>
      <c r="F986" t="str">
        <f>"PRECINCT #4 UNIFORMS"</f>
        <v>PRECINCT #4 UNIFORMS</v>
      </c>
      <c r="G986" s="2">
        <v>186</v>
      </c>
      <c r="H986" t="str">
        <f>"PRECINCT #4 UNIFORMS"</f>
        <v>PRECINCT #4 UNIFORMS</v>
      </c>
    </row>
    <row r="987" spans="1:8" x14ac:dyDescent="0.25">
      <c r="A987" t="s">
        <v>256</v>
      </c>
      <c r="B987">
        <v>135527</v>
      </c>
      <c r="C987" s="2">
        <v>880</v>
      </c>
      <c r="D987" s="1">
        <v>44326</v>
      </c>
      <c r="E987" t="str">
        <f>"511435"</f>
        <v>511435</v>
      </c>
      <c r="F987" t="str">
        <f>"ROAD BASE/PCT#3"</f>
        <v>ROAD BASE/PCT#3</v>
      </c>
      <c r="G987" s="2">
        <v>880</v>
      </c>
      <c r="H987" t="str">
        <f>"ROAD BASE/PCT#3"</f>
        <v>ROAD BASE/PCT#3</v>
      </c>
    </row>
    <row r="988" spans="1:8" x14ac:dyDescent="0.25">
      <c r="A988" t="s">
        <v>257</v>
      </c>
      <c r="B988">
        <v>4417</v>
      </c>
      <c r="C988" s="2">
        <v>151.13</v>
      </c>
      <c r="D988" s="1">
        <v>44327</v>
      </c>
      <c r="E988" t="str">
        <f>"STDORD00152009"</f>
        <v>STDORD00152009</v>
      </c>
      <c r="F988" t="str">
        <f>"CUST#36870/ANIMAL SHELTER"</f>
        <v>CUST#36870/ANIMAL SHELTER</v>
      </c>
      <c r="G988" s="2">
        <v>151.13</v>
      </c>
      <c r="H988" t="str">
        <f>"CUST#36870/ANIMAL SHELTER"</f>
        <v>CUST#36870/ANIMAL SHELTER</v>
      </c>
    </row>
    <row r="989" spans="1:8" x14ac:dyDescent="0.25">
      <c r="A989" t="s">
        <v>258</v>
      </c>
      <c r="B989">
        <v>135528</v>
      </c>
      <c r="C989" s="2">
        <v>420</v>
      </c>
      <c r="D989" s="1">
        <v>44326</v>
      </c>
      <c r="E989" t="str">
        <f>"202105042986"</f>
        <v>202105042986</v>
      </c>
      <c r="F989" t="str">
        <f>"LPHCP RECORDING FEES"</f>
        <v>LPHCP RECORDING FEES</v>
      </c>
      <c r="G989" s="2">
        <v>420</v>
      </c>
      <c r="H989" t="str">
        <f>"LPHCP RECORDING FEES"</f>
        <v>LPHCP RECORDING FEES</v>
      </c>
    </row>
    <row r="990" spans="1:8" x14ac:dyDescent="0.25">
      <c r="A990" t="s">
        <v>258</v>
      </c>
      <c r="B990">
        <v>135529</v>
      </c>
      <c r="C990" s="2">
        <v>244</v>
      </c>
      <c r="D990" s="1">
        <v>44326</v>
      </c>
      <c r="E990" t="str">
        <f>"202105053023"</f>
        <v>202105053023</v>
      </c>
      <c r="F990" t="str">
        <f>"DEVELOPMENT SVCS RECORDING FEE"</f>
        <v>DEVELOPMENT SVCS RECORDING FEE</v>
      </c>
      <c r="G990" s="2">
        <v>244</v>
      </c>
      <c r="H990" t="str">
        <f>"DEVELOPMENT SVCS RECORDING FEE"</f>
        <v>DEVELOPMENT SVCS RECORDING FEE</v>
      </c>
    </row>
    <row r="991" spans="1:8" x14ac:dyDescent="0.25">
      <c r="A991" t="s">
        <v>258</v>
      </c>
      <c r="B991">
        <v>135673</v>
      </c>
      <c r="C991" s="2">
        <v>54</v>
      </c>
      <c r="D991" s="1">
        <v>44340</v>
      </c>
      <c r="E991" t="str">
        <f>"202105183304"</f>
        <v>202105183304</v>
      </c>
      <c r="F991" t="str">
        <f>"LPHCP RECORDING FEES"</f>
        <v>LPHCP RECORDING FEES</v>
      </c>
      <c r="G991" s="2">
        <v>54</v>
      </c>
      <c r="H991" t="str">
        <f>"LPHCP RECORDING FEES"</f>
        <v>LPHCP RECORDING FEES</v>
      </c>
    </row>
    <row r="992" spans="1:8" x14ac:dyDescent="0.25">
      <c r="A992" t="s">
        <v>258</v>
      </c>
      <c r="B992">
        <v>135674</v>
      </c>
      <c r="C992" s="2">
        <v>183</v>
      </c>
      <c r="D992" s="1">
        <v>44340</v>
      </c>
      <c r="E992" t="str">
        <f>"202105193358"</f>
        <v>202105193358</v>
      </c>
      <c r="F992" t="str">
        <f>"DEVELOPMENT SVCS RECORDING FEE"</f>
        <v>DEVELOPMENT SVCS RECORDING FEE</v>
      </c>
      <c r="G992" s="2">
        <v>183</v>
      </c>
      <c r="H992" t="str">
        <f>"DEVELOPMENT SVCS RECORDING FEE"</f>
        <v>DEVELOPMENT SVCS RECORDING FEE</v>
      </c>
    </row>
    <row r="993" spans="1:8" x14ac:dyDescent="0.25">
      <c r="A993" t="s">
        <v>259</v>
      </c>
      <c r="B993">
        <v>135675</v>
      </c>
      <c r="C993" s="2">
        <v>350</v>
      </c>
      <c r="D993" s="1">
        <v>44340</v>
      </c>
      <c r="E993" t="str">
        <f>"202105173249"</f>
        <v>202105173249</v>
      </c>
      <c r="F993" t="str">
        <f>"RACA MEMBERSHIP/ANDREA PARTIDA"</f>
        <v>RACA MEMBERSHIP/ANDREA PARTIDA</v>
      </c>
      <c r="G993" s="2">
        <v>25</v>
      </c>
      <c r="H993" t="str">
        <f>"RACA MEMBERSHIP/ANDREA PARTIDA"</f>
        <v>RACA MEMBERSHIP/ANDREA PARTIDA</v>
      </c>
    </row>
    <row r="994" spans="1:8" x14ac:dyDescent="0.25">
      <c r="E994" t="str">
        <f>"202105173250"</f>
        <v>202105173250</v>
      </c>
      <c r="F994" t="str">
        <f>"CONFERENCE/ANDREA PARTIDA"</f>
        <v>CONFERENCE/ANDREA PARTIDA</v>
      </c>
      <c r="G994" s="2">
        <v>150</v>
      </c>
      <c r="H994" t="str">
        <f>"CONFERENCE/ANDREA PARTIDA"</f>
        <v>CONFERENCE/ANDREA PARTIDA</v>
      </c>
    </row>
    <row r="995" spans="1:8" x14ac:dyDescent="0.25">
      <c r="E995" t="str">
        <f>"202105173251"</f>
        <v>202105173251</v>
      </c>
      <c r="F995" t="str">
        <f>"CONFERENCE/DEBORAH SHIROCKY"</f>
        <v>CONFERENCE/DEBORAH SHIROCKY</v>
      </c>
      <c r="G995" s="2">
        <v>150</v>
      </c>
      <c r="H995" t="str">
        <f>"CONFERENCE/DEBORAH SHIROCKY"</f>
        <v>CONFERENCE/DEBORAH SHIROCKY</v>
      </c>
    </row>
    <row r="996" spans="1:8" x14ac:dyDescent="0.25">
      <c r="E996" t="str">
        <f>"202105173252"</f>
        <v>202105173252</v>
      </c>
      <c r="F996" t="str">
        <f>"RACA MEMBERSHIP/DEBORAH SHIROC"</f>
        <v>RACA MEMBERSHIP/DEBORAH SHIROC</v>
      </c>
      <c r="G996" s="2">
        <v>25</v>
      </c>
      <c r="H996" t="str">
        <f>"RACA MEMBERSHIP/DEBORAH SHIROC"</f>
        <v>RACA MEMBERSHIP/DEBORAH SHIROC</v>
      </c>
    </row>
    <row r="997" spans="1:8" x14ac:dyDescent="0.25">
      <c r="A997" t="s">
        <v>260</v>
      </c>
      <c r="B997">
        <v>135676</v>
      </c>
      <c r="C997" s="2">
        <v>61.45</v>
      </c>
      <c r="D997" s="1">
        <v>44340</v>
      </c>
      <c r="E997" t="str">
        <f>"CVCS66122"</f>
        <v>CVCS66122</v>
      </c>
      <c r="F997" t="str">
        <f>"CUST#9486/PCT#4"</f>
        <v>CUST#9486/PCT#4</v>
      </c>
      <c r="G997" s="2">
        <v>61.45</v>
      </c>
      <c r="H997" t="str">
        <f>"CUST#9486/PCT#4"</f>
        <v>CUST#9486/PCT#4</v>
      </c>
    </row>
    <row r="998" spans="1:8" x14ac:dyDescent="0.25">
      <c r="A998" t="s">
        <v>261</v>
      </c>
      <c r="B998">
        <v>135530</v>
      </c>
      <c r="C998" s="2">
        <v>25</v>
      </c>
      <c r="D998" s="1">
        <v>44326</v>
      </c>
      <c r="E998" t="str">
        <f>"202104282881"</f>
        <v>202104282881</v>
      </c>
      <c r="F998" t="str">
        <f>"REIMBURSEMENT/RUSTY COOK"</f>
        <v>REIMBURSEMENT/RUSTY COOK</v>
      </c>
      <c r="G998" s="2">
        <v>25</v>
      </c>
      <c r="H998" t="str">
        <f>"REIMBURSEMENT/RUSTY COOK"</f>
        <v>REIMBURSEMENT/RUSTY COOK</v>
      </c>
    </row>
    <row r="999" spans="1:8" x14ac:dyDescent="0.25">
      <c r="A999" t="s">
        <v>262</v>
      </c>
      <c r="B999">
        <v>135531</v>
      </c>
      <c r="C999" s="2">
        <v>1160</v>
      </c>
      <c r="D999" s="1">
        <v>44326</v>
      </c>
      <c r="E999" t="str">
        <f>"202105043017"</f>
        <v>202105043017</v>
      </c>
      <c r="F999" t="str">
        <f>"REGISTRATION"</f>
        <v>REGISTRATION</v>
      </c>
      <c r="G999" s="2">
        <v>1160</v>
      </c>
      <c r="H999" t="str">
        <f>"REGISTRATION"</f>
        <v>REGISTRATION</v>
      </c>
    </row>
    <row r="1000" spans="1:8" x14ac:dyDescent="0.25">
      <c r="A1000" t="s">
        <v>262</v>
      </c>
      <c r="B1000">
        <v>135677</v>
      </c>
      <c r="C1000" s="2">
        <v>125</v>
      </c>
      <c r="D1000" s="1">
        <v>44340</v>
      </c>
      <c r="E1000" t="str">
        <f>"202105193357"</f>
        <v>202105193357</v>
      </c>
      <c r="F1000" t="str">
        <f>"TRAINING/WAYNE WOOD"</f>
        <v>TRAINING/WAYNE WOOD</v>
      </c>
      <c r="G1000" s="2">
        <v>125</v>
      </c>
      <c r="H1000" t="str">
        <f>"CONFERENCE/WAYNE WOOD"</f>
        <v>CONFERENCE/WAYNE WOOD</v>
      </c>
    </row>
    <row r="1001" spans="1:8" x14ac:dyDescent="0.25">
      <c r="A1001" t="s">
        <v>263</v>
      </c>
      <c r="B1001">
        <v>4535</v>
      </c>
      <c r="C1001" s="2">
        <v>91.83</v>
      </c>
      <c r="D1001" s="1">
        <v>44341</v>
      </c>
      <c r="E1001" t="str">
        <f>"202105193341"</f>
        <v>202105193341</v>
      </c>
      <c r="F1001" t="str">
        <f>"INDIGENT HEALTH"</f>
        <v>INDIGENT HEALTH</v>
      </c>
      <c r="G1001" s="2">
        <v>91.83</v>
      </c>
      <c r="H1001" t="str">
        <f>"INDIGENT HEALTH"</f>
        <v>INDIGENT HEALTH</v>
      </c>
    </row>
    <row r="1002" spans="1:8" x14ac:dyDescent="0.25">
      <c r="A1002" t="s">
        <v>264</v>
      </c>
      <c r="B1002">
        <v>4490</v>
      </c>
      <c r="C1002" s="2">
        <v>13962</v>
      </c>
      <c r="D1002" s="1">
        <v>44341</v>
      </c>
      <c r="E1002" t="str">
        <f>"202105183326"</f>
        <v>202105183326</v>
      </c>
      <c r="F1002" t="str">
        <f>"INV PPDINV0015822"</f>
        <v>INV PPDINV0015822</v>
      </c>
      <c r="G1002" s="2">
        <v>13962</v>
      </c>
      <c r="H1002" t="str">
        <f>"INV PPDINV0015822"</f>
        <v>INV PPDINV0015822</v>
      </c>
    </row>
    <row r="1003" spans="1:8" x14ac:dyDescent="0.25">
      <c r="E1003" t="str">
        <f>""</f>
        <v/>
      </c>
      <c r="F1003" t="str">
        <f>""</f>
        <v/>
      </c>
      <c r="H1003" t="str">
        <f>"INV PPDINV0015821"</f>
        <v>INV PPDINV0015821</v>
      </c>
    </row>
    <row r="1004" spans="1:8" x14ac:dyDescent="0.25">
      <c r="A1004" t="s">
        <v>265</v>
      </c>
      <c r="B1004">
        <v>135678</v>
      </c>
      <c r="C1004" s="2">
        <v>26629.8</v>
      </c>
      <c r="D1004" s="1">
        <v>44340</v>
      </c>
      <c r="E1004" t="str">
        <f>"202105193334"</f>
        <v>202105193334</v>
      </c>
      <c r="F1004" t="str">
        <f>"INDIGENT HEALTH"</f>
        <v>INDIGENT HEALTH</v>
      </c>
      <c r="G1004" s="2">
        <v>23229.8</v>
      </c>
      <c r="H1004" t="str">
        <f>"INDIGENT HEALTH"</f>
        <v>INDIGENT HEALTH</v>
      </c>
    </row>
    <row r="1005" spans="1:8" x14ac:dyDescent="0.25">
      <c r="E1005" t="str">
        <f>""</f>
        <v/>
      </c>
      <c r="F1005" t="str">
        <f>""</f>
        <v/>
      </c>
      <c r="H1005" t="str">
        <f>"INDIGENT HEALTH"</f>
        <v>INDIGENT HEALTH</v>
      </c>
    </row>
    <row r="1006" spans="1:8" x14ac:dyDescent="0.25">
      <c r="E1006" t="str">
        <f>"202105193388"</f>
        <v>202105193388</v>
      </c>
      <c r="F1006" t="str">
        <f>"PRESCRIPTION ASSISTANCE"</f>
        <v>PRESCRIPTION ASSISTANCE</v>
      </c>
      <c r="G1006" s="2">
        <v>3400</v>
      </c>
      <c r="H1006" t="str">
        <f>"PRESCRIPTION ASSISTANCE"</f>
        <v>PRESCRIPTION ASSISTANCE</v>
      </c>
    </row>
    <row r="1007" spans="1:8" x14ac:dyDescent="0.25">
      <c r="A1007" t="s">
        <v>266</v>
      </c>
      <c r="B1007">
        <v>135679</v>
      </c>
      <c r="C1007" s="2">
        <v>50</v>
      </c>
      <c r="D1007" s="1">
        <v>44340</v>
      </c>
      <c r="E1007" t="str">
        <f>"14-962 4-21-2021"</f>
        <v>14-962 4-21-2021</v>
      </c>
      <c r="F1007" t="str">
        <f>"RESTITUTION/DEBRA MCCOMB"</f>
        <v>RESTITUTION/DEBRA MCCOMB</v>
      </c>
      <c r="G1007" s="2">
        <v>50</v>
      </c>
      <c r="H1007" t="str">
        <f>"RESTITUTION/DEBRA MCCOMB"</f>
        <v>RESTITUTION/DEBRA MCCOMB</v>
      </c>
    </row>
    <row r="1008" spans="1:8" x14ac:dyDescent="0.25">
      <c r="A1008" t="s">
        <v>267</v>
      </c>
      <c r="B1008">
        <v>135532</v>
      </c>
      <c r="C1008" s="2">
        <v>11.56</v>
      </c>
      <c r="D1008" s="1">
        <v>44326</v>
      </c>
      <c r="E1008" t="str">
        <f>"20366799"</f>
        <v>20366799</v>
      </c>
      <c r="F1008" t="str">
        <f>"SHI Order Snag-It"</f>
        <v>SHI Order Snag-It</v>
      </c>
      <c r="G1008" s="2">
        <v>11.56</v>
      </c>
      <c r="H1008" t="str">
        <f>"Quote#20366799"</f>
        <v>Quote#20366799</v>
      </c>
    </row>
    <row r="1009" spans="1:8" x14ac:dyDescent="0.25">
      <c r="A1009" t="s">
        <v>267</v>
      </c>
      <c r="B1009">
        <v>135680</v>
      </c>
      <c r="C1009" s="2">
        <v>65269.5</v>
      </c>
      <c r="D1009" s="1">
        <v>44340</v>
      </c>
      <c r="E1009" t="str">
        <f>"202105193370"</f>
        <v>202105193370</v>
      </c>
      <c r="F1009" t="str">
        <f>"Microsoft EA"</f>
        <v>Microsoft EA</v>
      </c>
      <c r="G1009" s="2">
        <v>20169.5</v>
      </c>
      <c r="H1009" t="str">
        <f>"FY 21-22"</f>
        <v>FY 21-22</v>
      </c>
    </row>
    <row r="1010" spans="1:8" x14ac:dyDescent="0.25">
      <c r="E1010" t="str">
        <f>""</f>
        <v/>
      </c>
      <c r="F1010" t="str">
        <f>""</f>
        <v/>
      </c>
      <c r="H1010" t="str">
        <f>"FY 22-23"</f>
        <v>FY 22-23</v>
      </c>
    </row>
    <row r="1011" spans="1:8" x14ac:dyDescent="0.25">
      <c r="E1011" t="str">
        <f>""</f>
        <v/>
      </c>
      <c r="F1011" t="str">
        <f>""</f>
        <v/>
      </c>
      <c r="H1011" t="str">
        <f>"FY 20-21"</f>
        <v>FY 20-21</v>
      </c>
    </row>
    <row r="1012" spans="1:8" x14ac:dyDescent="0.25">
      <c r="E1012" t="str">
        <f>"202105193371"</f>
        <v>202105193371</v>
      </c>
      <c r="F1012" t="str">
        <f>"VMware"</f>
        <v>VMware</v>
      </c>
      <c r="G1012" s="2">
        <v>10670.7</v>
      </c>
      <c r="H1012" t="str">
        <f>"FY 21-22"</f>
        <v>FY 21-22</v>
      </c>
    </row>
    <row r="1013" spans="1:8" x14ac:dyDescent="0.25">
      <c r="E1013" t="str">
        <f>""</f>
        <v/>
      </c>
      <c r="F1013" t="str">
        <f>""</f>
        <v/>
      </c>
      <c r="H1013" t="str">
        <f>"FY 20-21"</f>
        <v>FY 20-21</v>
      </c>
    </row>
    <row r="1014" spans="1:8" x14ac:dyDescent="0.25">
      <c r="E1014" t="str">
        <f>"22707"</f>
        <v>22707</v>
      </c>
      <c r="F1014" t="str">
        <f>"CISCO SOFTWARE SUPPORT"</f>
        <v>CISCO SOFTWARE SUPPORT</v>
      </c>
      <c r="G1014" s="2">
        <v>33951.879999999997</v>
      </c>
      <c r="H1014" t="str">
        <f>"FY 21-22"</f>
        <v>FY 21-22</v>
      </c>
    </row>
    <row r="1015" spans="1:8" x14ac:dyDescent="0.25">
      <c r="E1015" t="str">
        <f>""</f>
        <v/>
      </c>
      <c r="F1015" t="str">
        <f>""</f>
        <v/>
      </c>
      <c r="H1015" t="str">
        <f>"FY 20-21"</f>
        <v>FY 20-21</v>
      </c>
    </row>
    <row r="1016" spans="1:8" x14ac:dyDescent="0.25">
      <c r="E1016" t="str">
        <f>"23468"</f>
        <v>23468</v>
      </c>
      <c r="F1016" t="str">
        <f>"Part#CPWBX1176MP52"</f>
        <v>Part#CPWBX1176MP52</v>
      </c>
      <c r="G1016" s="2">
        <v>477.42</v>
      </c>
      <c r="H1016" t="str">
        <f>"Part#CPWBX1176MP52"</f>
        <v>Part#CPWBX1176MP52</v>
      </c>
    </row>
    <row r="1017" spans="1:8" x14ac:dyDescent="0.25">
      <c r="A1017" t="s">
        <v>268</v>
      </c>
      <c r="B1017">
        <v>135533</v>
      </c>
      <c r="C1017" s="2">
        <v>47.2</v>
      </c>
      <c r="D1017" s="1">
        <v>44326</v>
      </c>
      <c r="E1017" t="str">
        <f>"1284128"</f>
        <v>1284128</v>
      </c>
      <c r="F1017" t="str">
        <f>"ACCT#550615/PCT#4"</f>
        <v>ACCT#550615/PCT#4</v>
      </c>
      <c r="G1017" s="2">
        <v>47.2</v>
      </c>
      <c r="H1017" t="str">
        <f>"ACCT#550615/PCT#4"</f>
        <v>ACCT#550615/PCT#4</v>
      </c>
    </row>
    <row r="1018" spans="1:8" x14ac:dyDescent="0.25">
      <c r="A1018" t="s">
        <v>269</v>
      </c>
      <c r="B1018">
        <v>135534</v>
      </c>
      <c r="C1018" s="2">
        <v>386.62</v>
      </c>
      <c r="D1018" s="1">
        <v>44326</v>
      </c>
      <c r="E1018" t="str">
        <f>"8181962741"</f>
        <v>8181962741</v>
      </c>
      <c r="F1018" t="str">
        <f>"INV 8181962741"</f>
        <v>INV 8181962741</v>
      </c>
      <c r="G1018" s="2">
        <v>181.42</v>
      </c>
      <c r="H1018" t="str">
        <f>"INV 8181962741 (LE)"</f>
        <v>INV 8181962741 (LE)</v>
      </c>
    </row>
    <row r="1019" spans="1:8" x14ac:dyDescent="0.25">
      <c r="E1019" t="str">
        <f>""</f>
        <v/>
      </c>
      <c r="F1019" t="str">
        <f>""</f>
        <v/>
      </c>
      <c r="H1019" t="str">
        <f>"INV 8181962741 (JAIL"</f>
        <v>INV 8181962741 (JAIL</v>
      </c>
    </row>
    <row r="1020" spans="1:8" x14ac:dyDescent="0.25">
      <c r="E1020" t="str">
        <f>"8181963096"</f>
        <v>8181963096</v>
      </c>
      <c r="F1020" t="str">
        <f>"CUST#16151857/PURCHASING"</f>
        <v>CUST#16151857/PURCHASING</v>
      </c>
      <c r="G1020" s="2">
        <v>128.6</v>
      </c>
      <c r="H1020" t="str">
        <f>"CUST#16151857/PURCHASING"</f>
        <v>CUST#16151857/PURCHASING</v>
      </c>
    </row>
    <row r="1021" spans="1:8" x14ac:dyDescent="0.25">
      <c r="E1021" t="str">
        <f>""</f>
        <v/>
      </c>
      <c r="F1021" t="str">
        <f>""</f>
        <v/>
      </c>
      <c r="H1021" t="str">
        <f>"CUST#16151857/PURCHASING"</f>
        <v>CUST#16151857/PURCHASING</v>
      </c>
    </row>
    <row r="1022" spans="1:8" x14ac:dyDescent="0.25">
      <c r="E1022" t="str">
        <f>""</f>
        <v/>
      </c>
      <c r="F1022" t="str">
        <f>""</f>
        <v/>
      </c>
      <c r="H1022" t="str">
        <f>"CUST#16151857/PURCHASING"</f>
        <v>CUST#16151857/PURCHASING</v>
      </c>
    </row>
    <row r="1023" spans="1:8" x14ac:dyDescent="0.25">
      <c r="E1023" t="str">
        <f>"8181963324"</f>
        <v>8181963324</v>
      </c>
      <c r="F1023" t="str">
        <f>"CUST#16158670/JP4"</f>
        <v>CUST#16158670/JP4</v>
      </c>
      <c r="G1023" s="2">
        <v>76.599999999999994</v>
      </c>
      <c r="H1023" t="str">
        <f>"CUST#16158670/JP4"</f>
        <v>CUST#16158670/JP4</v>
      </c>
    </row>
    <row r="1024" spans="1:8" x14ac:dyDescent="0.25">
      <c r="A1024" t="s">
        <v>269</v>
      </c>
      <c r="B1024">
        <v>135681</v>
      </c>
      <c r="C1024" s="2">
        <v>95.19</v>
      </c>
      <c r="D1024" s="1">
        <v>44340</v>
      </c>
      <c r="E1024" t="str">
        <f>"8181963252"</f>
        <v>8181963252</v>
      </c>
      <c r="F1024" t="str">
        <f>"CUST#16156071/TAX OFFICE"</f>
        <v>CUST#16156071/TAX OFFICE</v>
      </c>
      <c r="G1024" s="2">
        <v>95.19</v>
      </c>
      <c r="H1024" t="str">
        <f>"CUST#16156071/TAX OFFICE"</f>
        <v>CUST#16156071/TAX OFFICE</v>
      </c>
    </row>
    <row r="1025" spans="1:8" x14ac:dyDescent="0.25">
      <c r="A1025" t="s">
        <v>270</v>
      </c>
      <c r="B1025">
        <v>135682</v>
      </c>
      <c r="C1025" s="2">
        <v>525</v>
      </c>
      <c r="D1025" s="1">
        <v>44340</v>
      </c>
      <c r="E1025" t="str">
        <f>"4277"</f>
        <v>4277</v>
      </c>
      <c r="F1025" t="str">
        <f>"CUSTOM TRUCK GRAPHICS"</f>
        <v>CUSTOM TRUCK GRAPHICS</v>
      </c>
      <c r="G1025" s="2">
        <v>525</v>
      </c>
      <c r="H1025" t="str">
        <f>"CUSTOM TRUCK GRAPHICS"</f>
        <v>CUSTOM TRUCK GRAPHICS</v>
      </c>
    </row>
    <row r="1026" spans="1:8" x14ac:dyDescent="0.25">
      <c r="A1026" t="s">
        <v>271</v>
      </c>
      <c r="B1026">
        <v>135683</v>
      </c>
      <c r="C1026" s="2">
        <v>105.3</v>
      </c>
      <c r="D1026" s="1">
        <v>44340</v>
      </c>
      <c r="E1026" t="str">
        <f>"202105193348"</f>
        <v>202105193348</v>
      </c>
      <c r="F1026" t="str">
        <f>"INDIGENT HEALTH"</f>
        <v>INDIGENT HEALTH</v>
      </c>
      <c r="G1026" s="2">
        <v>105.3</v>
      </c>
      <c r="H1026" t="str">
        <f>"INDIGENT HEALTH"</f>
        <v>INDIGENT HEALTH</v>
      </c>
    </row>
    <row r="1027" spans="1:8" x14ac:dyDescent="0.25">
      <c r="A1027" t="s">
        <v>272</v>
      </c>
      <c r="B1027">
        <v>135684</v>
      </c>
      <c r="C1027" s="2">
        <v>163.84</v>
      </c>
      <c r="D1027" s="1">
        <v>44340</v>
      </c>
      <c r="E1027" t="str">
        <f>"202105193349"</f>
        <v>202105193349</v>
      </c>
      <c r="F1027" t="str">
        <f>"INDIGENT HEALTH"</f>
        <v>INDIGENT HEALTH</v>
      </c>
      <c r="G1027" s="2">
        <v>22.45</v>
      </c>
      <c r="H1027" t="str">
        <f>"INDIGENT HEALTH"</f>
        <v>INDIGENT HEALTH</v>
      </c>
    </row>
    <row r="1028" spans="1:8" x14ac:dyDescent="0.25">
      <c r="E1028" t="str">
        <f>"202105193359"</f>
        <v>202105193359</v>
      </c>
      <c r="F1028" t="str">
        <f>"JAIL MEDICAL"</f>
        <v>JAIL MEDICAL</v>
      </c>
      <c r="G1028" s="2">
        <v>141.38999999999999</v>
      </c>
      <c r="H1028" t="str">
        <f>"JAIL MEDICAL"</f>
        <v>JAIL MEDICAL</v>
      </c>
    </row>
    <row r="1029" spans="1:8" x14ac:dyDescent="0.25">
      <c r="A1029" t="s">
        <v>273</v>
      </c>
      <c r="B1029">
        <v>4438</v>
      </c>
      <c r="C1029" s="2">
        <v>643.51</v>
      </c>
      <c r="D1029" s="1">
        <v>44327</v>
      </c>
      <c r="E1029" t="str">
        <f>"psmi00539"</f>
        <v>psmi00539</v>
      </c>
      <c r="F1029" t="str">
        <f>"INV PSMI000539"</f>
        <v>INV PSMI000539</v>
      </c>
      <c r="G1029" s="2">
        <v>643.51</v>
      </c>
      <c r="H1029" t="str">
        <f>"INV PSMI000539"</f>
        <v>INV PSMI000539</v>
      </c>
    </row>
    <row r="1030" spans="1:8" x14ac:dyDescent="0.25">
      <c r="E1030" t="str">
        <f>""</f>
        <v/>
      </c>
      <c r="F1030" t="str">
        <f>""</f>
        <v/>
      </c>
      <c r="H1030" t="str">
        <f>"INV PSMI000550"</f>
        <v>INV PSMI000550</v>
      </c>
    </row>
    <row r="1031" spans="1:8" x14ac:dyDescent="0.25">
      <c r="A1031" t="s">
        <v>274</v>
      </c>
      <c r="B1031">
        <v>135685</v>
      </c>
      <c r="C1031" s="2">
        <v>94.66</v>
      </c>
      <c r="D1031" s="1">
        <v>44340</v>
      </c>
      <c r="E1031" t="str">
        <f>"36286"</f>
        <v>36286</v>
      </c>
      <c r="F1031" t="str">
        <f>"SMITH SUPPLY/PCT#2"</f>
        <v>SMITH SUPPLY/PCT#2</v>
      </c>
      <c r="G1031" s="2">
        <v>94.66</v>
      </c>
      <c r="H1031" t="str">
        <f>"SMITH SUPPLY/PCT#2"</f>
        <v>SMITH SUPPLY/PCT#2</v>
      </c>
    </row>
    <row r="1032" spans="1:8" x14ac:dyDescent="0.25">
      <c r="A1032" t="s">
        <v>275</v>
      </c>
      <c r="B1032">
        <v>135686</v>
      </c>
      <c r="C1032" s="2">
        <v>815.7</v>
      </c>
      <c r="D1032" s="1">
        <v>44340</v>
      </c>
      <c r="E1032" t="str">
        <f>"202105193372"</f>
        <v>202105193372</v>
      </c>
      <c r="F1032" t="str">
        <f>"ACCT#260/PCT#2"</f>
        <v>ACCT#260/PCT#2</v>
      </c>
      <c r="G1032" s="2">
        <v>815.7</v>
      </c>
      <c r="H1032" t="str">
        <f>"ACCT#260/PCT#2"</f>
        <v>ACCT#260/PCT#2</v>
      </c>
    </row>
    <row r="1033" spans="1:8" x14ac:dyDescent="0.25">
      <c r="A1033" t="s">
        <v>276</v>
      </c>
      <c r="B1033">
        <v>135535</v>
      </c>
      <c r="C1033" s="2">
        <v>14.61</v>
      </c>
      <c r="D1033" s="1">
        <v>44326</v>
      </c>
      <c r="E1033" t="str">
        <f>"202105032894"</f>
        <v>202105032894</v>
      </c>
      <c r="F1033" t="str">
        <f>"SPD 7-1-2020/9-30/2020"</f>
        <v>SPD 7-1-2020/9-30/2020</v>
      </c>
      <c r="G1033" s="2">
        <v>3</v>
      </c>
      <c r="H1033" t="str">
        <f>"SPD 7-1-2020/9-30/2020"</f>
        <v>SPD 7-1-2020/9-30/2020</v>
      </c>
    </row>
    <row r="1034" spans="1:8" x14ac:dyDescent="0.25">
      <c r="E1034" t="str">
        <f>"202105032895"</f>
        <v>202105032895</v>
      </c>
      <c r="F1034" t="str">
        <f>"SPD 10-1-2020/12-31-2020"</f>
        <v>SPD 10-1-2020/12-31-2020</v>
      </c>
      <c r="G1034" s="2">
        <v>5.8</v>
      </c>
      <c r="H1034" t="str">
        <f>"SPD 10-1-2020/12-31-2020"</f>
        <v>SPD 10-1-2020/12-31-2020</v>
      </c>
    </row>
    <row r="1035" spans="1:8" x14ac:dyDescent="0.25">
      <c r="E1035" t="str">
        <f>"202105032896"</f>
        <v>202105032896</v>
      </c>
      <c r="F1035" t="str">
        <f>"SPD 1-1-2021/3-31-2021"</f>
        <v>SPD 1-1-2021/3-31-2021</v>
      </c>
      <c r="G1035" s="2">
        <v>5.81</v>
      </c>
      <c r="H1035" t="str">
        <f>"SPD 1-1-2021/3-31-2021"</f>
        <v>SPD 1-1-2021/3-31-2021</v>
      </c>
    </row>
    <row r="1036" spans="1:8" x14ac:dyDescent="0.25">
      <c r="A1036" t="s">
        <v>277</v>
      </c>
      <c r="B1036">
        <v>135536</v>
      </c>
      <c r="C1036" s="2">
        <v>4579.2</v>
      </c>
      <c r="D1036" s="1">
        <v>44326</v>
      </c>
      <c r="E1036" t="str">
        <f>"81969"</f>
        <v>81969</v>
      </c>
      <c r="F1036" t="str">
        <f>"Help Desk Maint Renewal"</f>
        <v>Help Desk Maint Renewal</v>
      </c>
      <c r="G1036" s="2">
        <v>4579.2</v>
      </c>
      <c r="H1036" t="str">
        <f>"Help Desk Renewal"</f>
        <v>Help Desk Renewal</v>
      </c>
    </row>
    <row r="1037" spans="1:8" x14ac:dyDescent="0.25">
      <c r="E1037" t="str">
        <f>""</f>
        <v/>
      </c>
      <c r="F1037" t="str">
        <f>""</f>
        <v/>
      </c>
      <c r="H1037" t="str">
        <f>"Cust Loyalty Camp"</f>
        <v>Cust Loyalty Camp</v>
      </c>
    </row>
    <row r="1038" spans="1:8" x14ac:dyDescent="0.25">
      <c r="A1038" t="s">
        <v>278</v>
      </c>
      <c r="B1038">
        <v>135687</v>
      </c>
      <c r="C1038" s="2">
        <v>408.42</v>
      </c>
      <c r="D1038" s="1">
        <v>44340</v>
      </c>
      <c r="E1038" t="str">
        <f>"202105193350"</f>
        <v>202105193350</v>
      </c>
      <c r="F1038" t="str">
        <f>"INDIGENT HEALTH"</f>
        <v>INDIGENT HEALTH</v>
      </c>
      <c r="G1038" s="2">
        <v>408.42</v>
      </c>
      <c r="H1038" t="str">
        <f>"INDIGENT HEALTH"</f>
        <v>INDIGENT HEALTH</v>
      </c>
    </row>
    <row r="1039" spans="1:8" x14ac:dyDescent="0.25">
      <c r="A1039" t="s">
        <v>279</v>
      </c>
      <c r="B1039">
        <v>135537</v>
      </c>
      <c r="C1039" s="2">
        <v>490.42</v>
      </c>
      <c r="D1039" s="1">
        <v>44326</v>
      </c>
      <c r="E1039" t="str">
        <f>"21T-946"</f>
        <v>21T-946</v>
      </c>
      <c r="F1039" t="str">
        <f>"PERMIT NOW/GIS SOFTWARE"</f>
        <v>PERMIT NOW/GIS SOFTWARE</v>
      </c>
      <c r="G1039" s="2">
        <v>490.42</v>
      </c>
      <c r="H1039" t="str">
        <f>"PERMIT NOW/GIS SOFTWARE"</f>
        <v>PERMIT NOW/GIS SOFTWARE</v>
      </c>
    </row>
    <row r="1040" spans="1:8" x14ac:dyDescent="0.25">
      <c r="A1040" t="s">
        <v>280</v>
      </c>
      <c r="B1040">
        <v>135688</v>
      </c>
      <c r="C1040" s="2">
        <v>896.76</v>
      </c>
      <c r="D1040" s="1">
        <v>44340</v>
      </c>
      <c r="E1040" t="str">
        <f>"24213"</f>
        <v>24213</v>
      </c>
      <c r="F1040" t="str">
        <f>"Fujitsu 7160"</f>
        <v>Fujitsu 7160</v>
      </c>
      <c r="G1040" s="2">
        <v>896.76</v>
      </c>
      <c r="H1040" t="str">
        <f>"Fijitsu fi-7160"</f>
        <v>Fijitsu fi-7160</v>
      </c>
    </row>
    <row r="1041" spans="1:8" x14ac:dyDescent="0.25">
      <c r="A1041" t="s">
        <v>281</v>
      </c>
      <c r="B1041">
        <v>135538</v>
      </c>
      <c r="C1041" s="2">
        <v>1308.4000000000001</v>
      </c>
      <c r="D1041" s="1">
        <v>44326</v>
      </c>
      <c r="E1041" t="str">
        <f>"4240026063"</f>
        <v>4240026063</v>
      </c>
      <c r="F1041" t="str">
        <f>"INV 4240026063"</f>
        <v>INV 4240026063</v>
      </c>
      <c r="G1041" s="2">
        <v>1308.4000000000001</v>
      </c>
      <c r="H1041" t="str">
        <f>"INV 4240026063"</f>
        <v>INV 4240026063</v>
      </c>
    </row>
    <row r="1042" spans="1:8" x14ac:dyDescent="0.25">
      <c r="A1042" t="s">
        <v>281</v>
      </c>
      <c r="B1042">
        <v>135689</v>
      </c>
      <c r="C1042" s="2">
        <v>3061.21</v>
      </c>
      <c r="D1042" s="1">
        <v>44340</v>
      </c>
      <c r="E1042" t="str">
        <f>"4240026529"</f>
        <v>4240026529</v>
      </c>
      <c r="F1042" t="str">
        <f>"INV 4240026529"</f>
        <v>INV 4240026529</v>
      </c>
      <c r="G1042" s="2">
        <v>832.56</v>
      </c>
      <c r="H1042" t="str">
        <f>"INV 4240026529"</f>
        <v>INV 4240026529</v>
      </c>
    </row>
    <row r="1043" spans="1:8" x14ac:dyDescent="0.25">
      <c r="E1043" t="str">
        <f>"4240026531"</f>
        <v>4240026531</v>
      </c>
      <c r="F1043" t="str">
        <f>"INV 4240026531"</f>
        <v>INV 4240026531</v>
      </c>
      <c r="G1043" s="2">
        <v>565.32000000000005</v>
      </c>
      <c r="H1043" t="str">
        <f>"INV 4240026531"</f>
        <v>INV 4240026531</v>
      </c>
    </row>
    <row r="1044" spans="1:8" x14ac:dyDescent="0.25">
      <c r="E1044" t="str">
        <f>"4650075469"</f>
        <v>4650075469</v>
      </c>
      <c r="F1044" t="str">
        <f>"CUST#0052157/PCT#3"</f>
        <v>CUST#0052157/PCT#3</v>
      </c>
      <c r="G1044" s="2">
        <v>732.78</v>
      </c>
      <c r="H1044" t="str">
        <f>"CUST#0052157/PCT#3"</f>
        <v>CUST#0052157/PCT#3</v>
      </c>
    </row>
    <row r="1045" spans="1:8" x14ac:dyDescent="0.25">
      <c r="E1045" t="str">
        <f>"4660028971"</f>
        <v>4660028971</v>
      </c>
      <c r="F1045" t="str">
        <f>"CUST#0052158/PCT#2"</f>
        <v>CUST#0052158/PCT#2</v>
      </c>
      <c r="G1045" s="2">
        <v>930.55</v>
      </c>
      <c r="H1045" t="str">
        <f>"CUST#0052158/PCT#2"</f>
        <v>CUST#0052158/PCT#2</v>
      </c>
    </row>
    <row r="1046" spans="1:8" x14ac:dyDescent="0.25">
      <c r="A1046" t="s">
        <v>282</v>
      </c>
      <c r="B1046">
        <v>135539</v>
      </c>
      <c r="C1046" s="2">
        <v>53.76</v>
      </c>
      <c r="D1046" s="1">
        <v>44326</v>
      </c>
      <c r="E1046" t="str">
        <f>"6904456-042221"</f>
        <v>6904456-042221</v>
      </c>
      <c r="F1046" t="str">
        <f>"ACCT#46668439604456"</f>
        <v>ACCT#46668439604456</v>
      </c>
      <c r="G1046" s="2">
        <v>53.76</v>
      </c>
      <c r="H1046" t="str">
        <f>"ACCT#46668439604456"</f>
        <v>ACCT#46668439604456</v>
      </c>
    </row>
    <row r="1047" spans="1:8" x14ac:dyDescent="0.25">
      <c r="A1047" t="s">
        <v>283</v>
      </c>
      <c r="B1047">
        <v>135690</v>
      </c>
      <c r="C1047" s="2">
        <v>326.87</v>
      </c>
      <c r="D1047" s="1">
        <v>44340</v>
      </c>
      <c r="E1047" t="str">
        <f>"202105193347"</f>
        <v>202105193347</v>
      </c>
      <c r="F1047" t="str">
        <f>"INDIGENT HEALTH"</f>
        <v>INDIGENT HEALTH</v>
      </c>
      <c r="G1047" s="2">
        <v>326.87</v>
      </c>
      <c r="H1047" t="str">
        <f>"INDIGENT HEALTH"</f>
        <v>INDIGENT HEALTH</v>
      </c>
    </row>
    <row r="1048" spans="1:8" x14ac:dyDescent="0.25">
      <c r="A1048" t="s">
        <v>284</v>
      </c>
      <c r="B1048">
        <v>135691</v>
      </c>
      <c r="C1048" s="2">
        <v>1012.7</v>
      </c>
      <c r="D1048" s="1">
        <v>44340</v>
      </c>
      <c r="E1048" t="str">
        <f>"202105193352"</f>
        <v>202105193352</v>
      </c>
      <c r="F1048" t="str">
        <f>"INDIGENT HEALTH"</f>
        <v>INDIGENT HEALTH</v>
      </c>
      <c r="G1048" s="2">
        <v>1012.7</v>
      </c>
      <c r="H1048" t="str">
        <f>"INDIGENT HEALTH"</f>
        <v>INDIGENT HEALTH</v>
      </c>
    </row>
    <row r="1049" spans="1:8" x14ac:dyDescent="0.25">
      <c r="A1049" t="s">
        <v>285</v>
      </c>
      <c r="B1049">
        <v>135692</v>
      </c>
      <c r="C1049" s="2">
        <v>109.29</v>
      </c>
      <c r="D1049" s="1">
        <v>44340</v>
      </c>
      <c r="E1049" t="str">
        <f>"202105193351"</f>
        <v>202105193351</v>
      </c>
      <c r="F1049" t="str">
        <f>"INDIGENT HEALTH"</f>
        <v>INDIGENT HEALTH</v>
      </c>
      <c r="G1049" s="2">
        <v>109.29</v>
      </c>
      <c r="H1049" t="str">
        <f>"INDIGENT HEALTH"</f>
        <v>INDIGENT HEALTH</v>
      </c>
    </row>
    <row r="1050" spans="1:8" x14ac:dyDescent="0.25">
      <c r="A1050" t="s">
        <v>286</v>
      </c>
      <c r="B1050">
        <v>135540</v>
      </c>
      <c r="C1050" s="2">
        <v>2318.33</v>
      </c>
      <c r="D1050" s="1">
        <v>44326</v>
      </c>
      <c r="E1050" t="str">
        <f>"8062128331"</f>
        <v>8062128331</v>
      </c>
      <c r="F1050" t="str">
        <f>"Statement"</f>
        <v>Statement</v>
      </c>
      <c r="G1050" s="2">
        <v>2318.33</v>
      </c>
      <c r="H1050" t="str">
        <f>"3476244468"</f>
        <v>3476244468</v>
      </c>
    </row>
    <row r="1051" spans="1:8" x14ac:dyDescent="0.25">
      <c r="E1051" t="str">
        <f>""</f>
        <v/>
      </c>
      <c r="F1051" t="str">
        <f>""</f>
        <v/>
      </c>
      <c r="H1051" t="str">
        <f>"3476244478"</f>
        <v>3476244478</v>
      </c>
    </row>
    <row r="1052" spans="1:8" x14ac:dyDescent="0.25">
      <c r="E1052" t="str">
        <f>""</f>
        <v/>
      </c>
      <c r="F1052" t="str">
        <f>""</f>
        <v/>
      </c>
      <c r="H1052" t="str">
        <f>"3476244475"</f>
        <v>3476244475</v>
      </c>
    </row>
    <row r="1053" spans="1:8" x14ac:dyDescent="0.25">
      <c r="E1053" t="str">
        <f>""</f>
        <v/>
      </c>
      <c r="F1053" t="str">
        <f>""</f>
        <v/>
      </c>
      <c r="H1053" t="str">
        <f>"3476244476"</f>
        <v>3476244476</v>
      </c>
    </row>
    <row r="1054" spans="1:8" x14ac:dyDescent="0.25">
      <c r="E1054" t="str">
        <f>""</f>
        <v/>
      </c>
      <c r="F1054" t="str">
        <f>""</f>
        <v/>
      </c>
      <c r="H1054" t="str">
        <f>"3476244503"</f>
        <v>3476244503</v>
      </c>
    </row>
    <row r="1055" spans="1:8" x14ac:dyDescent="0.25">
      <c r="E1055" t="str">
        <f>""</f>
        <v/>
      </c>
      <c r="F1055" t="str">
        <f>""</f>
        <v/>
      </c>
      <c r="H1055" t="str">
        <f>"3476244488"</f>
        <v>3476244488</v>
      </c>
    </row>
    <row r="1056" spans="1:8" x14ac:dyDescent="0.25">
      <c r="E1056" t="str">
        <f>""</f>
        <v/>
      </c>
      <c r="F1056" t="str">
        <f>""</f>
        <v/>
      </c>
      <c r="H1056" t="str">
        <f>"3476244498"</f>
        <v>3476244498</v>
      </c>
    </row>
    <row r="1057" spans="1:8" x14ac:dyDescent="0.25">
      <c r="E1057" t="str">
        <f>""</f>
        <v/>
      </c>
      <c r="F1057" t="str">
        <f>""</f>
        <v/>
      </c>
      <c r="H1057" t="str">
        <f>"3476244501"</f>
        <v>3476244501</v>
      </c>
    </row>
    <row r="1058" spans="1:8" x14ac:dyDescent="0.25">
      <c r="E1058" t="str">
        <f>""</f>
        <v/>
      </c>
      <c r="F1058" t="str">
        <f>""</f>
        <v/>
      </c>
      <c r="H1058" t="str">
        <f>"3476244483"</f>
        <v>3476244483</v>
      </c>
    </row>
    <row r="1059" spans="1:8" x14ac:dyDescent="0.25">
      <c r="E1059" t="str">
        <f>""</f>
        <v/>
      </c>
      <c r="F1059" t="str">
        <f>""</f>
        <v/>
      </c>
      <c r="H1059" t="str">
        <f>"3476244485"</f>
        <v>3476244485</v>
      </c>
    </row>
    <row r="1060" spans="1:8" x14ac:dyDescent="0.25">
      <c r="E1060" t="str">
        <f>""</f>
        <v/>
      </c>
      <c r="F1060" t="str">
        <f>""</f>
        <v/>
      </c>
      <c r="H1060" t="str">
        <f>"3476244491"</f>
        <v>3476244491</v>
      </c>
    </row>
    <row r="1061" spans="1:8" x14ac:dyDescent="0.25">
      <c r="E1061" t="str">
        <f>""</f>
        <v/>
      </c>
      <c r="F1061" t="str">
        <f>""</f>
        <v/>
      </c>
      <c r="H1061" t="str">
        <f>"3476244492"</f>
        <v>3476244492</v>
      </c>
    </row>
    <row r="1062" spans="1:8" x14ac:dyDescent="0.25">
      <c r="E1062" t="str">
        <f>""</f>
        <v/>
      </c>
      <c r="F1062" t="str">
        <f>""</f>
        <v/>
      </c>
      <c r="H1062" t="str">
        <f>"3476244496"</f>
        <v>3476244496</v>
      </c>
    </row>
    <row r="1063" spans="1:8" x14ac:dyDescent="0.25">
      <c r="E1063" t="str">
        <f>""</f>
        <v/>
      </c>
      <c r="F1063" t="str">
        <f>""</f>
        <v/>
      </c>
      <c r="H1063" t="str">
        <f>"3476244481"</f>
        <v>3476244481</v>
      </c>
    </row>
    <row r="1064" spans="1:8" x14ac:dyDescent="0.25">
      <c r="E1064" t="str">
        <f>""</f>
        <v/>
      </c>
      <c r="F1064" t="str">
        <f>""</f>
        <v/>
      </c>
      <c r="H1064" t="str">
        <f>"3476244486"</f>
        <v>3476244486</v>
      </c>
    </row>
    <row r="1065" spans="1:8" x14ac:dyDescent="0.25">
      <c r="E1065" t="str">
        <f>""</f>
        <v/>
      </c>
      <c r="F1065" t="str">
        <f>""</f>
        <v/>
      </c>
      <c r="H1065" t="str">
        <f>"3476244471"</f>
        <v>3476244471</v>
      </c>
    </row>
    <row r="1066" spans="1:8" x14ac:dyDescent="0.25">
      <c r="E1066" t="str">
        <f>""</f>
        <v/>
      </c>
      <c r="F1066" t="str">
        <f>""</f>
        <v/>
      </c>
      <c r="H1066" t="str">
        <f>"3476244473"</f>
        <v>3476244473</v>
      </c>
    </row>
    <row r="1067" spans="1:8" x14ac:dyDescent="0.25">
      <c r="A1067" t="s">
        <v>286</v>
      </c>
      <c r="B1067">
        <v>135693</v>
      </c>
      <c r="C1067" s="2">
        <v>1310</v>
      </c>
      <c r="D1067" s="1">
        <v>44340</v>
      </c>
      <c r="E1067" t="str">
        <f>"8062286665"</f>
        <v>8062286665</v>
      </c>
      <c r="F1067" t="str">
        <f>"Statement"</f>
        <v>Statement</v>
      </c>
      <c r="G1067" s="2">
        <v>1310</v>
      </c>
      <c r="H1067" t="str">
        <f>"3477314635"</f>
        <v>3477314635</v>
      </c>
    </row>
    <row r="1068" spans="1:8" x14ac:dyDescent="0.25">
      <c r="E1068" t="str">
        <f>""</f>
        <v/>
      </c>
      <c r="F1068" t="str">
        <f>""</f>
        <v/>
      </c>
      <c r="H1068" t="str">
        <f>"3477314639"</f>
        <v>3477314639</v>
      </c>
    </row>
    <row r="1069" spans="1:8" x14ac:dyDescent="0.25">
      <c r="E1069" t="str">
        <f>""</f>
        <v/>
      </c>
      <c r="F1069" t="str">
        <f>""</f>
        <v/>
      </c>
      <c r="H1069" t="str">
        <f>"3477314633"</f>
        <v>3477314633</v>
      </c>
    </row>
    <row r="1070" spans="1:8" x14ac:dyDescent="0.25">
      <c r="E1070" t="str">
        <f>""</f>
        <v/>
      </c>
      <c r="F1070" t="str">
        <f>""</f>
        <v/>
      </c>
      <c r="H1070" t="str">
        <f>"3477314633"</f>
        <v>3477314633</v>
      </c>
    </row>
    <row r="1071" spans="1:8" x14ac:dyDescent="0.25">
      <c r="E1071" t="str">
        <f>""</f>
        <v/>
      </c>
      <c r="F1071" t="str">
        <f>""</f>
        <v/>
      </c>
      <c r="H1071" t="str">
        <f>"3477314629"</f>
        <v>3477314629</v>
      </c>
    </row>
    <row r="1072" spans="1:8" x14ac:dyDescent="0.25">
      <c r="E1072" t="str">
        <f>""</f>
        <v/>
      </c>
      <c r="F1072" t="str">
        <f>""</f>
        <v/>
      </c>
      <c r="H1072" t="str">
        <f>"3477314646"</f>
        <v>3477314646</v>
      </c>
    </row>
    <row r="1073" spans="1:8" x14ac:dyDescent="0.25">
      <c r="E1073" t="str">
        <f>""</f>
        <v/>
      </c>
      <c r="F1073" t="str">
        <f>""</f>
        <v/>
      </c>
      <c r="H1073" t="str">
        <f>"3477314647"</f>
        <v>3477314647</v>
      </c>
    </row>
    <row r="1074" spans="1:8" x14ac:dyDescent="0.25">
      <c r="E1074" t="str">
        <f>""</f>
        <v/>
      </c>
      <c r="F1074" t="str">
        <f>""</f>
        <v/>
      </c>
      <c r="H1074" t="str">
        <f>"3477314649"</f>
        <v>3477314649</v>
      </c>
    </row>
    <row r="1075" spans="1:8" x14ac:dyDescent="0.25">
      <c r="E1075" t="str">
        <f>""</f>
        <v/>
      </c>
      <c r="F1075" t="str">
        <f>""</f>
        <v/>
      </c>
      <c r="H1075" t="str">
        <f>"3477314637"</f>
        <v>3477314637</v>
      </c>
    </row>
    <row r="1076" spans="1:8" x14ac:dyDescent="0.25">
      <c r="E1076" t="str">
        <f>""</f>
        <v/>
      </c>
      <c r="F1076" t="str">
        <f>""</f>
        <v/>
      </c>
      <c r="H1076" t="str">
        <f>"3477314642"</f>
        <v>3477314642</v>
      </c>
    </row>
    <row r="1077" spans="1:8" x14ac:dyDescent="0.25">
      <c r="E1077" t="str">
        <f>""</f>
        <v/>
      </c>
      <c r="F1077" t="str">
        <f>""</f>
        <v/>
      </c>
      <c r="H1077" t="str">
        <f>"3477314644"</f>
        <v>3477314644</v>
      </c>
    </row>
    <row r="1078" spans="1:8" x14ac:dyDescent="0.25">
      <c r="E1078" t="str">
        <f>""</f>
        <v/>
      </c>
      <c r="F1078" t="str">
        <f>""</f>
        <v/>
      </c>
      <c r="H1078" t="str">
        <f>"3477314645"</f>
        <v>3477314645</v>
      </c>
    </row>
    <row r="1079" spans="1:8" x14ac:dyDescent="0.25">
      <c r="A1079" t="s">
        <v>287</v>
      </c>
      <c r="B1079">
        <v>135694</v>
      </c>
      <c r="C1079" s="2">
        <v>590.46</v>
      </c>
      <c r="D1079" s="1">
        <v>44340</v>
      </c>
      <c r="E1079" t="str">
        <f>"202105133240"</f>
        <v>202105133240</v>
      </c>
      <c r="F1079" t="str">
        <f>"APRIL 2021"</f>
        <v>APRIL 2021</v>
      </c>
      <c r="G1079" s="2">
        <v>590.46</v>
      </c>
      <c r="H1079" t="str">
        <f>"APRIL 2021"</f>
        <v>APRIL 2021</v>
      </c>
    </row>
    <row r="1080" spans="1:8" x14ac:dyDescent="0.25">
      <c r="A1080" t="s">
        <v>288</v>
      </c>
      <c r="B1080">
        <v>135695</v>
      </c>
      <c r="C1080" s="2">
        <v>2250</v>
      </c>
      <c r="D1080" s="1">
        <v>44340</v>
      </c>
      <c r="E1080" t="str">
        <f>"1010411"</f>
        <v>1010411</v>
      </c>
      <c r="F1080" t="str">
        <f>"PROJECT#20800-P8/STONY POINT"</f>
        <v>PROJECT#20800-P8/STONY POINT</v>
      </c>
      <c r="G1080" s="2">
        <v>2250</v>
      </c>
      <c r="H1080" t="str">
        <f>"PROJECT#20800-P8/STONY POINT"</f>
        <v>PROJECT#20800-P8/STONY POINT</v>
      </c>
    </row>
    <row r="1081" spans="1:8" x14ac:dyDescent="0.25">
      <c r="A1081" t="s">
        <v>289</v>
      </c>
      <c r="B1081">
        <v>135541</v>
      </c>
      <c r="C1081" s="2">
        <v>834.29</v>
      </c>
      <c r="D1081" s="1">
        <v>44326</v>
      </c>
      <c r="E1081" t="str">
        <f>"4010079810"</f>
        <v>4010079810</v>
      </c>
      <c r="F1081" t="str">
        <f>"INV 4010079810"</f>
        <v>INV 4010079810</v>
      </c>
      <c r="G1081" s="2">
        <v>834.29</v>
      </c>
      <c r="H1081" t="str">
        <f>"INV 4010079810"</f>
        <v>INV 4010079810</v>
      </c>
    </row>
    <row r="1082" spans="1:8" x14ac:dyDescent="0.25">
      <c r="A1082" t="s">
        <v>290</v>
      </c>
      <c r="B1082">
        <v>4411</v>
      </c>
      <c r="C1082" s="2">
        <v>435.5</v>
      </c>
      <c r="D1082" s="1">
        <v>44327</v>
      </c>
      <c r="E1082" t="str">
        <f>"202105042982"</f>
        <v>202105042982</v>
      </c>
      <c r="F1082" t="str">
        <f>"TRASH REMOVAL/PCT#4"</f>
        <v>TRASH REMOVAL/PCT#4</v>
      </c>
      <c r="G1082" s="2">
        <v>221</v>
      </c>
      <c r="H1082" t="str">
        <f>"TRASH REMOVAL/PCT#4"</f>
        <v>TRASH REMOVAL/PCT#4</v>
      </c>
    </row>
    <row r="1083" spans="1:8" x14ac:dyDescent="0.25">
      <c r="E1083" t="str">
        <f>"202105042983"</f>
        <v>202105042983</v>
      </c>
      <c r="F1083" t="str">
        <f>"TRASH REMOVAL/PCT#4"</f>
        <v>TRASH REMOVAL/PCT#4</v>
      </c>
      <c r="G1083" s="2">
        <v>214.5</v>
      </c>
      <c r="H1083" t="str">
        <f>"TRASH REMOVAL/PCT#4"</f>
        <v>TRASH REMOVAL/PCT#4</v>
      </c>
    </row>
    <row r="1084" spans="1:8" x14ac:dyDescent="0.25">
      <c r="A1084" t="s">
        <v>290</v>
      </c>
      <c r="B1084">
        <v>4486</v>
      </c>
      <c r="C1084" s="2">
        <v>377</v>
      </c>
      <c r="D1084" s="1">
        <v>44341</v>
      </c>
      <c r="E1084" t="str">
        <f>"202105183300"</f>
        <v>202105183300</v>
      </c>
      <c r="F1084" t="str">
        <f>"TRASH REMOVAL/STEVE GRANADO"</f>
        <v>TRASH REMOVAL/STEVE GRANADO</v>
      </c>
      <c r="G1084" s="2">
        <v>377</v>
      </c>
      <c r="H1084" t="str">
        <f>"TRASH REMOVAL/STEVE GRANADO"</f>
        <v>TRASH REMOVAL/STEVE GRANADO</v>
      </c>
    </row>
    <row r="1085" spans="1:8" x14ac:dyDescent="0.25">
      <c r="A1085" t="s">
        <v>291</v>
      </c>
      <c r="B1085">
        <v>135696</v>
      </c>
      <c r="C1085" s="2">
        <v>57</v>
      </c>
      <c r="D1085" s="1">
        <v>44340</v>
      </c>
      <c r="E1085" t="str">
        <f>"0020861"</f>
        <v>0020861</v>
      </c>
      <c r="F1085" t="str">
        <f>"INV 0020861-IN"</f>
        <v>INV 0020861-IN</v>
      </c>
      <c r="G1085" s="2">
        <v>57</v>
      </c>
      <c r="H1085" t="str">
        <f>"INV 0020861-IN"</f>
        <v>INV 0020861-IN</v>
      </c>
    </row>
    <row r="1086" spans="1:8" x14ac:dyDescent="0.25">
      <c r="A1086" t="s">
        <v>292</v>
      </c>
      <c r="B1086">
        <v>135697</v>
      </c>
      <c r="C1086" s="2">
        <v>7836</v>
      </c>
      <c r="D1086" s="1">
        <v>44340</v>
      </c>
      <c r="E1086" t="str">
        <f>"24331"</f>
        <v>24331</v>
      </c>
      <c r="F1086" t="str">
        <f>"HOMESTEAD PORCH"</f>
        <v>HOMESTEAD PORCH</v>
      </c>
      <c r="G1086" s="2">
        <v>7836</v>
      </c>
      <c r="H1086" t="str">
        <f>"HOMESTEAD PORCH"</f>
        <v>HOMESTEAD PORCH</v>
      </c>
    </row>
    <row r="1087" spans="1:8" x14ac:dyDescent="0.25">
      <c r="A1087" t="s">
        <v>293</v>
      </c>
      <c r="B1087">
        <v>4432</v>
      </c>
      <c r="C1087" s="2">
        <v>6681.88</v>
      </c>
      <c r="D1087" s="1">
        <v>44327</v>
      </c>
      <c r="E1087" t="str">
        <f>"96055114"</f>
        <v>96055114</v>
      </c>
      <c r="F1087" t="str">
        <f>"ACCT#10187718/PCT#2"</f>
        <v>ACCT#10187718/PCT#2</v>
      </c>
      <c r="G1087" s="2">
        <v>4389.62</v>
      </c>
      <c r="H1087" t="str">
        <f>"ACCT#10187718/PCT#2"</f>
        <v>ACCT#10187718/PCT#2</v>
      </c>
    </row>
    <row r="1088" spans="1:8" x14ac:dyDescent="0.25">
      <c r="E1088" t="str">
        <f>"96058284"</f>
        <v>96058284</v>
      </c>
      <c r="F1088" t="str">
        <f>"ACCT#10187718/PCT#2"</f>
        <v>ACCT#10187718/PCT#2</v>
      </c>
      <c r="G1088" s="2">
        <v>2292.2600000000002</v>
      </c>
      <c r="H1088" t="str">
        <f>"ACCT#10187718/PCT#2"</f>
        <v>ACCT#10187718/PCT#2</v>
      </c>
    </row>
    <row r="1089" spans="1:8" x14ac:dyDescent="0.25">
      <c r="A1089" t="s">
        <v>293</v>
      </c>
      <c r="B1089">
        <v>4509</v>
      </c>
      <c r="C1089" s="2">
        <v>2058.19</v>
      </c>
      <c r="D1089" s="1">
        <v>44341</v>
      </c>
      <c r="E1089" t="str">
        <f>"96072132"</f>
        <v>96072132</v>
      </c>
      <c r="F1089" t="str">
        <f>"ACCT#10187718/PCT#2"</f>
        <v>ACCT#10187718/PCT#2</v>
      </c>
      <c r="G1089" s="2">
        <v>2058.19</v>
      </c>
      <c r="H1089" t="str">
        <f>"ACCT#10187718/PCT#2"</f>
        <v>ACCT#10187718/PCT#2</v>
      </c>
    </row>
    <row r="1090" spans="1:8" x14ac:dyDescent="0.25">
      <c r="A1090" t="s">
        <v>294</v>
      </c>
      <c r="B1090">
        <v>135698</v>
      </c>
      <c r="C1090" s="2">
        <v>240</v>
      </c>
      <c r="D1090" s="1">
        <v>44340</v>
      </c>
      <c r="E1090" t="str">
        <f>"9444139817"</f>
        <v>9444139817</v>
      </c>
      <c r="F1090" t="str">
        <f>"INV 9444139817"</f>
        <v>INV 9444139817</v>
      </c>
      <c r="G1090" s="2">
        <v>240</v>
      </c>
      <c r="H1090" t="str">
        <f>"INV 9444139817"</f>
        <v>INV 9444139817</v>
      </c>
    </row>
    <row r="1091" spans="1:8" x14ac:dyDescent="0.25">
      <c r="A1091" t="s">
        <v>295</v>
      </c>
      <c r="B1091">
        <v>4512</v>
      </c>
      <c r="C1091" s="2">
        <v>3630</v>
      </c>
      <c r="D1091" s="1">
        <v>44341</v>
      </c>
      <c r="E1091" t="str">
        <f>"7917"</f>
        <v>7917</v>
      </c>
      <c r="F1091" t="str">
        <f>"CITRUS CLEAN/PCT#4"</f>
        <v>CITRUS CLEAN/PCT#4</v>
      </c>
      <c r="G1091" s="2">
        <v>3630</v>
      </c>
      <c r="H1091" t="str">
        <f>"CITRUS CLEAN/PCT#4"</f>
        <v>CITRUS CLEAN/PCT#4</v>
      </c>
    </row>
    <row r="1092" spans="1:8" x14ac:dyDescent="0.25">
      <c r="A1092" t="s">
        <v>296</v>
      </c>
      <c r="B1092">
        <v>135542</v>
      </c>
      <c r="C1092" s="2">
        <v>2400</v>
      </c>
      <c r="D1092" s="1">
        <v>44326</v>
      </c>
      <c r="E1092" t="str">
        <f>"0839090"</f>
        <v>0839090</v>
      </c>
      <c r="F1092" t="str">
        <f>"TRACE TC1619451182310"</f>
        <v>TRACE TC1619451182310</v>
      </c>
      <c r="G1092" s="2">
        <v>2400</v>
      </c>
      <c r="H1092" t="str">
        <f>"TRACE TC1619451182310"</f>
        <v>TRACE TC1619451182310</v>
      </c>
    </row>
    <row r="1093" spans="1:8" x14ac:dyDescent="0.25">
      <c r="A1093" t="s">
        <v>297</v>
      </c>
      <c r="B1093">
        <v>4543</v>
      </c>
      <c r="C1093" s="2">
        <v>221</v>
      </c>
      <c r="D1093" s="1">
        <v>44341</v>
      </c>
      <c r="E1093" t="str">
        <f>"2106067"</f>
        <v>2106067</v>
      </c>
      <c r="F1093" t="str">
        <f>"MONTHY CONTRACT/MAY"</f>
        <v>MONTHY CONTRACT/MAY</v>
      </c>
      <c r="G1093" s="2">
        <v>221</v>
      </c>
      <c r="H1093" t="str">
        <f>"MONTHY CONTRACT/MAY"</f>
        <v>MONTHY CONTRACT/MAY</v>
      </c>
    </row>
    <row r="1094" spans="1:8" x14ac:dyDescent="0.25">
      <c r="A1094" t="s">
        <v>298</v>
      </c>
      <c r="B1094">
        <v>135543</v>
      </c>
      <c r="C1094" s="2">
        <v>1433.92</v>
      </c>
      <c r="D1094" s="1">
        <v>44326</v>
      </c>
      <c r="E1094" t="str">
        <f>"202105042998"</f>
        <v>202105042998</v>
      </c>
      <c r="F1094" t="str">
        <f>"Air Filters"</f>
        <v>Air Filters</v>
      </c>
      <c r="G1094" s="2">
        <v>1433.92</v>
      </c>
      <c r="H1094" t="str">
        <f>"10x32x1/2 poly"</f>
        <v>10x32x1/2 poly</v>
      </c>
    </row>
    <row r="1095" spans="1:8" x14ac:dyDescent="0.25">
      <c r="E1095" t="str">
        <f>""</f>
        <v/>
      </c>
      <c r="F1095" t="str">
        <f>""</f>
        <v/>
      </c>
      <c r="H1095" t="str">
        <f>"10 1/2x32 1/2x1/2pol"</f>
        <v>10 1/2x32 1/2x1/2pol</v>
      </c>
    </row>
    <row r="1096" spans="1:8" x14ac:dyDescent="0.25">
      <c r="E1096" t="str">
        <f>""</f>
        <v/>
      </c>
      <c r="F1096" t="str">
        <f>""</f>
        <v/>
      </c>
      <c r="H1096" t="str">
        <f>"12x24x1pleated"</f>
        <v>12x24x1pleated</v>
      </c>
    </row>
    <row r="1097" spans="1:8" x14ac:dyDescent="0.25">
      <c r="E1097" t="str">
        <f>""</f>
        <v/>
      </c>
      <c r="F1097" t="str">
        <f>""</f>
        <v/>
      </c>
      <c r="H1097" t="str">
        <f>"14x20x1pleated"</f>
        <v>14x20x1pleated</v>
      </c>
    </row>
    <row r="1098" spans="1:8" x14ac:dyDescent="0.25">
      <c r="E1098" t="str">
        <f>""</f>
        <v/>
      </c>
      <c r="F1098" t="str">
        <f>""</f>
        <v/>
      </c>
      <c r="H1098" t="str">
        <f>"14x30x1pleated"</f>
        <v>14x30x1pleated</v>
      </c>
    </row>
    <row r="1099" spans="1:8" x14ac:dyDescent="0.25">
      <c r="E1099" t="str">
        <f>""</f>
        <v/>
      </c>
      <c r="F1099" t="str">
        <f>""</f>
        <v/>
      </c>
      <c r="H1099" t="str">
        <f>"16x20x1pleated"</f>
        <v>16x20x1pleated</v>
      </c>
    </row>
    <row r="1100" spans="1:8" x14ac:dyDescent="0.25">
      <c r="E1100" t="str">
        <f>""</f>
        <v/>
      </c>
      <c r="F1100" t="str">
        <f>""</f>
        <v/>
      </c>
      <c r="H1100" t="str">
        <f>"16x25x2pleated"</f>
        <v>16x25x2pleated</v>
      </c>
    </row>
    <row r="1101" spans="1:8" x14ac:dyDescent="0.25">
      <c r="E1101" t="str">
        <f>""</f>
        <v/>
      </c>
      <c r="F1101" t="str">
        <f>""</f>
        <v/>
      </c>
      <c r="H1101" t="str">
        <f>"18x24x2 pleated"</f>
        <v>18x24x2 pleated</v>
      </c>
    </row>
    <row r="1102" spans="1:8" x14ac:dyDescent="0.25">
      <c r="E1102" t="str">
        <f>""</f>
        <v/>
      </c>
      <c r="F1102" t="str">
        <f>""</f>
        <v/>
      </c>
      <c r="H1102" t="str">
        <f>"20x20x1pleated"</f>
        <v>20x20x1pleated</v>
      </c>
    </row>
    <row r="1103" spans="1:8" x14ac:dyDescent="0.25">
      <c r="E1103" t="str">
        <f>""</f>
        <v/>
      </c>
      <c r="F1103" t="str">
        <f>""</f>
        <v/>
      </c>
      <c r="H1103" t="str">
        <f>"20x24x4pleated"</f>
        <v>20x24x4pleated</v>
      </c>
    </row>
    <row r="1104" spans="1:8" x14ac:dyDescent="0.25">
      <c r="E1104" t="str">
        <f>""</f>
        <v/>
      </c>
      <c r="F1104" t="str">
        <f>""</f>
        <v/>
      </c>
      <c r="H1104" t="str">
        <f>"20x25x1pleated"</f>
        <v>20x25x1pleated</v>
      </c>
    </row>
    <row r="1105" spans="1:8" x14ac:dyDescent="0.25">
      <c r="E1105" t="str">
        <f>""</f>
        <v/>
      </c>
      <c r="F1105" t="str">
        <f>""</f>
        <v/>
      </c>
      <c r="H1105" t="str">
        <f>"20x25x2"</f>
        <v>20x25x2</v>
      </c>
    </row>
    <row r="1106" spans="1:8" x14ac:dyDescent="0.25">
      <c r="E1106" t="str">
        <f>""</f>
        <v/>
      </c>
      <c r="F1106" t="str">
        <f>""</f>
        <v/>
      </c>
      <c r="H1106" t="str">
        <f>"20x30x1"</f>
        <v>20x30x1</v>
      </c>
    </row>
    <row r="1107" spans="1:8" x14ac:dyDescent="0.25">
      <c r="E1107" t="str">
        <f>""</f>
        <v/>
      </c>
      <c r="F1107" t="str">
        <f>""</f>
        <v/>
      </c>
      <c r="H1107" t="str">
        <f>"20x34x1/2pleated"</f>
        <v>20x34x1/2pleated</v>
      </c>
    </row>
    <row r="1108" spans="1:8" x14ac:dyDescent="0.25">
      <c r="E1108" t="str">
        <f>""</f>
        <v/>
      </c>
      <c r="F1108" t="str">
        <f>""</f>
        <v/>
      </c>
      <c r="H1108" t="str">
        <f>"24x24x2pleated"</f>
        <v>24x24x2pleated</v>
      </c>
    </row>
    <row r="1109" spans="1:8" x14ac:dyDescent="0.25">
      <c r="E1109" t="str">
        <f>""</f>
        <v/>
      </c>
      <c r="F1109" t="str">
        <f>""</f>
        <v/>
      </c>
      <c r="H1109" t="str">
        <f>"25x25x2pleated"</f>
        <v>25x25x2pleated</v>
      </c>
    </row>
    <row r="1110" spans="1:8" x14ac:dyDescent="0.25">
      <c r="E1110" t="str">
        <f>""</f>
        <v/>
      </c>
      <c r="F1110" t="str">
        <f>""</f>
        <v/>
      </c>
      <c r="H1110" t="str">
        <f>"25x27x2pleated"</f>
        <v>25x27x2pleated</v>
      </c>
    </row>
    <row r="1111" spans="1:8" x14ac:dyDescent="0.25">
      <c r="E1111" t="str">
        <f>""</f>
        <v/>
      </c>
      <c r="F1111" t="str">
        <f>""</f>
        <v/>
      </c>
      <c r="H1111" t="str">
        <f>"18 1/2x10x1pleated"</f>
        <v>18 1/2x10x1pleated</v>
      </c>
    </row>
    <row r="1112" spans="1:8" x14ac:dyDescent="0.25">
      <c r="E1112" t="str">
        <f>""</f>
        <v/>
      </c>
      <c r="F1112" t="str">
        <f>""</f>
        <v/>
      </c>
      <c r="H1112" t="str">
        <f>"22x19x1pleated"</f>
        <v>22x19x1pleated</v>
      </c>
    </row>
    <row r="1113" spans="1:8" x14ac:dyDescent="0.25">
      <c r="E1113" t="str">
        <f>""</f>
        <v/>
      </c>
      <c r="F1113" t="str">
        <f>""</f>
        <v/>
      </c>
      <c r="H1113" t="str">
        <f>"18 1/2x37x4 pleated"</f>
        <v>18 1/2x37x4 pleated</v>
      </c>
    </row>
    <row r="1114" spans="1:8" x14ac:dyDescent="0.25">
      <c r="A1114" t="s">
        <v>299</v>
      </c>
      <c r="B1114">
        <v>135544</v>
      </c>
      <c r="C1114" s="2">
        <v>4201.5600000000004</v>
      </c>
      <c r="D1114" s="1">
        <v>44326</v>
      </c>
      <c r="E1114" t="str">
        <f>"1084867-IN"</f>
        <v>1084867-IN</v>
      </c>
      <c r="F1114" t="str">
        <f>"ACCT#01-0112917/PCT#3"</f>
        <v>ACCT#01-0112917/PCT#3</v>
      </c>
      <c r="G1114" s="2">
        <v>4201.5600000000004</v>
      </c>
      <c r="H1114" t="str">
        <f>"ACCT#01-0112917/PCT#3"</f>
        <v>ACCT#01-0112917/PCT#3</v>
      </c>
    </row>
    <row r="1115" spans="1:8" x14ac:dyDescent="0.25">
      <c r="A1115" t="s">
        <v>299</v>
      </c>
      <c r="B1115">
        <v>135699</v>
      </c>
      <c r="C1115" s="2">
        <v>11146.5</v>
      </c>
      <c r="D1115" s="1">
        <v>44340</v>
      </c>
      <c r="E1115" t="str">
        <f>"1085766-IN"</f>
        <v>1085766-IN</v>
      </c>
      <c r="F1115" t="str">
        <f>"ACCT#01-0112917/PCT#1"</f>
        <v>ACCT#01-0112917/PCT#1</v>
      </c>
      <c r="G1115" s="2">
        <v>5689.88</v>
      </c>
      <c r="H1115" t="str">
        <f>"ACCT#01-0112917/PCT#1"</f>
        <v>ACCT#01-0112917/PCT#1</v>
      </c>
    </row>
    <row r="1116" spans="1:8" x14ac:dyDescent="0.25">
      <c r="E1116" t="str">
        <f>"1086843-IN"</f>
        <v>1086843-IN</v>
      </c>
      <c r="F1116" t="str">
        <f>"ACCT#01-00112917/PCT#4"</f>
        <v>ACCT#01-00112917/PCT#4</v>
      </c>
      <c r="G1116" s="2">
        <v>5115.7</v>
      </c>
      <c r="H1116" t="str">
        <f>"ACCT#01-00112917/PCT#4"</f>
        <v>ACCT#01-00112917/PCT#4</v>
      </c>
    </row>
    <row r="1117" spans="1:8" x14ac:dyDescent="0.25">
      <c r="E1117" t="str">
        <f>"1087614-IN"</f>
        <v>1087614-IN</v>
      </c>
      <c r="F1117" t="str">
        <f>"ACCT#01-0112917/PCT#2"</f>
        <v>ACCT#01-0112917/PCT#2</v>
      </c>
      <c r="G1117" s="2">
        <v>340.92</v>
      </c>
      <c r="H1117" t="str">
        <f>"ACCT#01-0112917/PCT#2"</f>
        <v>ACCT#01-0112917/PCT#2</v>
      </c>
    </row>
    <row r="1118" spans="1:8" x14ac:dyDescent="0.25">
      <c r="A1118" t="s">
        <v>300</v>
      </c>
      <c r="B1118">
        <v>135568</v>
      </c>
      <c r="C1118" s="2">
        <v>10000</v>
      </c>
      <c r="D1118" s="1">
        <v>44327</v>
      </c>
      <c r="E1118" t="str">
        <f>"202105113158"</f>
        <v>202105113158</v>
      </c>
      <c r="F1118" t="str">
        <f>"803 &amp; 805 WALNUT ST"</f>
        <v>803 &amp; 805 WALNUT ST</v>
      </c>
      <c r="G1118" s="2">
        <v>10000</v>
      </c>
      <c r="H1118" t="str">
        <f>"TEXAS AMERICAN TITLE COMPANY -"</f>
        <v>TEXAS AMERICAN TITLE COMPANY -</v>
      </c>
    </row>
    <row r="1119" spans="1:8" x14ac:dyDescent="0.25">
      <c r="A1119" t="s">
        <v>301</v>
      </c>
      <c r="B1119">
        <v>135545</v>
      </c>
      <c r="C1119" s="2">
        <v>300</v>
      </c>
      <c r="D1119" s="1">
        <v>44326</v>
      </c>
      <c r="E1119" t="str">
        <f>"202105043008"</f>
        <v>202105043008</v>
      </c>
      <c r="F1119" t="str">
        <f>"MAY BOND RENEWALS"</f>
        <v>MAY BOND RENEWALS</v>
      </c>
      <c r="G1119" s="2">
        <v>250</v>
      </c>
      <c r="H1119" t="str">
        <f>"MAY BOND RENEWALS"</f>
        <v>MAY BOND RENEWALS</v>
      </c>
    </row>
    <row r="1120" spans="1:8" x14ac:dyDescent="0.25">
      <c r="E1120" t="str">
        <f>"6674"</f>
        <v>6674</v>
      </c>
      <c r="F1120" t="str">
        <f>"INV 6674"</f>
        <v>INV 6674</v>
      </c>
      <c r="G1120" s="2">
        <v>50</v>
      </c>
      <c r="H1120" t="str">
        <f>"INV 6674"</f>
        <v>INV 6674</v>
      </c>
    </row>
    <row r="1121" spans="1:8" x14ac:dyDescent="0.25">
      <c r="A1121" t="s">
        <v>301</v>
      </c>
      <c r="B1121">
        <v>135700</v>
      </c>
      <c r="C1121" s="2">
        <v>820</v>
      </c>
      <c r="D1121" s="1">
        <v>44340</v>
      </c>
      <c r="E1121" t="str">
        <f>"6739"</f>
        <v>6739</v>
      </c>
      <c r="F1121" t="str">
        <f>"ACCT#BASTCOU-13"</f>
        <v>ACCT#BASTCOU-13</v>
      </c>
      <c r="G1121" s="2">
        <v>820</v>
      </c>
      <c r="H1121" t="str">
        <f>"ACCT#BASTCOU-13"</f>
        <v>ACCT#BASTCOU-13</v>
      </c>
    </row>
    <row r="1122" spans="1:8" x14ac:dyDescent="0.25">
      <c r="A1122" t="s">
        <v>302</v>
      </c>
      <c r="B1122">
        <v>135701</v>
      </c>
      <c r="C1122" s="2">
        <v>485</v>
      </c>
      <c r="D1122" s="1">
        <v>44340</v>
      </c>
      <c r="E1122" t="str">
        <f>"256513"</f>
        <v>256513</v>
      </c>
      <c r="F1122" t="str">
        <f>"TACA/ESEMRALDA OSORIO"</f>
        <v>TACA/ESEMRALDA OSORIO</v>
      </c>
      <c r="G1122" s="2">
        <v>130</v>
      </c>
      <c r="H1122" t="str">
        <f>"TACA/ESEMRALDA OSORIO"</f>
        <v>TACA/ESEMRALDA OSORIO</v>
      </c>
    </row>
    <row r="1123" spans="1:8" x14ac:dyDescent="0.25">
      <c r="E1123" t="str">
        <f>"256514"</f>
        <v>256514</v>
      </c>
      <c r="F1123" t="str">
        <f>"TACA/PATSY MIRELES"</f>
        <v>TACA/PATSY MIRELES</v>
      </c>
      <c r="G1123" s="2">
        <v>130</v>
      </c>
      <c r="H1123" t="str">
        <f>"TACA/PATSY MIRELES"</f>
        <v>TACA/PATSY MIRELES</v>
      </c>
    </row>
    <row r="1124" spans="1:8" x14ac:dyDescent="0.25">
      <c r="E1124" t="str">
        <f>"314722"</f>
        <v>314722</v>
      </c>
      <c r="F1124" t="str">
        <f>"CONFERENCE-203296-L. SMITH"</f>
        <v>CONFERENCE-203296-L. SMITH</v>
      </c>
      <c r="G1124" s="2">
        <v>225</v>
      </c>
      <c r="H1124" t="str">
        <f>"CONFERENCE-203296-L. SMITH"</f>
        <v>CONFERENCE-203296-L. SMITH</v>
      </c>
    </row>
    <row r="1125" spans="1:8" x14ac:dyDescent="0.25">
      <c r="A1125" t="s">
        <v>303</v>
      </c>
      <c r="B1125">
        <v>135702</v>
      </c>
      <c r="C1125" s="2">
        <v>570</v>
      </c>
      <c r="D1125" s="1">
        <v>44340</v>
      </c>
      <c r="E1125" t="str">
        <f>"202105173244"</f>
        <v>202105173244</v>
      </c>
      <c r="F1125" t="str">
        <f>"TEXAS CORRUGATORS INC"</f>
        <v>TEXAS CORRUGATORS INC</v>
      </c>
      <c r="G1125" s="2">
        <v>570</v>
      </c>
      <c r="H1125" t="str">
        <f>"Bollards"</f>
        <v>Bollards</v>
      </c>
    </row>
    <row r="1126" spans="1:8" x14ac:dyDescent="0.25">
      <c r="A1126" t="s">
        <v>304</v>
      </c>
      <c r="B1126">
        <v>135703</v>
      </c>
      <c r="C1126" s="2">
        <v>125</v>
      </c>
      <c r="D1126" s="1">
        <v>44340</v>
      </c>
      <c r="E1126" t="str">
        <f>"202105183303"</f>
        <v>202105183303</v>
      </c>
      <c r="F1126" t="str">
        <f>"CONFERENCE/LISA SMITH"</f>
        <v>CONFERENCE/LISA SMITH</v>
      </c>
      <c r="G1126" s="2">
        <v>125</v>
      </c>
      <c r="H1126" t="str">
        <f>"CONFERENCE/LISA SMITH"</f>
        <v>CONFERENCE/LISA SMITH</v>
      </c>
    </row>
    <row r="1127" spans="1:8" x14ac:dyDescent="0.25">
      <c r="A1127" t="s">
        <v>305</v>
      </c>
      <c r="B1127">
        <v>135546</v>
      </c>
      <c r="C1127" s="2">
        <v>1240</v>
      </c>
      <c r="D1127" s="1">
        <v>44326</v>
      </c>
      <c r="E1127" t="str">
        <f>"20111"</f>
        <v>20111</v>
      </c>
      <c r="F1127" t="str">
        <f>"INV 20111"</f>
        <v>INV 20111</v>
      </c>
      <c r="G1127" s="2">
        <v>1240</v>
      </c>
      <c r="H1127" t="str">
        <f>"INV 20111"</f>
        <v>INV 20111</v>
      </c>
    </row>
    <row r="1128" spans="1:8" x14ac:dyDescent="0.25">
      <c r="A1128" t="s">
        <v>306</v>
      </c>
      <c r="B1128">
        <v>135547</v>
      </c>
      <c r="C1128" s="2">
        <v>15</v>
      </c>
      <c r="D1128" s="1">
        <v>44326</v>
      </c>
      <c r="E1128" t="str">
        <f>"CRS-202103-21240"</f>
        <v>CRS-202103-21240</v>
      </c>
      <c r="F1128" t="str">
        <f>"NAME SEARCH/HR"</f>
        <v>NAME SEARCH/HR</v>
      </c>
      <c r="G1128" s="2">
        <v>15</v>
      </c>
      <c r="H1128" t="str">
        <f>"NAME SEARCH/HR"</f>
        <v>NAME SEARCH/HR</v>
      </c>
    </row>
    <row r="1129" spans="1:8" x14ac:dyDescent="0.25">
      <c r="A1129" t="s">
        <v>307</v>
      </c>
      <c r="B1129">
        <v>135548</v>
      </c>
      <c r="C1129" s="2">
        <v>155</v>
      </c>
      <c r="D1129" s="1">
        <v>44326</v>
      </c>
      <c r="E1129" t="str">
        <f>"5940348"</f>
        <v>5940348</v>
      </c>
      <c r="F1129" t="str">
        <f>"CUST#1-238865/TAHITIAN VILLAGE"</f>
        <v>CUST#1-238865/TAHITIAN VILLAGE</v>
      </c>
      <c r="G1129" s="2">
        <v>155</v>
      </c>
      <c r="H1129" t="str">
        <f>"CUST#1-238865/TAHITIAN VILLAGE"</f>
        <v>CUST#1-238865/TAHITIAN VILLAGE</v>
      </c>
    </row>
    <row r="1130" spans="1:8" x14ac:dyDescent="0.25">
      <c r="A1130" t="s">
        <v>308</v>
      </c>
      <c r="B1130">
        <v>135549</v>
      </c>
      <c r="C1130" s="2">
        <v>395</v>
      </c>
      <c r="D1130" s="1">
        <v>44326</v>
      </c>
      <c r="E1130" t="str">
        <f>"202105043007"</f>
        <v>202105043007</v>
      </c>
      <c r="F1130" t="str">
        <f>"TRAINING"</f>
        <v>TRAINING</v>
      </c>
      <c r="G1130" s="2">
        <v>395</v>
      </c>
      <c r="H1130" t="str">
        <f>"TRAINING"</f>
        <v>TRAINING</v>
      </c>
    </row>
    <row r="1131" spans="1:8" x14ac:dyDescent="0.25">
      <c r="A1131" t="s">
        <v>309</v>
      </c>
      <c r="B1131">
        <v>135550</v>
      </c>
      <c r="C1131" s="2">
        <v>185</v>
      </c>
      <c r="D1131" s="1">
        <v>44326</v>
      </c>
      <c r="E1131" t="str">
        <f>"56464"</f>
        <v>56464</v>
      </c>
      <c r="F1131" t="str">
        <f>"RAYMAH DAVIS/TRAINING"</f>
        <v>RAYMAH DAVIS/TRAINING</v>
      </c>
      <c r="G1131" s="2">
        <v>185</v>
      </c>
      <c r="H1131" t="str">
        <f>"RAYMAH DAVIS/TRAINING"</f>
        <v>RAYMAH DAVIS/TRAINING</v>
      </c>
    </row>
    <row r="1132" spans="1:8" x14ac:dyDescent="0.25">
      <c r="A1132" t="s">
        <v>311</v>
      </c>
      <c r="B1132">
        <v>135704</v>
      </c>
      <c r="C1132" s="2">
        <v>1773.6</v>
      </c>
      <c r="D1132" s="1">
        <v>44340</v>
      </c>
      <c r="E1132" t="str">
        <f>"200954184"</f>
        <v>200954184</v>
      </c>
      <c r="F1132" t="str">
        <f>"CUST#255120/PCT#2"</f>
        <v>CUST#255120/PCT#2</v>
      </c>
      <c r="G1132" s="2">
        <v>1773.6</v>
      </c>
      <c r="H1132" t="str">
        <f>"CUST#255120/PCT#2"</f>
        <v>CUST#255120/PCT#2</v>
      </c>
    </row>
    <row r="1133" spans="1:8" x14ac:dyDescent="0.25">
      <c r="A1133" t="s">
        <v>312</v>
      </c>
      <c r="B1133">
        <v>135551</v>
      </c>
      <c r="C1133" s="2">
        <v>344.25</v>
      </c>
      <c r="D1133" s="1">
        <v>44326</v>
      </c>
      <c r="E1133" t="str">
        <f>"J2-69241"</f>
        <v>J2-69241</v>
      </c>
      <c r="F1133" t="str">
        <f>"A8270657/BRADLEY D. COOK"</f>
        <v>A8270657/BRADLEY D. COOK</v>
      </c>
      <c r="G1133" s="2">
        <v>114.75</v>
      </c>
      <c r="H1133" t="str">
        <f>"A8270657/BRADLEY D. COOK"</f>
        <v>A8270657/BRADLEY D. COOK</v>
      </c>
    </row>
    <row r="1134" spans="1:8" x14ac:dyDescent="0.25">
      <c r="E1134" t="str">
        <f>"J2-69563"</f>
        <v>J2-69563</v>
      </c>
      <c r="F1134" t="str">
        <f>"A8329892/MICHAEL GLENN"</f>
        <v>A8329892/MICHAEL GLENN</v>
      </c>
      <c r="G1134" s="2">
        <v>114.75</v>
      </c>
      <c r="H1134" t="str">
        <f>"A8329892/MICHAEL GLENN"</f>
        <v>A8329892/MICHAEL GLENN</v>
      </c>
    </row>
    <row r="1135" spans="1:8" x14ac:dyDescent="0.25">
      <c r="E1135" t="str">
        <f>"J2-69591"</f>
        <v>J2-69591</v>
      </c>
      <c r="F1135" t="str">
        <f>"A8361124/RONALD LEE JONES"</f>
        <v>A8361124/RONALD LEE JONES</v>
      </c>
      <c r="G1135" s="2">
        <v>114.75</v>
      </c>
      <c r="H1135" t="str">
        <f>"A8361124/RONALD LEE JONES"</f>
        <v>A8361124/RONALD LEE JONES</v>
      </c>
    </row>
    <row r="1136" spans="1:8" x14ac:dyDescent="0.25">
      <c r="A1136" t="s">
        <v>312</v>
      </c>
      <c r="B1136">
        <v>135705</v>
      </c>
      <c r="C1136" s="2">
        <v>150.44999999999999</v>
      </c>
      <c r="D1136" s="1">
        <v>44340</v>
      </c>
      <c r="E1136" t="str">
        <f>"J2-69582"</f>
        <v>J2-69582</v>
      </c>
      <c r="F1136" t="str">
        <f>"A-12759/TINA AGUILERA ARGOTE"</f>
        <v>A-12759/TINA AGUILERA ARGOTE</v>
      </c>
      <c r="G1136" s="2">
        <v>122.4</v>
      </c>
      <c r="H1136" t="str">
        <f>"A-12759/TINA AGUILERA ARGOTE"</f>
        <v>A-12759/TINA AGUILERA ARGOTE</v>
      </c>
    </row>
    <row r="1137" spans="1:8" x14ac:dyDescent="0.25">
      <c r="E1137" t="str">
        <f>"J2-69723"</f>
        <v>J2-69723</v>
      </c>
      <c r="F1137" t="str">
        <f>"T8236870/ADRIAN MATTHEW"</f>
        <v>T8236870/ADRIAN MATTHEW</v>
      </c>
      <c r="G1137" s="2">
        <v>28.05</v>
      </c>
      <c r="H1137" t="str">
        <f>"T8236870/ADRIAN MATTHEW"</f>
        <v>T8236870/ADRIAN MATTHEW</v>
      </c>
    </row>
    <row r="1138" spans="1:8" x14ac:dyDescent="0.25">
      <c r="A1138" t="s">
        <v>313</v>
      </c>
      <c r="B1138">
        <v>135552</v>
      </c>
      <c r="C1138" s="2">
        <v>1851</v>
      </c>
      <c r="D1138" s="1">
        <v>44326</v>
      </c>
      <c r="E1138" t="str">
        <f>"031021"</f>
        <v>031021</v>
      </c>
      <c r="F1138" t="str">
        <f>"ASPHALT TANK REPAIR/PCT#4"</f>
        <v>ASPHALT TANK REPAIR/PCT#4</v>
      </c>
      <c r="G1138" s="2">
        <v>1851</v>
      </c>
      <c r="H1138" t="str">
        <f>"ASPHALT TANK REPAIR/PCT#4"</f>
        <v>ASPHALT TANK REPAIR/PCT#4</v>
      </c>
    </row>
    <row r="1139" spans="1:8" x14ac:dyDescent="0.25">
      <c r="A1139" t="s">
        <v>314</v>
      </c>
      <c r="B1139">
        <v>135706</v>
      </c>
      <c r="C1139" s="2">
        <v>50</v>
      </c>
      <c r="D1139" s="1">
        <v>44340</v>
      </c>
      <c r="E1139" t="str">
        <f>"DE-32-2021"</f>
        <v>DE-32-2021</v>
      </c>
      <c r="F1139" t="str">
        <f>"TRAINING/STEVEN TERRY"</f>
        <v>TRAINING/STEVEN TERRY</v>
      </c>
      <c r="G1139" s="2">
        <v>50</v>
      </c>
      <c r="H1139" t="str">
        <f>"TRAINING/STEVEN TERRY"</f>
        <v>TRAINING/STEVEN TERRY</v>
      </c>
    </row>
    <row r="1140" spans="1:8" x14ac:dyDescent="0.25">
      <c r="A1140" t="s">
        <v>310</v>
      </c>
      <c r="B1140">
        <v>135707</v>
      </c>
      <c r="C1140" s="2">
        <v>1400</v>
      </c>
      <c r="D1140" s="1">
        <v>44340</v>
      </c>
      <c r="E1140" t="str">
        <f>"210303"</f>
        <v>210303</v>
      </c>
      <c r="F1140" t="str">
        <f>"INV 210303-WKP-01"</f>
        <v>INV 210303-WKP-01</v>
      </c>
      <c r="G1140" s="2">
        <v>1400</v>
      </c>
      <c r="H1140" t="str">
        <f>"INV 210303-WKP-01"</f>
        <v>INV 210303-WKP-01</v>
      </c>
    </row>
    <row r="1141" spans="1:8" x14ac:dyDescent="0.25">
      <c r="A1141" t="s">
        <v>315</v>
      </c>
      <c r="B1141">
        <v>4510</v>
      </c>
      <c r="C1141" s="2">
        <v>226.62</v>
      </c>
      <c r="D1141" s="1">
        <v>44341</v>
      </c>
      <c r="E1141" t="str">
        <f>"202105193353"</f>
        <v>202105193353</v>
      </c>
      <c r="F1141" t="str">
        <f>"INDIGENT HEALTH"</f>
        <v>INDIGENT HEALTH</v>
      </c>
      <c r="G1141" s="2">
        <v>226.62</v>
      </c>
      <c r="H1141" t="str">
        <f>"INDIGENT HEALTH"</f>
        <v>INDIGENT HEALTH</v>
      </c>
    </row>
    <row r="1142" spans="1:8" x14ac:dyDescent="0.25">
      <c r="A1142" t="s">
        <v>316</v>
      </c>
      <c r="B1142">
        <v>4423</v>
      </c>
      <c r="C1142" s="2">
        <v>2156</v>
      </c>
      <c r="D1142" s="1">
        <v>44327</v>
      </c>
      <c r="E1142" t="str">
        <f>"218526"</f>
        <v>218526</v>
      </c>
      <c r="F1142" t="str">
        <f>"ACCT#188757/JP4/TAX OFFICE"</f>
        <v>ACCT#188757/JP4/TAX OFFICE</v>
      </c>
      <c r="G1142" s="2">
        <v>95</v>
      </c>
      <c r="H1142" t="str">
        <f>"ACCT#188757/JP4/TAX OFFICE"</f>
        <v>ACCT#188757/JP4/TAX OFFICE</v>
      </c>
    </row>
    <row r="1143" spans="1:8" x14ac:dyDescent="0.25">
      <c r="E1143" t="str">
        <f>"218532"</f>
        <v>218532</v>
      </c>
      <c r="F1143" t="str">
        <f>"ACCT#188757/MIKE FISHER BLD"</f>
        <v>ACCT#188757/MIKE FISHER BLD</v>
      </c>
      <c r="G1143" s="2">
        <v>112</v>
      </c>
      <c r="H1143" t="str">
        <f>"ACCT#188757/MIKE FISHER BLD"</f>
        <v>ACCT#188757/MIKE FISHER BLD</v>
      </c>
    </row>
    <row r="1144" spans="1:8" x14ac:dyDescent="0.25">
      <c r="E1144" t="str">
        <f>"218600"</f>
        <v>218600</v>
      </c>
      <c r="F1144" t="str">
        <f>"ACCT#188757/ROAD &amp; BRIDGE/SIGN"</f>
        <v>ACCT#188757/ROAD &amp; BRIDGE/SIGN</v>
      </c>
      <c r="G1144" s="2">
        <v>95</v>
      </c>
      <c r="H1144" t="str">
        <f>"ACCT#188757/ROAD &amp; BRIDGE/SIGN"</f>
        <v>ACCT#188757/ROAD &amp; BRIDGE/SIGN</v>
      </c>
    </row>
    <row r="1145" spans="1:8" x14ac:dyDescent="0.25">
      <c r="E1145" t="str">
        <f>"218631"</f>
        <v>218631</v>
      </c>
      <c r="F1145" t="str">
        <f>"ACCT#188757/JUVENILE BOOT CAMP"</f>
        <v>ACCT#188757/JUVENILE BOOT CAMP</v>
      </c>
      <c r="G1145" s="2">
        <v>118.5</v>
      </c>
      <c r="H1145" t="str">
        <f>"ACCT#188757/JUVENILE BOOT CAMP"</f>
        <v>ACCT#188757/JUVENILE BOOT CAMP</v>
      </c>
    </row>
    <row r="1146" spans="1:8" x14ac:dyDescent="0.25">
      <c r="E1146" t="str">
        <f>"218762"</f>
        <v>218762</v>
      </c>
      <c r="F1146" t="str">
        <f>"ACCT#188757/JP2 ANNEX BULD."</f>
        <v>ACCT#188757/JP2 ANNEX BULD.</v>
      </c>
      <c r="G1146" s="2">
        <v>95</v>
      </c>
      <c r="H1146" t="str">
        <f>"ACCT#188757/JP2 ANNEX BULD."</f>
        <v>ACCT#188757/JP2 ANNEX BULD.</v>
      </c>
    </row>
    <row r="1147" spans="1:8" x14ac:dyDescent="0.25">
      <c r="E1147" t="str">
        <f>"218783"</f>
        <v>218783</v>
      </c>
      <c r="F1147" t="str">
        <f>"ACCT#188757/PRECINCT#2"</f>
        <v>ACCT#188757/PRECINCT#2</v>
      </c>
      <c r="G1147" s="2">
        <v>95</v>
      </c>
      <c r="H1147" t="str">
        <f>"ACCT#188757/PRECINCT#2"</f>
        <v>ACCT#188757/PRECINCT#2</v>
      </c>
    </row>
    <row r="1148" spans="1:8" x14ac:dyDescent="0.25">
      <c r="E1148" t="str">
        <f>"218932"</f>
        <v>218932</v>
      </c>
      <c r="F1148" t="str">
        <f>"ACCT#188757/COURTHOUSE"</f>
        <v>ACCT#188757/COURTHOUSE</v>
      </c>
      <c r="G1148" s="2">
        <v>250</v>
      </c>
      <c r="H1148" t="str">
        <f>"ACCT#188757/COURTHOUSE"</f>
        <v>ACCT#188757/COURTHOUSE</v>
      </c>
    </row>
    <row r="1149" spans="1:8" x14ac:dyDescent="0.25">
      <c r="E1149" t="str">
        <f>"219121"</f>
        <v>219121</v>
      </c>
      <c r="F1149" t="str">
        <f>"ACCT#188757/STONY POINT PARK"</f>
        <v>ACCT#188757/STONY POINT PARK</v>
      </c>
      <c r="G1149" s="2">
        <v>95</v>
      </c>
      <c r="H1149" t="str">
        <f>"ACCT#188757/STONY POINT PARK"</f>
        <v>ACCT#188757/STONY POINT PARK</v>
      </c>
    </row>
    <row r="1150" spans="1:8" x14ac:dyDescent="0.25">
      <c r="E1150" t="str">
        <f>"219488"</f>
        <v>219488</v>
      </c>
      <c r="F1150" t="str">
        <f>"ACCT#188757/EXTENSION HABITAT"</f>
        <v>ACCT#188757/EXTENSION HABITAT</v>
      </c>
      <c r="G1150" s="2">
        <v>89</v>
      </c>
      <c r="H1150" t="str">
        <f>"ACCT#188757/EXTENSION HABITAT"</f>
        <v>ACCT#188757/EXTENSION HABITAT</v>
      </c>
    </row>
    <row r="1151" spans="1:8" x14ac:dyDescent="0.25">
      <c r="E1151" t="str">
        <f>"219509"</f>
        <v>219509</v>
      </c>
      <c r="F1151" t="str">
        <f>"ACCT#188757/HISTORIC JAIL"</f>
        <v>ACCT#188757/HISTORIC JAIL</v>
      </c>
      <c r="G1151" s="2">
        <v>76</v>
      </c>
      <c r="H1151" t="str">
        <f>"ACCT#188757/HISTORIC JAIL"</f>
        <v>ACCT#188757/HISTORIC JAIL</v>
      </c>
    </row>
    <row r="1152" spans="1:8" x14ac:dyDescent="0.25">
      <c r="E1152" t="str">
        <f>"219510"</f>
        <v>219510</v>
      </c>
      <c r="F1152" t="str">
        <f>"ACCT#188757/COURTHOUSE"</f>
        <v>ACCT#188757/COURTHOUSE</v>
      </c>
      <c r="G1152" s="2">
        <v>137</v>
      </c>
      <c r="H1152" t="str">
        <f>"ACCT#188757/COURTHOUSE"</f>
        <v>ACCT#188757/COURTHOUSE</v>
      </c>
    </row>
    <row r="1153" spans="1:8" x14ac:dyDescent="0.25">
      <c r="E1153" t="str">
        <f>"219521"</f>
        <v>219521</v>
      </c>
      <c r="F1153" t="str">
        <f>"ACCT#188757/TAX OFFICE"</f>
        <v>ACCT#188757/TAX OFFICE</v>
      </c>
      <c r="G1153" s="2">
        <v>102</v>
      </c>
      <c r="H1153" t="str">
        <f>"ACCT#188757/TAX OFFICE"</f>
        <v>ACCT#188757/TAX OFFICE</v>
      </c>
    </row>
    <row r="1154" spans="1:8" x14ac:dyDescent="0.25">
      <c r="E1154" t="str">
        <f>"219549"</f>
        <v>219549</v>
      </c>
      <c r="F1154" t="str">
        <f>"ACCT#188757/JUVENILE PROBATION"</f>
        <v>ACCT#188757/JUVENILE PROBATION</v>
      </c>
      <c r="G1154" s="2">
        <v>132</v>
      </c>
      <c r="H1154" t="str">
        <f>"ACCT#188757/JUVENILE PROBATION"</f>
        <v>ACCT#188757/JUVENILE PROBATION</v>
      </c>
    </row>
    <row r="1155" spans="1:8" x14ac:dyDescent="0.25">
      <c r="E1155" t="str">
        <f>"219636"</f>
        <v>219636</v>
      </c>
      <c r="F1155" t="str">
        <f>"ACCT#188757/ LBJ BULD."</f>
        <v>ACCT#188757/ LBJ BULD.</v>
      </c>
      <c r="G1155" s="2">
        <v>69</v>
      </c>
      <c r="H1155" t="str">
        <f>"ACCT#188757/ LBJ BULD."</f>
        <v>ACCT#188757/ LBJ BULD.</v>
      </c>
    </row>
    <row r="1156" spans="1:8" x14ac:dyDescent="0.25">
      <c r="E1156" t="str">
        <f>"219644"</f>
        <v>219644</v>
      </c>
      <c r="F1156" t="str">
        <f>"ACCT#188757/ PCT#4"</f>
        <v>ACCT#188757/ PCT#4</v>
      </c>
      <c r="G1156" s="2">
        <v>95.5</v>
      </c>
      <c r="H1156" t="str">
        <f>"ACCT#188757/ PCT#4"</f>
        <v>ACCT#188757/ PCT#4</v>
      </c>
    </row>
    <row r="1157" spans="1:8" x14ac:dyDescent="0.25">
      <c r="E1157" t="str">
        <f>"221553"</f>
        <v>221553</v>
      </c>
      <c r="F1157" t="str">
        <f>"ACCT#188757/COURTHOUSE"</f>
        <v>ACCT#188757/COURTHOUSE</v>
      </c>
      <c r="G1157" s="2">
        <v>500</v>
      </c>
      <c r="H1157" t="str">
        <f>"ACCT#188757/COURTHOUSE"</f>
        <v>ACCT#188757/COURTHOUSE</v>
      </c>
    </row>
    <row r="1158" spans="1:8" x14ac:dyDescent="0.25">
      <c r="A1158" t="s">
        <v>316</v>
      </c>
      <c r="B1158">
        <v>4501</v>
      </c>
      <c r="C1158" s="2">
        <v>991</v>
      </c>
      <c r="D1158" s="1">
        <v>44341</v>
      </c>
      <c r="E1158" t="str">
        <f>"222043"</f>
        <v>222043</v>
      </c>
      <c r="F1158" t="str">
        <f>"ACCT#188757/CEDAR CREEK PARK"</f>
        <v>ACCT#188757/CEDAR CREEK PARK</v>
      </c>
      <c r="G1158" s="2">
        <v>125</v>
      </c>
      <c r="H1158" t="str">
        <f>"ACCT#188757/CEDAR CREEK PARK"</f>
        <v>ACCT#188757/CEDAR CREEK PARK</v>
      </c>
    </row>
    <row r="1159" spans="1:8" x14ac:dyDescent="0.25">
      <c r="E1159" t="str">
        <f>"222124"</f>
        <v>222124</v>
      </c>
      <c r="F1159" t="str">
        <f>"ACCT#188757/ANIMAL SHELTER"</f>
        <v>ACCT#188757/ANIMAL SHELTER</v>
      </c>
      <c r="G1159" s="2">
        <v>290</v>
      </c>
      <c r="H1159" t="str">
        <f>"ACCT#188757/ANIMAL SHELTER"</f>
        <v>ACCT#188757/ANIMAL SHELTER</v>
      </c>
    </row>
    <row r="1160" spans="1:8" x14ac:dyDescent="0.25">
      <c r="E1160" t="str">
        <f>"222315"</f>
        <v>222315</v>
      </c>
      <c r="F1160" t="str">
        <f>"ACCT#188757/COURTHOUSE"</f>
        <v>ACCT#188757/COURTHOUSE</v>
      </c>
      <c r="G1160" s="2">
        <v>500</v>
      </c>
      <c r="H1160" t="str">
        <f>"ACCT#188757/COURTHOUSE"</f>
        <v>ACCT#188757/COURTHOUSE</v>
      </c>
    </row>
    <row r="1161" spans="1:8" x14ac:dyDescent="0.25">
      <c r="E1161" t="str">
        <f>"222575"</f>
        <v>222575</v>
      </c>
      <c r="F1161" t="str">
        <f>"ACCT#188757/DPS/TDL"</f>
        <v>ACCT#188757/DPS/TDL</v>
      </c>
      <c r="G1161" s="2">
        <v>76</v>
      </c>
      <c r="H1161" t="str">
        <f>"ACCT#188757/DPS/TDL"</f>
        <v>ACCT#188757/DPS/TDL</v>
      </c>
    </row>
    <row r="1162" spans="1:8" x14ac:dyDescent="0.25">
      <c r="A1162" t="s">
        <v>317</v>
      </c>
      <c r="B1162">
        <v>4413</v>
      </c>
      <c r="C1162" s="2">
        <v>2150</v>
      </c>
      <c r="D1162" s="1">
        <v>44327</v>
      </c>
      <c r="E1162" t="str">
        <f>"202104282860"</f>
        <v>202104282860</v>
      </c>
      <c r="F1162" t="str">
        <f>"17-024"</f>
        <v>17-024</v>
      </c>
      <c r="G1162" s="2">
        <v>1400</v>
      </c>
      <c r="H1162" t="str">
        <f>"17-024"</f>
        <v>17-024</v>
      </c>
    </row>
    <row r="1163" spans="1:8" x14ac:dyDescent="0.25">
      <c r="E1163" t="str">
        <f>"202105032901"</f>
        <v>202105032901</v>
      </c>
      <c r="F1163" t="str">
        <f>"423-7796"</f>
        <v>423-7796</v>
      </c>
      <c r="G1163" s="2">
        <v>100</v>
      </c>
      <c r="H1163" t="str">
        <f>"423-7796"</f>
        <v>423-7796</v>
      </c>
    </row>
    <row r="1164" spans="1:8" x14ac:dyDescent="0.25">
      <c r="E1164" t="str">
        <f>"202105032917"</f>
        <v>202105032917</v>
      </c>
      <c r="F1164" t="str">
        <f>"57-821"</f>
        <v>57-821</v>
      </c>
      <c r="G1164" s="2">
        <v>250</v>
      </c>
      <c r="H1164" t="str">
        <f>"57-821"</f>
        <v>57-821</v>
      </c>
    </row>
    <row r="1165" spans="1:8" x14ac:dyDescent="0.25">
      <c r="E1165" t="str">
        <f>"202105032928"</f>
        <v>202105032928</v>
      </c>
      <c r="F1165" t="str">
        <f>"BC-20191022"</f>
        <v>BC-20191022</v>
      </c>
      <c r="G1165" s="2">
        <v>400</v>
      </c>
      <c r="H1165" t="str">
        <f>"BC-20191022"</f>
        <v>BC-20191022</v>
      </c>
    </row>
    <row r="1166" spans="1:8" x14ac:dyDescent="0.25">
      <c r="A1166" t="s">
        <v>317</v>
      </c>
      <c r="B1166">
        <v>4488</v>
      </c>
      <c r="C1166" s="2">
        <v>250</v>
      </c>
      <c r="D1166" s="1">
        <v>44341</v>
      </c>
      <c r="E1166" t="str">
        <f>"202105133202"</f>
        <v>202105133202</v>
      </c>
      <c r="F1166" t="str">
        <f>"57-484"</f>
        <v>57-484</v>
      </c>
      <c r="G1166" s="2">
        <v>250</v>
      </c>
      <c r="H1166" t="str">
        <f>"57-484"</f>
        <v>57-484</v>
      </c>
    </row>
    <row r="1167" spans="1:8" x14ac:dyDescent="0.25">
      <c r="A1167" t="s">
        <v>318</v>
      </c>
      <c r="B1167">
        <v>135553</v>
      </c>
      <c r="C1167" s="2">
        <v>130</v>
      </c>
      <c r="D1167" s="1">
        <v>44326</v>
      </c>
      <c r="E1167" t="str">
        <f>"AC-2021-00818"</f>
        <v>AC-2021-00818</v>
      </c>
      <c r="F1167" t="str">
        <f>"REFUND/ADOPTION"</f>
        <v>REFUND/ADOPTION</v>
      </c>
      <c r="G1167" s="2">
        <v>130</v>
      </c>
      <c r="H1167" t="str">
        <f>"REFUND/ADOPTION"</f>
        <v>REFUND/ADOPTION</v>
      </c>
    </row>
    <row r="1168" spans="1:8" x14ac:dyDescent="0.25">
      <c r="A1168" t="s">
        <v>319</v>
      </c>
      <c r="B1168">
        <v>135708</v>
      </c>
      <c r="C1168" s="2">
        <v>856.59</v>
      </c>
      <c r="D1168" s="1">
        <v>44340</v>
      </c>
      <c r="E1168" t="str">
        <f>"844277508"</f>
        <v>844277508</v>
      </c>
      <c r="F1168" t="str">
        <f>"ACCT#1000310962/LAW LIBRARY"</f>
        <v>ACCT#1000310962/LAW LIBRARY</v>
      </c>
      <c r="G1168" s="2">
        <v>856.59</v>
      </c>
      <c r="H1168" t="str">
        <f>"ACCT#1000310962/LAW LIBRARY"</f>
        <v>ACCT#1000310962/LAW LIBRARY</v>
      </c>
    </row>
    <row r="1169" spans="1:8" x14ac:dyDescent="0.25">
      <c r="A1169" t="s">
        <v>320</v>
      </c>
      <c r="B1169">
        <v>135554</v>
      </c>
      <c r="C1169" s="2">
        <v>644.47</v>
      </c>
      <c r="D1169" s="1">
        <v>44326</v>
      </c>
      <c r="E1169" t="str">
        <f>"0167100041621"</f>
        <v>0167100041621</v>
      </c>
      <c r="F1169" t="str">
        <f>"ACCT#8260160170167100"</f>
        <v>ACCT#8260160170167100</v>
      </c>
      <c r="G1169" s="2">
        <v>644.47</v>
      </c>
      <c r="H1169" t="str">
        <f>"ACCT#8260160170167100"</f>
        <v>ACCT#8260160170167100</v>
      </c>
    </row>
    <row r="1170" spans="1:8" x14ac:dyDescent="0.25">
      <c r="A1170" t="s">
        <v>320</v>
      </c>
      <c r="B1170">
        <v>135709</v>
      </c>
      <c r="C1170" s="2">
        <v>3742.02</v>
      </c>
      <c r="D1170" s="1">
        <v>44340</v>
      </c>
      <c r="E1170" t="str">
        <f>"202105133173"</f>
        <v>202105133173</v>
      </c>
      <c r="F1170" t="str">
        <f>"ACCT#8260163000003669"</f>
        <v>ACCT#8260163000003669</v>
      </c>
      <c r="G1170" s="2">
        <v>3066.17</v>
      </c>
      <c r="H1170" t="str">
        <f>"ACCT#8260163000003669"</f>
        <v>ACCT#8260163000003669</v>
      </c>
    </row>
    <row r="1171" spans="1:8" x14ac:dyDescent="0.25">
      <c r="E1171" t="str">
        <f>""</f>
        <v/>
      </c>
      <c r="F1171" t="str">
        <f>""</f>
        <v/>
      </c>
      <c r="H1171" t="str">
        <f>"ACCT#8260163000003669"</f>
        <v>ACCT#8260163000003669</v>
      </c>
    </row>
    <row r="1172" spans="1:8" x14ac:dyDescent="0.25">
      <c r="E1172" t="str">
        <f>"202105183306"</f>
        <v>202105183306</v>
      </c>
      <c r="F1172" t="str">
        <f>"ACCT#8260161110164314"</f>
        <v>ACCT#8260161110164314</v>
      </c>
      <c r="G1172" s="2">
        <v>675.85</v>
      </c>
      <c r="H1172" t="str">
        <f>"ACCT#8260161110164314"</f>
        <v>ACCT#8260161110164314</v>
      </c>
    </row>
    <row r="1173" spans="1:8" x14ac:dyDescent="0.25">
      <c r="A1173" t="s">
        <v>321</v>
      </c>
      <c r="B1173">
        <v>135710</v>
      </c>
      <c r="C1173" s="2">
        <v>1565.8</v>
      </c>
      <c r="D1173" s="1">
        <v>44340</v>
      </c>
      <c r="E1173" t="str">
        <f>"003359"</f>
        <v>003359</v>
      </c>
      <c r="F1173" t="str">
        <f>"Supplies"</f>
        <v>Supplies</v>
      </c>
      <c r="G1173" s="2">
        <v>639.9</v>
      </c>
      <c r="H1173" t="str">
        <f>"TK-3863C30"</f>
        <v>TK-3863C30</v>
      </c>
    </row>
    <row r="1174" spans="1:8" x14ac:dyDescent="0.25">
      <c r="E1174" t="str">
        <f>"032848"</f>
        <v>032848</v>
      </c>
      <c r="F1174" t="str">
        <f>"CUST#0001725/GENERAL SRVS"</f>
        <v>CUST#0001725/GENERAL SRVS</v>
      </c>
      <c r="G1174" s="2">
        <v>840.4</v>
      </c>
      <c r="H1174" t="str">
        <f>"CUST#0001725/GENERAL SRVS"</f>
        <v>CUST#0001725/GENERAL SRVS</v>
      </c>
    </row>
    <row r="1175" spans="1:8" x14ac:dyDescent="0.25">
      <c r="E1175" t="str">
        <f>"032852"</f>
        <v>032852</v>
      </c>
      <c r="F1175" t="str">
        <f>"CUST#0001725/GENERAL SRVS"</f>
        <v>CUST#0001725/GENERAL SRVS</v>
      </c>
      <c r="G1175" s="2">
        <v>85.5</v>
      </c>
      <c r="H1175" t="str">
        <f>"CUST#0001725/GENERAL SRVS"</f>
        <v>CUST#0001725/GENERAL SRVS</v>
      </c>
    </row>
    <row r="1176" spans="1:8" x14ac:dyDescent="0.25">
      <c r="A1176" t="s">
        <v>322</v>
      </c>
      <c r="B1176">
        <v>135555</v>
      </c>
      <c r="C1176" s="2">
        <v>130</v>
      </c>
      <c r="D1176" s="1">
        <v>44326</v>
      </c>
      <c r="E1176" t="str">
        <f>"11328"</f>
        <v>11328</v>
      </c>
      <c r="F1176" t="str">
        <f>"SERVICE"</f>
        <v>SERVICE</v>
      </c>
      <c r="G1176" s="2">
        <v>50</v>
      </c>
      <c r="H1176" t="str">
        <f>"SERVICE"</f>
        <v>SERVICE</v>
      </c>
    </row>
    <row r="1177" spans="1:8" x14ac:dyDescent="0.25">
      <c r="E1177" t="str">
        <f>"13627"</f>
        <v>13627</v>
      </c>
      <c r="F1177" t="str">
        <f>"SERVICE"</f>
        <v>SERVICE</v>
      </c>
      <c r="G1177" s="2">
        <v>80</v>
      </c>
      <c r="H1177" t="str">
        <f>"SERVICE"</f>
        <v>SERVICE</v>
      </c>
    </row>
    <row r="1178" spans="1:8" x14ac:dyDescent="0.25">
      <c r="A1178" t="s">
        <v>323</v>
      </c>
      <c r="B1178">
        <v>135711</v>
      </c>
      <c r="C1178" s="2">
        <v>73.25</v>
      </c>
      <c r="D1178" s="1">
        <v>44340</v>
      </c>
      <c r="E1178" t="str">
        <f>"202105193360"</f>
        <v>202105193360</v>
      </c>
      <c r="F1178" t="str">
        <f>"JAIL MEDICAL"</f>
        <v>JAIL MEDICAL</v>
      </c>
      <c r="G1178" s="2">
        <v>73.25</v>
      </c>
      <c r="H1178" t="str">
        <f>"JAIL MEDICAL"</f>
        <v>JAIL MEDICAL</v>
      </c>
    </row>
    <row r="1179" spans="1:8" x14ac:dyDescent="0.25">
      <c r="A1179" t="s">
        <v>324</v>
      </c>
      <c r="B1179">
        <v>135712</v>
      </c>
      <c r="C1179" s="2">
        <v>21045</v>
      </c>
      <c r="D1179" s="1">
        <v>44340</v>
      </c>
      <c r="E1179" t="str">
        <f>"3300004653"</f>
        <v>3300004653</v>
      </c>
      <c r="F1179" t="str">
        <f>"CUST#100733/JP1"</f>
        <v>CUST#100733/JP1</v>
      </c>
      <c r="G1179" s="2">
        <v>4370</v>
      </c>
      <c r="H1179" t="str">
        <f>"CUST#100733/JP1"</f>
        <v>CUST#100733/JP1</v>
      </c>
    </row>
    <row r="1180" spans="1:8" x14ac:dyDescent="0.25">
      <c r="E1180" t="str">
        <f>"3300004681"</f>
        <v>3300004681</v>
      </c>
      <c r="F1180" t="str">
        <f>"CUST#100010/JP3"</f>
        <v>CUST#100010/JP3</v>
      </c>
      <c r="G1180" s="2">
        <v>6670</v>
      </c>
      <c r="H1180" t="str">
        <f>"CUST#100010/JP3"</f>
        <v>CUST#100010/JP3</v>
      </c>
    </row>
    <row r="1181" spans="1:8" x14ac:dyDescent="0.25">
      <c r="E1181" t="str">
        <f>"3300004683"</f>
        <v>3300004683</v>
      </c>
      <c r="F1181" t="str">
        <f>"CUST#100011/JP4"</f>
        <v>CUST#100011/JP4</v>
      </c>
      <c r="G1181" s="2">
        <v>10005</v>
      </c>
      <c r="H1181" t="str">
        <f>"CUST#100011/JP4"</f>
        <v>CUST#100011/JP4</v>
      </c>
    </row>
    <row r="1182" spans="1:8" x14ac:dyDescent="0.25">
      <c r="A1182" t="s">
        <v>325</v>
      </c>
      <c r="B1182">
        <v>135556</v>
      </c>
      <c r="C1182" s="2">
        <v>1210.72</v>
      </c>
      <c r="D1182" s="1">
        <v>44326</v>
      </c>
      <c r="E1182" t="str">
        <f>"T72852"</f>
        <v>T72852</v>
      </c>
      <c r="F1182" t="str">
        <f>"BULL ROCK/PCT#1"</f>
        <v>BULL ROCK/PCT#1</v>
      </c>
      <c r="G1182" s="2">
        <v>783.02</v>
      </c>
      <c r="H1182" t="str">
        <f>"BULL ROCK/PCT#1"</f>
        <v>BULL ROCK/PCT#1</v>
      </c>
    </row>
    <row r="1183" spans="1:8" x14ac:dyDescent="0.25">
      <c r="E1183" t="str">
        <f>"T72932"</f>
        <v>T72932</v>
      </c>
      <c r="F1183" t="str">
        <f>"BULL ROCK/PCT#1"</f>
        <v>BULL ROCK/PCT#1</v>
      </c>
      <c r="G1183" s="2">
        <v>427.7</v>
      </c>
      <c r="H1183" t="str">
        <f>"BULL ROCK/PCT#1"</f>
        <v>BULL ROCK/PCT#1</v>
      </c>
    </row>
    <row r="1184" spans="1:8" x14ac:dyDescent="0.25">
      <c r="A1184" t="s">
        <v>325</v>
      </c>
      <c r="B1184">
        <v>135713</v>
      </c>
      <c r="C1184" s="2">
        <v>319.87</v>
      </c>
      <c r="D1184" s="1">
        <v>44340</v>
      </c>
      <c r="E1184" t="str">
        <f>"T73508"</f>
        <v>T73508</v>
      </c>
      <c r="F1184" t="str">
        <f>"SANDY LOAM/PCT#1"</f>
        <v>SANDY LOAM/PCT#1</v>
      </c>
      <c r="G1184" s="2">
        <v>220.74</v>
      </c>
      <c r="H1184" t="str">
        <f>"SANDY LOAM/PCT#1"</f>
        <v>SANDY LOAM/PCT#1</v>
      </c>
    </row>
    <row r="1185" spans="1:8" x14ac:dyDescent="0.25">
      <c r="E1185" t="str">
        <f>"T73587"</f>
        <v>T73587</v>
      </c>
      <c r="F1185" t="str">
        <f>"SANDY LOAM/PCT#1"</f>
        <v>SANDY LOAM/PCT#1</v>
      </c>
      <c r="G1185" s="2">
        <v>99.13</v>
      </c>
      <c r="H1185" t="str">
        <f>"SANDY LOAM/PCT#1"</f>
        <v>SANDY LOAM/PCT#1</v>
      </c>
    </row>
    <row r="1186" spans="1:8" x14ac:dyDescent="0.25">
      <c r="A1186" t="s">
        <v>326</v>
      </c>
      <c r="B1186">
        <v>135714</v>
      </c>
      <c r="C1186" s="2">
        <v>30000</v>
      </c>
      <c r="D1186" s="1">
        <v>44340</v>
      </c>
      <c r="E1186" t="str">
        <f>"1252021-11"</f>
        <v>1252021-11</v>
      </c>
      <c r="F1186" t="str">
        <f>"DISTRIBUTION PINE SAPLINGS"</f>
        <v>DISTRIBUTION PINE SAPLINGS</v>
      </c>
      <c r="G1186" s="2">
        <v>30000</v>
      </c>
      <c r="H1186" t="str">
        <f>"DISTRIBUTION PINE SAPLINGS"</f>
        <v>DISTRIBUTION PINE SAPLINGS</v>
      </c>
    </row>
    <row r="1187" spans="1:8" x14ac:dyDescent="0.25">
      <c r="A1187" t="s">
        <v>327</v>
      </c>
      <c r="B1187">
        <v>4469</v>
      </c>
      <c r="C1187" s="2">
        <v>3100</v>
      </c>
      <c r="D1187" s="1">
        <v>44327</v>
      </c>
      <c r="E1187" t="str">
        <f>"202104282861"</f>
        <v>202104282861</v>
      </c>
      <c r="F1187" t="str">
        <f>"17-192 16-988"</f>
        <v>17-192 16-988</v>
      </c>
      <c r="G1187" s="2">
        <v>1200</v>
      </c>
      <c r="H1187" t="str">
        <f>"17-192 16-988"</f>
        <v>17-192 16-988</v>
      </c>
    </row>
    <row r="1188" spans="1:8" x14ac:dyDescent="0.25">
      <c r="E1188" t="str">
        <f>"202104282873"</f>
        <v>202104282873</v>
      </c>
      <c r="F1188" t="str">
        <f>"301182021D 301182021C"</f>
        <v>301182021D 301182021C</v>
      </c>
      <c r="G1188" s="2">
        <v>200</v>
      </c>
      <c r="H1188" t="str">
        <f>"301182021D 301182021C"</f>
        <v>301182021D 301182021C</v>
      </c>
    </row>
    <row r="1189" spans="1:8" x14ac:dyDescent="0.25">
      <c r="E1189" t="str">
        <f>"202104282874"</f>
        <v>202104282874</v>
      </c>
      <c r="F1189" t="str">
        <f>"311222020A 20-5-06158"</f>
        <v>311222020A 20-5-06158</v>
      </c>
      <c r="G1189" s="2">
        <v>400</v>
      </c>
      <c r="H1189" t="str">
        <f>"311222020A 20-5-06158"</f>
        <v>311222020A 20-5-06158</v>
      </c>
    </row>
    <row r="1190" spans="1:8" x14ac:dyDescent="0.25">
      <c r="E1190" t="str">
        <f>"202105032927"</f>
        <v>202105032927</v>
      </c>
      <c r="F1190" t="str">
        <f>"1787-335"</f>
        <v>1787-335</v>
      </c>
      <c r="G1190" s="2">
        <v>100</v>
      </c>
      <c r="H1190" t="str">
        <f>"1787-335"</f>
        <v>1787-335</v>
      </c>
    </row>
    <row r="1191" spans="1:8" x14ac:dyDescent="0.25">
      <c r="E1191" t="str">
        <f>"202105042993"</f>
        <v>202105042993</v>
      </c>
      <c r="F1191" t="str">
        <f>"JP10420219"</f>
        <v>JP10420219</v>
      </c>
      <c r="G1191" s="2">
        <v>400</v>
      </c>
      <c r="H1191" t="str">
        <f>"JP10420219"</f>
        <v>JP10420219</v>
      </c>
    </row>
    <row r="1192" spans="1:8" x14ac:dyDescent="0.25">
      <c r="E1192" t="str">
        <f>"202105042994"</f>
        <v>202105042994</v>
      </c>
      <c r="F1192" t="str">
        <f>"412208.2"</f>
        <v>412208.2</v>
      </c>
      <c r="G1192" s="2">
        <v>400</v>
      </c>
      <c r="H1192" t="str">
        <f>"412208.2"</f>
        <v>412208.2</v>
      </c>
    </row>
    <row r="1193" spans="1:8" x14ac:dyDescent="0.25">
      <c r="E1193" t="str">
        <f>"202105042995"</f>
        <v>202105042995</v>
      </c>
      <c r="F1193" t="str">
        <f>"1013020109B"</f>
        <v>1013020109B</v>
      </c>
      <c r="G1193" s="2">
        <v>400</v>
      </c>
      <c r="H1193" t="str">
        <f>"1013020109B"</f>
        <v>1013020109B</v>
      </c>
    </row>
    <row r="1194" spans="1:8" x14ac:dyDescent="0.25">
      <c r="A1194" t="s">
        <v>327</v>
      </c>
      <c r="B1194">
        <v>4546</v>
      </c>
      <c r="C1194" s="2">
        <v>1200</v>
      </c>
      <c r="D1194" s="1">
        <v>44341</v>
      </c>
      <c r="E1194" t="str">
        <f>"202105133203"</f>
        <v>202105133203</v>
      </c>
      <c r="F1194" t="str">
        <f>"30118-2021C/301182021D"</f>
        <v>30118-2021C/301182021D</v>
      </c>
      <c r="G1194" s="2">
        <v>200</v>
      </c>
      <c r="H1194" t="str">
        <f>"30118-2021C/301182021D"</f>
        <v>30118-2021C/301182021D</v>
      </c>
    </row>
    <row r="1195" spans="1:8" x14ac:dyDescent="0.25">
      <c r="E1195" t="str">
        <f>"202105133213"</f>
        <v>202105133213</v>
      </c>
      <c r="F1195" t="str">
        <f>"1787-335"</f>
        <v>1787-335</v>
      </c>
      <c r="G1195" s="2">
        <v>200</v>
      </c>
      <c r="H1195" t="str">
        <f>"1787-335"</f>
        <v>1787-335</v>
      </c>
    </row>
    <row r="1196" spans="1:8" x14ac:dyDescent="0.25">
      <c r="E1196" t="str">
        <f>"202105173277"</f>
        <v>202105173277</v>
      </c>
      <c r="F1196" t="str">
        <f>"308142019"</f>
        <v>308142019</v>
      </c>
      <c r="G1196" s="2">
        <v>400</v>
      </c>
      <c r="H1196" t="str">
        <f>"308142019"</f>
        <v>308142019</v>
      </c>
    </row>
    <row r="1197" spans="1:8" x14ac:dyDescent="0.25">
      <c r="E1197" t="str">
        <f>"202105173278"</f>
        <v>202105173278</v>
      </c>
      <c r="F1197" t="str">
        <f>"02-0206-1 2021-0065T"</f>
        <v>02-0206-1 2021-0065T</v>
      </c>
      <c r="G1197" s="2">
        <v>400</v>
      </c>
      <c r="H1197" t="str">
        <f>"02-0206-1 2021-0065T"</f>
        <v>02-0206-1 2021-0065T</v>
      </c>
    </row>
    <row r="1198" spans="1:8" x14ac:dyDescent="0.25">
      <c r="A1198" t="s">
        <v>328</v>
      </c>
      <c r="B1198">
        <v>135715</v>
      </c>
      <c r="C1198" s="2">
        <v>829</v>
      </c>
      <c r="D1198" s="1">
        <v>44340</v>
      </c>
      <c r="E1198" t="str">
        <f>"2092"</f>
        <v>2092</v>
      </c>
      <c r="F1198" t="str">
        <f>"2010 FREIGHTLINER/PCT#3"</f>
        <v>2010 FREIGHTLINER/PCT#3</v>
      </c>
      <c r="G1198" s="2">
        <v>829</v>
      </c>
      <c r="H1198" t="str">
        <f>"2010 FREIGHTLINER/PCT#3"</f>
        <v>2010 FREIGHTLINER/PCT#3</v>
      </c>
    </row>
    <row r="1199" spans="1:8" x14ac:dyDescent="0.25">
      <c r="A1199" t="s">
        <v>329</v>
      </c>
      <c r="B1199">
        <v>135557</v>
      </c>
      <c r="C1199" s="2">
        <v>5813.46</v>
      </c>
      <c r="D1199" s="1">
        <v>44326</v>
      </c>
      <c r="E1199" t="str">
        <f>"020-128676"</f>
        <v>020-128676</v>
      </c>
      <c r="F1199" t="str">
        <f>"CUST#42161"</f>
        <v>CUST#42161</v>
      </c>
      <c r="G1199" s="2">
        <v>42.21</v>
      </c>
      <c r="H1199" t="str">
        <f>"CUST#42161"</f>
        <v>CUST#42161</v>
      </c>
    </row>
    <row r="1200" spans="1:8" x14ac:dyDescent="0.25">
      <c r="E1200" t="str">
        <f>"020-128772"</f>
        <v>020-128772</v>
      </c>
      <c r="F1200" t="str">
        <f>"CUST#42161/MARCH 2021"</f>
        <v>CUST#42161/MARCH 2021</v>
      </c>
      <c r="G1200" s="2">
        <v>971.25</v>
      </c>
      <c r="H1200" t="str">
        <f>"CUST#42161/MARCH 2021"</f>
        <v>CUST#42161/MARCH 2021</v>
      </c>
    </row>
    <row r="1201" spans="1:8" x14ac:dyDescent="0.25">
      <c r="E1201" t="str">
        <f>"020-128784"</f>
        <v>020-128784</v>
      </c>
      <c r="F1201" t="str">
        <f>"CUST#42161/MAIN"</f>
        <v>CUST#42161/MAIN</v>
      </c>
      <c r="G1201" s="2">
        <v>3960</v>
      </c>
      <c r="H1201" t="str">
        <f>"CUST#42161/MAIN"</f>
        <v>CUST#42161/MAIN</v>
      </c>
    </row>
    <row r="1202" spans="1:8" x14ac:dyDescent="0.25">
      <c r="E1202" t="str">
        <f>"020-128785"</f>
        <v>020-128785</v>
      </c>
      <c r="F1202" t="str">
        <f>"CUST#42161/MAIN"</f>
        <v>CUST#42161/MAIN</v>
      </c>
      <c r="G1202" s="2">
        <v>840</v>
      </c>
      <c r="H1202" t="str">
        <f>"CUST#42161/MAIN"</f>
        <v>CUST#42161/MAIN</v>
      </c>
    </row>
    <row r="1203" spans="1:8" x14ac:dyDescent="0.25">
      <c r="A1203" t="s">
        <v>330</v>
      </c>
      <c r="B1203">
        <v>4403</v>
      </c>
      <c r="C1203" s="2">
        <v>668.79</v>
      </c>
      <c r="D1203" s="1">
        <v>44327</v>
      </c>
      <c r="E1203" t="str">
        <f>"132708299"</f>
        <v>132708299</v>
      </c>
      <c r="F1203" t="str">
        <f>"CUST#10402592/PCT#4"</f>
        <v>CUST#10402592/PCT#4</v>
      </c>
      <c r="G1203" s="2">
        <v>668.79</v>
      </c>
      <c r="H1203" t="str">
        <f>"CUST#10402592/PCT#4"</f>
        <v>CUST#10402592/PCT#4</v>
      </c>
    </row>
    <row r="1204" spans="1:8" x14ac:dyDescent="0.25">
      <c r="A1204" t="s">
        <v>331</v>
      </c>
      <c r="B1204">
        <v>4462</v>
      </c>
      <c r="C1204" s="2">
        <v>278</v>
      </c>
      <c r="D1204" s="1">
        <v>44327</v>
      </c>
      <c r="E1204" t="str">
        <f>"78352894"</f>
        <v>78352894</v>
      </c>
      <c r="F1204" t="str">
        <f>"INV 78352894-00"</f>
        <v>INV 78352894-00</v>
      </c>
      <c r="G1204" s="2">
        <v>278</v>
      </c>
      <c r="H1204" t="str">
        <f>"INV 78352894-00"</f>
        <v>INV 78352894-00</v>
      </c>
    </row>
    <row r="1205" spans="1:8" x14ac:dyDescent="0.25">
      <c r="A1205" t="s">
        <v>331</v>
      </c>
      <c r="B1205">
        <v>4539</v>
      </c>
      <c r="C1205" s="2">
        <v>825</v>
      </c>
      <c r="D1205" s="1">
        <v>44341</v>
      </c>
      <c r="E1205" t="str">
        <f>"78452257"</f>
        <v>78452257</v>
      </c>
      <c r="F1205" t="str">
        <f>"INV 78452257-00"</f>
        <v>INV 78452257-00</v>
      </c>
      <c r="G1205" s="2">
        <v>825</v>
      </c>
      <c r="H1205" t="str">
        <f>"INV 78452257-00"</f>
        <v>INV 78452257-00</v>
      </c>
    </row>
    <row r="1206" spans="1:8" x14ac:dyDescent="0.25">
      <c r="A1206" t="s">
        <v>332</v>
      </c>
      <c r="B1206">
        <v>135716</v>
      </c>
      <c r="C1206" s="2">
        <v>5690.61</v>
      </c>
      <c r="D1206" s="1">
        <v>44340</v>
      </c>
      <c r="E1206" t="str">
        <f>"202105193338"</f>
        <v>202105193338</v>
      </c>
      <c r="F1206" t="str">
        <f>"INDIGENT HEALTH"</f>
        <v>INDIGENT HEALTH</v>
      </c>
      <c r="G1206" s="2">
        <v>1521.49</v>
      </c>
      <c r="H1206" t="str">
        <f>"INDIGENT HEALTH"</f>
        <v>INDIGENT HEALTH</v>
      </c>
    </row>
    <row r="1207" spans="1:8" x14ac:dyDescent="0.25">
      <c r="E1207" t="str">
        <f>"202105193365"</f>
        <v>202105193365</v>
      </c>
      <c r="F1207" t="str">
        <f>"JAIL MEDICAL"</f>
        <v>JAIL MEDICAL</v>
      </c>
      <c r="G1207" s="2">
        <v>4169.12</v>
      </c>
      <c r="H1207" t="str">
        <f>"JAIL MEDICAL"</f>
        <v>JAIL MEDICAL</v>
      </c>
    </row>
    <row r="1208" spans="1:8" x14ac:dyDescent="0.25">
      <c r="A1208" t="s">
        <v>333</v>
      </c>
      <c r="B1208">
        <v>135717</v>
      </c>
      <c r="C1208" s="2">
        <v>12</v>
      </c>
      <c r="D1208" s="1">
        <v>44340</v>
      </c>
      <c r="E1208" t="str">
        <f>"202105183327"</f>
        <v>202105183327</v>
      </c>
      <c r="F1208" t="str">
        <f>"V H BLACKINTON &amp; CO INC"</f>
        <v>V H BLACKINTON &amp; CO INC</v>
      </c>
      <c r="G1208" s="2">
        <v>12</v>
      </c>
      <c r="H1208" t="str">
        <f>""</f>
        <v/>
      </c>
    </row>
    <row r="1209" spans="1:8" x14ac:dyDescent="0.25">
      <c r="A1209" t="s">
        <v>334</v>
      </c>
      <c r="B1209">
        <v>135718</v>
      </c>
      <c r="C1209" s="2">
        <v>345.87</v>
      </c>
      <c r="D1209" s="1">
        <v>44340</v>
      </c>
      <c r="E1209" t="str">
        <f>"2013575"</f>
        <v>2013575</v>
      </c>
      <c r="F1209" t="str">
        <f>"ACCT#17460002268003"</f>
        <v>ACCT#17460002268003</v>
      </c>
      <c r="G1209" s="2">
        <v>345.87</v>
      </c>
      <c r="H1209" t="str">
        <f>"ACCT#17460002268003"</f>
        <v>ACCT#17460002268003</v>
      </c>
    </row>
    <row r="1210" spans="1:8" x14ac:dyDescent="0.25">
      <c r="A1210" t="s">
        <v>335</v>
      </c>
      <c r="B1210">
        <v>135719</v>
      </c>
      <c r="C1210" s="2">
        <v>965</v>
      </c>
      <c r="D1210" s="1">
        <v>44340</v>
      </c>
      <c r="E1210" t="str">
        <f>"0301"</f>
        <v>0301</v>
      </c>
      <c r="F1210" t="str">
        <f>"Shields"</f>
        <v>Shields</v>
      </c>
      <c r="G1210" s="2">
        <v>965</v>
      </c>
      <c r="H1210" t="str">
        <f>"Shield"</f>
        <v>Shield</v>
      </c>
    </row>
    <row r="1211" spans="1:8" x14ac:dyDescent="0.25">
      <c r="E1211" t="str">
        <f>""</f>
        <v/>
      </c>
      <c r="F1211" t="str">
        <f>""</f>
        <v/>
      </c>
      <c r="H1211" t="str">
        <f>"Shipping"</f>
        <v>Shipping</v>
      </c>
    </row>
    <row r="1212" spans="1:8" x14ac:dyDescent="0.25">
      <c r="A1212" t="s">
        <v>336</v>
      </c>
      <c r="B1212">
        <v>4433</v>
      </c>
      <c r="C1212" s="2">
        <v>49360.480000000003</v>
      </c>
      <c r="D1212" s="1">
        <v>44327</v>
      </c>
      <c r="E1212" t="str">
        <f>"202105063157"</f>
        <v>202105063157</v>
      </c>
      <c r="F1212" t="str">
        <f>"Statement"</f>
        <v>Statement</v>
      </c>
      <c r="G1212" s="2">
        <v>49360.480000000003</v>
      </c>
      <c r="H1212" t="str">
        <f>"fuel"</f>
        <v>fuel</v>
      </c>
    </row>
    <row r="1213" spans="1:8" x14ac:dyDescent="0.25">
      <c r="E1213" t="str">
        <f>""</f>
        <v/>
      </c>
      <c r="F1213" t="str">
        <f>""</f>
        <v/>
      </c>
      <c r="H1213" t="str">
        <f>"tax"</f>
        <v>tax</v>
      </c>
    </row>
    <row r="1214" spans="1:8" x14ac:dyDescent="0.25">
      <c r="E1214" t="str">
        <f>""</f>
        <v/>
      </c>
      <c r="F1214" t="str">
        <f>""</f>
        <v/>
      </c>
      <c r="H1214" t="str">
        <f>"mainetnance"</f>
        <v>mainetnance</v>
      </c>
    </row>
    <row r="1215" spans="1:8" x14ac:dyDescent="0.25">
      <c r="E1215" t="str">
        <f>""</f>
        <v/>
      </c>
      <c r="F1215" t="str">
        <f>""</f>
        <v/>
      </c>
      <c r="H1215" t="str">
        <f>"fuel"</f>
        <v>fuel</v>
      </c>
    </row>
    <row r="1216" spans="1:8" x14ac:dyDescent="0.25">
      <c r="E1216" t="str">
        <f>""</f>
        <v/>
      </c>
      <c r="F1216" t="str">
        <f>""</f>
        <v/>
      </c>
      <c r="H1216" t="str">
        <f>"tax"</f>
        <v>tax</v>
      </c>
    </row>
    <row r="1217" spans="5:8" x14ac:dyDescent="0.25">
      <c r="E1217" t="str">
        <f>""</f>
        <v/>
      </c>
      <c r="F1217" t="str">
        <f>""</f>
        <v/>
      </c>
      <c r="H1217" t="str">
        <f>"maintenance"</f>
        <v>maintenance</v>
      </c>
    </row>
    <row r="1218" spans="5:8" x14ac:dyDescent="0.25">
      <c r="E1218" t="str">
        <f>""</f>
        <v/>
      </c>
      <c r="F1218" t="str">
        <f>""</f>
        <v/>
      </c>
      <c r="H1218" t="str">
        <f>"fuel"</f>
        <v>fuel</v>
      </c>
    </row>
    <row r="1219" spans="5:8" x14ac:dyDescent="0.25">
      <c r="E1219" t="str">
        <f>""</f>
        <v/>
      </c>
      <c r="F1219" t="str">
        <f>""</f>
        <v/>
      </c>
      <c r="H1219" t="str">
        <f>"tax"</f>
        <v>tax</v>
      </c>
    </row>
    <row r="1220" spans="5:8" x14ac:dyDescent="0.25">
      <c r="E1220" t="str">
        <f>""</f>
        <v/>
      </c>
      <c r="F1220" t="str">
        <f>""</f>
        <v/>
      </c>
      <c r="H1220" t="str">
        <f>"maintenance"</f>
        <v>maintenance</v>
      </c>
    </row>
    <row r="1221" spans="5:8" x14ac:dyDescent="0.25">
      <c r="E1221" t="str">
        <f>""</f>
        <v/>
      </c>
      <c r="F1221" t="str">
        <f>""</f>
        <v/>
      </c>
      <c r="H1221" t="str">
        <f>"fuel"</f>
        <v>fuel</v>
      </c>
    </row>
    <row r="1222" spans="5:8" x14ac:dyDescent="0.25">
      <c r="E1222" t="str">
        <f>""</f>
        <v/>
      </c>
      <c r="F1222" t="str">
        <f>""</f>
        <v/>
      </c>
      <c r="H1222" t="str">
        <f>"tax"</f>
        <v>tax</v>
      </c>
    </row>
    <row r="1223" spans="5:8" x14ac:dyDescent="0.25">
      <c r="E1223" t="str">
        <f>""</f>
        <v/>
      </c>
      <c r="F1223" t="str">
        <f>""</f>
        <v/>
      </c>
      <c r="H1223" t="str">
        <f>"maintenance"</f>
        <v>maintenance</v>
      </c>
    </row>
    <row r="1224" spans="5:8" x14ac:dyDescent="0.25">
      <c r="E1224" t="str">
        <f>""</f>
        <v/>
      </c>
      <c r="F1224" t="str">
        <f>""</f>
        <v/>
      </c>
      <c r="H1224" t="str">
        <f>"fuel"</f>
        <v>fuel</v>
      </c>
    </row>
    <row r="1225" spans="5:8" x14ac:dyDescent="0.25">
      <c r="E1225" t="str">
        <f>""</f>
        <v/>
      </c>
      <c r="F1225" t="str">
        <f>""</f>
        <v/>
      </c>
      <c r="H1225" t="str">
        <f>"tax"</f>
        <v>tax</v>
      </c>
    </row>
    <row r="1226" spans="5:8" x14ac:dyDescent="0.25">
      <c r="E1226" t="str">
        <f>""</f>
        <v/>
      </c>
      <c r="F1226" t="str">
        <f>""</f>
        <v/>
      </c>
      <c r="H1226" t="str">
        <f>"maintenance"</f>
        <v>maintenance</v>
      </c>
    </row>
    <row r="1227" spans="5:8" x14ac:dyDescent="0.25">
      <c r="E1227" t="str">
        <f>""</f>
        <v/>
      </c>
      <c r="F1227" t="str">
        <f>""</f>
        <v/>
      </c>
      <c r="H1227" t="str">
        <f>"fuel"</f>
        <v>fuel</v>
      </c>
    </row>
    <row r="1228" spans="5:8" x14ac:dyDescent="0.25">
      <c r="E1228" t="str">
        <f>""</f>
        <v/>
      </c>
      <c r="F1228" t="str">
        <f>""</f>
        <v/>
      </c>
      <c r="H1228" t="str">
        <f>"maintenance"</f>
        <v>maintenance</v>
      </c>
    </row>
    <row r="1229" spans="5:8" x14ac:dyDescent="0.25">
      <c r="E1229" t="str">
        <f>""</f>
        <v/>
      </c>
      <c r="F1229" t="str">
        <f>""</f>
        <v/>
      </c>
      <c r="H1229" t="str">
        <f>"fuel"</f>
        <v>fuel</v>
      </c>
    </row>
    <row r="1230" spans="5:8" x14ac:dyDescent="0.25">
      <c r="E1230" t="str">
        <f>""</f>
        <v/>
      </c>
      <c r="F1230" t="str">
        <f>""</f>
        <v/>
      </c>
      <c r="H1230" t="str">
        <f>"tax"</f>
        <v>tax</v>
      </c>
    </row>
    <row r="1231" spans="5:8" x14ac:dyDescent="0.25">
      <c r="E1231" t="str">
        <f>""</f>
        <v/>
      </c>
      <c r="F1231" t="str">
        <f>""</f>
        <v/>
      </c>
      <c r="H1231" t="str">
        <f>"maintenance"</f>
        <v>maintenance</v>
      </c>
    </row>
    <row r="1232" spans="5:8" x14ac:dyDescent="0.25">
      <c r="E1232" t="str">
        <f>""</f>
        <v/>
      </c>
      <c r="F1232" t="str">
        <f>""</f>
        <v/>
      </c>
      <c r="H1232" t="str">
        <f>"fuel"</f>
        <v>fuel</v>
      </c>
    </row>
    <row r="1233" spans="1:8" x14ac:dyDescent="0.25">
      <c r="E1233" t="str">
        <f>""</f>
        <v/>
      </c>
      <c r="F1233" t="str">
        <f>""</f>
        <v/>
      </c>
      <c r="H1233" t="str">
        <f>"tax"</f>
        <v>tax</v>
      </c>
    </row>
    <row r="1234" spans="1:8" x14ac:dyDescent="0.25">
      <c r="E1234" t="str">
        <f>""</f>
        <v/>
      </c>
      <c r="F1234" t="str">
        <f>""</f>
        <v/>
      </c>
      <c r="H1234" t="str">
        <f>"maintenance"</f>
        <v>maintenance</v>
      </c>
    </row>
    <row r="1235" spans="1:8" x14ac:dyDescent="0.25">
      <c r="E1235" t="str">
        <f>""</f>
        <v/>
      </c>
      <c r="F1235" t="str">
        <f>""</f>
        <v/>
      </c>
      <c r="H1235" t="str">
        <f>"fuel"</f>
        <v>fuel</v>
      </c>
    </row>
    <row r="1236" spans="1:8" x14ac:dyDescent="0.25">
      <c r="E1236" t="str">
        <f>""</f>
        <v/>
      </c>
      <c r="F1236" t="str">
        <f>""</f>
        <v/>
      </c>
      <c r="H1236" t="str">
        <f>"tax"</f>
        <v>tax</v>
      </c>
    </row>
    <row r="1237" spans="1:8" x14ac:dyDescent="0.25">
      <c r="E1237" t="str">
        <f>""</f>
        <v/>
      </c>
      <c r="F1237" t="str">
        <f>""</f>
        <v/>
      </c>
      <c r="H1237" t="str">
        <f>"fuel"</f>
        <v>fuel</v>
      </c>
    </row>
    <row r="1238" spans="1:8" x14ac:dyDescent="0.25">
      <c r="E1238" t="str">
        <f>""</f>
        <v/>
      </c>
      <c r="F1238" t="str">
        <f>""</f>
        <v/>
      </c>
      <c r="H1238" t="str">
        <f>"tax"</f>
        <v>tax</v>
      </c>
    </row>
    <row r="1239" spans="1:8" x14ac:dyDescent="0.25">
      <c r="E1239" t="str">
        <f>""</f>
        <v/>
      </c>
      <c r="F1239" t="str">
        <f>""</f>
        <v/>
      </c>
      <c r="H1239" t="str">
        <f>"maintenance"</f>
        <v>maintenance</v>
      </c>
    </row>
    <row r="1240" spans="1:8" x14ac:dyDescent="0.25">
      <c r="E1240" t="str">
        <f>""</f>
        <v/>
      </c>
      <c r="F1240" t="str">
        <f>""</f>
        <v/>
      </c>
      <c r="H1240" t="str">
        <f>"fuel"</f>
        <v>fuel</v>
      </c>
    </row>
    <row r="1241" spans="1:8" x14ac:dyDescent="0.25">
      <c r="E1241" t="str">
        <f>""</f>
        <v/>
      </c>
      <c r="F1241" t="str">
        <f>""</f>
        <v/>
      </c>
      <c r="H1241" t="str">
        <f>"tax"</f>
        <v>tax</v>
      </c>
    </row>
    <row r="1242" spans="1:8" x14ac:dyDescent="0.25">
      <c r="E1242" t="str">
        <f>""</f>
        <v/>
      </c>
      <c r="F1242" t="str">
        <f>""</f>
        <v/>
      </c>
      <c r="H1242" t="str">
        <f>"maintenance"</f>
        <v>maintenance</v>
      </c>
    </row>
    <row r="1243" spans="1:8" x14ac:dyDescent="0.25">
      <c r="E1243" t="str">
        <f>""</f>
        <v/>
      </c>
      <c r="F1243" t="str">
        <f>""</f>
        <v/>
      </c>
      <c r="H1243" t="str">
        <f>"maintenance"</f>
        <v>maintenance</v>
      </c>
    </row>
    <row r="1244" spans="1:8" x14ac:dyDescent="0.25">
      <c r="E1244" t="str">
        <f>""</f>
        <v/>
      </c>
      <c r="F1244" t="str">
        <f>""</f>
        <v/>
      </c>
      <c r="H1244" t="str">
        <f>"fuel"</f>
        <v>fuel</v>
      </c>
    </row>
    <row r="1245" spans="1:8" x14ac:dyDescent="0.25">
      <c r="E1245" t="str">
        <f>""</f>
        <v/>
      </c>
      <c r="F1245" t="str">
        <f>""</f>
        <v/>
      </c>
      <c r="H1245" t="str">
        <f>"tax"</f>
        <v>tax</v>
      </c>
    </row>
    <row r="1246" spans="1:8" x14ac:dyDescent="0.25">
      <c r="A1246" t="s">
        <v>337</v>
      </c>
      <c r="B1246">
        <v>135558</v>
      </c>
      <c r="C1246" s="2">
        <v>90</v>
      </c>
      <c r="D1246" s="1">
        <v>44326</v>
      </c>
      <c r="E1246" t="str">
        <f>"00010699-4"</f>
        <v>00010699-4</v>
      </c>
      <c r="F1246" t="str">
        <f>"ACCT#00010699-4/PCT#3"</f>
        <v>ACCT#00010699-4/PCT#3</v>
      </c>
      <c r="G1246" s="2">
        <v>90</v>
      </c>
      <c r="H1246" t="str">
        <f>"ACCT#00010699-4/PCT#3"</f>
        <v>ACCT#00010699-4/PCT#3</v>
      </c>
    </row>
    <row r="1247" spans="1:8" x14ac:dyDescent="0.25">
      <c r="A1247" t="s">
        <v>338</v>
      </c>
      <c r="B1247">
        <v>135720</v>
      </c>
      <c r="C1247" s="2">
        <v>35.4</v>
      </c>
      <c r="D1247" s="1">
        <v>44340</v>
      </c>
      <c r="E1247" t="str">
        <f>"0421-DR14926"</f>
        <v>0421-DR14926</v>
      </c>
      <c r="F1247" t="str">
        <f>"CLIENT#14926/HR"</f>
        <v>CLIENT#14926/HR</v>
      </c>
      <c r="G1247" s="2">
        <v>35.4</v>
      </c>
      <c r="H1247" t="str">
        <f>"CLIENT#14926/HR"</f>
        <v>CLIENT#14926/HR</v>
      </c>
    </row>
    <row r="1248" spans="1:8" x14ac:dyDescent="0.25">
      <c r="A1248" t="s">
        <v>339</v>
      </c>
      <c r="B1248">
        <v>4419</v>
      </c>
      <c r="C1248" s="2">
        <v>10117.19</v>
      </c>
      <c r="D1248" s="1">
        <v>44327</v>
      </c>
      <c r="E1248" t="str">
        <f>"20641"</f>
        <v>20641</v>
      </c>
      <c r="F1248" t="str">
        <f>"COLD MIX/PCT#3"</f>
        <v>COLD MIX/PCT#3</v>
      </c>
      <c r="G1248" s="2">
        <v>2700.72</v>
      </c>
      <c r="H1248" t="str">
        <f>"COLD MIX/PCT#3"</f>
        <v>COLD MIX/PCT#3</v>
      </c>
    </row>
    <row r="1249" spans="1:8" x14ac:dyDescent="0.25">
      <c r="E1249" t="str">
        <f>"20677"</f>
        <v>20677</v>
      </c>
      <c r="F1249" t="str">
        <f>"COLD MIX/PCT#3"</f>
        <v>COLD MIX/PCT#3</v>
      </c>
      <c r="G1249" s="2">
        <v>2806.91</v>
      </c>
      <c r="H1249" t="str">
        <f>"COLD MIX/PCT#3"</f>
        <v>COLD MIX/PCT#3</v>
      </c>
    </row>
    <row r="1250" spans="1:8" x14ac:dyDescent="0.25">
      <c r="E1250" t="str">
        <f>"20678"</f>
        <v>20678</v>
      </c>
      <c r="F1250" t="str">
        <f>"COLD MIX/PCT#4"</f>
        <v>COLD MIX/PCT#4</v>
      </c>
      <c r="G1250" s="2">
        <v>2584.86</v>
      </c>
      <c r="H1250" t="str">
        <f>"COLD MIX/PCT#4"</f>
        <v>COLD MIX/PCT#4</v>
      </c>
    </row>
    <row r="1251" spans="1:8" x14ac:dyDescent="0.25">
      <c r="E1251" t="str">
        <f>"20690"</f>
        <v>20690</v>
      </c>
      <c r="F1251" t="str">
        <f>"COLD MIX/PCT#1"</f>
        <v>COLD MIX/PCT#1</v>
      </c>
      <c r="G1251" s="2">
        <v>2024.7</v>
      </c>
      <c r="H1251" t="str">
        <f>"COLD MIX/PCT#1"</f>
        <v>COLD MIX/PCT#1</v>
      </c>
    </row>
    <row r="1252" spans="1:8" x14ac:dyDescent="0.25">
      <c r="A1252" t="s">
        <v>339</v>
      </c>
      <c r="B1252">
        <v>4492</v>
      </c>
      <c r="C1252" s="2">
        <v>19545.09</v>
      </c>
      <c r="D1252" s="1">
        <v>44341</v>
      </c>
      <c r="E1252" t="str">
        <f>"20719"</f>
        <v>20719</v>
      </c>
      <c r="F1252" t="str">
        <f>"COLD MIX/PCT#4"</f>
        <v>COLD MIX/PCT#4</v>
      </c>
      <c r="G1252" s="2">
        <v>2541.65</v>
      </c>
      <c r="H1252" t="str">
        <f>"COLD MIX/PCT#4"</f>
        <v>COLD MIX/PCT#4</v>
      </c>
    </row>
    <row r="1253" spans="1:8" x14ac:dyDescent="0.25">
      <c r="E1253" t="str">
        <f>"20728"</f>
        <v>20728</v>
      </c>
      <c r="F1253" t="str">
        <f>"COLD MIX/PCT#1"</f>
        <v>COLD MIX/PCT#1</v>
      </c>
      <c r="G1253" s="2">
        <v>2009.04</v>
      </c>
      <c r="H1253" t="str">
        <f>"COLD MIX/PCT#1"</f>
        <v>COLD MIX/PCT#1</v>
      </c>
    </row>
    <row r="1254" spans="1:8" x14ac:dyDescent="0.25">
      <c r="E1254" t="str">
        <f>"20737"</f>
        <v>20737</v>
      </c>
      <c r="F1254" t="str">
        <f>"COLD MIX/PCT#3"</f>
        <v>COLD MIX/PCT#3</v>
      </c>
      <c r="G1254" s="2">
        <v>2777</v>
      </c>
      <c r="H1254" t="str">
        <f>"COLD MIX/PCT#3"</f>
        <v>COLD MIX/PCT#3</v>
      </c>
    </row>
    <row r="1255" spans="1:8" x14ac:dyDescent="0.25">
      <c r="E1255" t="str">
        <f>"20750"</f>
        <v>20750</v>
      </c>
      <c r="F1255" t="str">
        <f>"COLD MIX/PCT#4"</f>
        <v>COLD MIX/PCT#4</v>
      </c>
      <c r="G1255" s="2">
        <v>2523.56</v>
      </c>
      <c r="H1255" t="str">
        <f>"COLD MIX/PCT#4"</f>
        <v>COLD MIX/PCT#4</v>
      </c>
    </row>
    <row r="1256" spans="1:8" x14ac:dyDescent="0.25">
      <c r="E1256" t="str">
        <f>"20769"</f>
        <v>20769</v>
      </c>
      <c r="F1256" t="str">
        <f>"COLD MIX/PCT#3"</f>
        <v>COLD MIX/PCT#3</v>
      </c>
      <c r="G1256" s="2">
        <v>2775.9</v>
      </c>
      <c r="H1256" t="str">
        <f>"COLD MIX/PCT#3"</f>
        <v>COLD MIX/PCT#3</v>
      </c>
    </row>
    <row r="1257" spans="1:8" x14ac:dyDescent="0.25">
      <c r="E1257" t="str">
        <f>"20797"</f>
        <v>20797</v>
      </c>
      <c r="F1257" t="str">
        <f>"COLD MIX/PCT#1"</f>
        <v>COLD MIX/PCT#1</v>
      </c>
      <c r="G1257" s="2">
        <v>1800.48</v>
      </c>
      <c r="H1257" t="str">
        <f>"COLD MIX/PCT#1"</f>
        <v>COLD MIX/PCT#1</v>
      </c>
    </row>
    <row r="1258" spans="1:8" x14ac:dyDescent="0.25">
      <c r="E1258" t="str">
        <f>"20798"</f>
        <v>20798</v>
      </c>
      <c r="F1258" t="str">
        <f>"COLD MIX/PCT#4"</f>
        <v>COLD MIX/PCT#4</v>
      </c>
      <c r="G1258" s="2">
        <v>5117.46</v>
      </c>
      <c r="H1258" t="str">
        <f>"COLD MIX/PCT#4"</f>
        <v>COLD MIX/PCT#4</v>
      </c>
    </row>
    <row r="1259" spans="1:8" x14ac:dyDescent="0.25">
      <c r="A1259" t="s">
        <v>340</v>
      </c>
      <c r="B1259">
        <v>4463</v>
      </c>
      <c r="C1259" s="2">
        <v>432</v>
      </c>
      <c r="D1259" s="1">
        <v>44327</v>
      </c>
      <c r="E1259" t="str">
        <f>"SCAUS0067070"</f>
        <v>SCAUS0067070</v>
      </c>
      <c r="F1259" t="str">
        <f>"CUST/BASPR#3"</f>
        <v>CUST/BASPR#3</v>
      </c>
      <c r="G1259" s="2">
        <v>432</v>
      </c>
      <c r="H1259" t="str">
        <f>"CUST/BASPR#3"</f>
        <v>CUST/BASPR#3</v>
      </c>
    </row>
    <row r="1260" spans="1:8" x14ac:dyDescent="0.25">
      <c r="A1260" t="s">
        <v>341</v>
      </c>
      <c r="B1260">
        <v>135441</v>
      </c>
      <c r="C1260" s="2">
        <v>10742.21</v>
      </c>
      <c r="D1260" s="1">
        <v>44322</v>
      </c>
      <c r="E1260" t="str">
        <f>"11141351"</f>
        <v>11141351</v>
      </c>
      <c r="F1260" t="str">
        <f>"ACCT#5150-005117630 / 05012021"</f>
        <v>ACCT#5150-005117630 / 05012021</v>
      </c>
      <c r="G1260" s="2">
        <v>262.81</v>
      </c>
      <c r="H1260" t="str">
        <f>"ACCT#5150-005117630 / 05012021"</f>
        <v>ACCT#5150-005117630 / 05012021</v>
      </c>
    </row>
    <row r="1261" spans="1:8" x14ac:dyDescent="0.25">
      <c r="E1261" t="str">
        <f>"11141358"</f>
        <v>11141358</v>
      </c>
      <c r="F1261" t="str">
        <f>"ACCT#5150-005117766 / 05012021"</f>
        <v>ACCT#5150-005117766 / 05012021</v>
      </c>
      <c r="G1261" s="2">
        <v>230.72</v>
      </c>
      <c r="H1261" t="str">
        <f>"ACCT#5150-005117766 / 05012021"</f>
        <v>ACCT#5150-005117766 / 05012021</v>
      </c>
    </row>
    <row r="1262" spans="1:8" x14ac:dyDescent="0.25">
      <c r="E1262" t="str">
        <f>"11141362"</f>
        <v>11141362</v>
      </c>
      <c r="F1262" t="str">
        <f>"ACCT#5150-005117838 / 05012021"</f>
        <v>ACCT#5150-005117838 / 05012021</v>
      </c>
      <c r="G1262" s="2">
        <v>106.76</v>
      </c>
      <c r="H1262" t="str">
        <f>"ACCT#5150-005117838 / 05012021"</f>
        <v>ACCT#5150-005117838 / 05012021</v>
      </c>
    </row>
    <row r="1263" spans="1:8" x14ac:dyDescent="0.25">
      <c r="E1263" t="str">
        <f>"11141364"</f>
        <v>11141364</v>
      </c>
      <c r="F1263" t="str">
        <f>"ACCT#5150-005117882 / 05012021"</f>
        <v>ACCT#5150-005117882 / 05012021</v>
      </c>
      <c r="G1263" s="2">
        <v>144.19</v>
      </c>
      <c r="H1263" t="str">
        <f>"ACCT#5150-005117882 / 05012021"</f>
        <v>ACCT#5150-005117882 / 05012021</v>
      </c>
    </row>
    <row r="1264" spans="1:8" x14ac:dyDescent="0.25">
      <c r="E1264" t="str">
        <f>"11141372"</f>
        <v>11141372</v>
      </c>
      <c r="F1264" t="str">
        <f>"ACCT#5150-005118183 / 05012021"</f>
        <v>ACCT#5150-005118183 / 05012021</v>
      </c>
      <c r="G1264" s="2">
        <v>618.96</v>
      </c>
      <c r="H1264" t="str">
        <f>"ACCT#5150-005118183 / 05012021"</f>
        <v>ACCT#5150-005118183 / 05012021</v>
      </c>
    </row>
    <row r="1265" spans="1:8" x14ac:dyDescent="0.25">
      <c r="E1265" t="str">
        <f>"11141400"</f>
        <v>11141400</v>
      </c>
      <c r="F1265" t="str">
        <f>"ACCT#5150-005129483 / 05012021"</f>
        <v>ACCT#5150-005129483 / 05012021</v>
      </c>
      <c r="G1265" s="2">
        <v>9266.4</v>
      </c>
      <c r="H1265" t="str">
        <f>"WASTE CONNECTIONS LONE STAR. I"</f>
        <v>WASTE CONNECTIONS LONE STAR. I</v>
      </c>
    </row>
    <row r="1266" spans="1:8" x14ac:dyDescent="0.25">
      <c r="E1266" t="str">
        <f>"11145488"</f>
        <v>11145488</v>
      </c>
      <c r="F1266" t="str">
        <f>"ACCT#5150-16203415 / 05012021"</f>
        <v>ACCT#5150-16203415 / 05012021</v>
      </c>
      <c r="G1266" s="2">
        <v>83.48</v>
      </c>
      <c r="H1266" t="str">
        <f>"ACCT#5150-16203415 / 05012021"</f>
        <v>ACCT#5150-16203415 / 05012021</v>
      </c>
    </row>
    <row r="1267" spans="1:8" x14ac:dyDescent="0.25">
      <c r="E1267" t="str">
        <f>"11145489"</f>
        <v>11145489</v>
      </c>
      <c r="F1267" t="str">
        <f>"ACCT#5150-16203417 / 05012021"</f>
        <v>ACCT#5150-16203417 / 05012021</v>
      </c>
      <c r="G1267" s="2">
        <v>28.89</v>
      </c>
      <c r="H1267" t="str">
        <f>"WASTE CONNECTIONS LONE STAR. I"</f>
        <v>WASTE CONNECTIONS LONE STAR. I</v>
      </c>
    </row>
    <row r="1268" spans="1:8" x14ac:dyDescent="0.25">
      <c r="A1268" t="s">
        <v>342</v>
      </c>
      <c r="B1268">
        <v>135721</v>
      </c>
      <c r="C1268" s="2">
        <v>6653.29</v>
      </c>
      <c r="D1268" s="1">
        <v>44340</v>
      </c>
      <c r="E1268" t="str">
        <f>"0031716-2161-2"</f>
        <v>0031716-2161-2</v>
      </c>
      <c r="F1268" t="str">
        <f>"CUST#2-57060-55062/PCT#4"</f>
        <v>CUST#2-57060-55062/PCT#4</v>
      </c>
      <c r="G1268" s="2">
        <v>5635.63</v>
      </c>
      <c r="H1268" t="str">
        <f>"CUST#2-57060-55062/PCT#4"</f>
        <v>CUST#2-57060-55062/PCT#4</v>
      </c>
    </row>
    <row r="1269" spans="1:8" x14ac:dyDescent="0.25">
      <c r="E1269" t="str">
        <f>"6713720-2161-6"</f>
        <v>6713720-2161-6</v>
      </c>
      <c r="F1269" t="str">
        <f>"CUST#239024423005/PCT#4"</f>
        <v>CUST#239024423005/PCT#4</v>
      </c>
      <c r="G1269" s="2">
        <v>1017.66</v>
      </c>
      <c r="H1269" t="str">
        <f>"CUST#239024423005/PCT#4"</f>
        <v>CUST#239024423005/PCT#4</v>
      </c>
    </row>
    <row r="1270" spans="1:8" x14ac:dyDescent="0.25">
      <c r="A1270" t="s">
        <v>343</v>
      </c>
      <c r="B1270">
        <v>135722</v>
      </c>
      <c r="C1270" s="2">
        <v>3000</v>
      </c>
      <c r="D1270" s="1">
        <v>44340</v>
      </c>
      <c r="E1270" t="str">
        <f>"23496"</f>
        <v>23496</v>
      </c>
      <c r="F1270" t="str">
        <f>"WATCH GUARD VIDEO"</f>
        <v>WATCH GUARD VIDEO</v>
      </c>
      <c r="G1270" s="2">
        <v>1990</v>
      </c>
      <c r="H1270" t="str">
        <f>"Body Cameras"</f>
        <v>Body Cameras</v>
      </c>
    </row>
    <row r="1271" spans="1:8" x14ac:dyDescent="0.25">
      <c r="E1271" t="str">
        <f>"BCMINV0011937"</f>
        <v>BCMINV0011937</v>
      </c>
      <c r="F1271" t="str">
        <f>"INV BCMINV0011937"</f>
        <v>INV BCMINV0011937</v>
      </c>
      <c r="G1271" s="2">
        <v>1010</v>
      </c>
      <c r="H1271" t="str">
        <f>"INV BCMINV0011937"</f>
        <v>INV BCMINV0011937</v>
      </c>
    </row>
    <row r="1272" spans="1:8" x14ac:dyDescent="0.25">
      <c r="A1272" t="s">
        <v>344</v>
      </c>
      <c r="B1272">
        <v>135723</v>
      </c>
      <c r="C1272" s="2">
        <v>50</v>
      </c>
      <c r="D1272" s="1">
        <v>44340</v>
      </c>
      <c r="E1272" t="str">
        <f>"202105173253"</f>
        <v>202105173253</v>
      </c>
      <c r="F1272" t="str">
        <f>"ONLINE TRAINING/WAYNE WOOD"</f>
        <v>ONLINE TRAINING/WAYNE WOOD</v>
      </c>
      <c r="G1272" s="2">
        <v>50</v>
      </c>
      <c r="H1272" t="str">
        <f>"ONLINE TRAINING/WAYNE WOOD"</f>
        <v>ONLINE TRAINING/WAYNE WOOD</v>
      </c>
    </row>
    <row r="1273" spans="1:8" x14ac:dyDescent="0.25">
      <c r="A1273" t="s">
        <v>345</v>
      </c>
      <c r="B1273">
        <v>4425</v>
      </c>
      <c r="C1273" s="2">
        <v>66</v>
      </c>
      <c r="D1273" s="1">
        <v>44327</v>
      </c>
      <c r="E1273" t="str">
        <f>"6343"</f>
        <v>6343</v>
      </c>
      <c r="F1273" t="str">
        <f>"UNIFORMS/PCT#4"</f>
        <v>UNIFORMS/PCT#4</v>
      </c>
      <c r="G1273" s="2">
        <v>66</v>
      </c>
      <c r="H1273" t="str">
        <f>"UNIFORMS/PCT#4"</f>
        <v>UNIFORMS/PCT#4</v>
      </c>
    </row>
    <row r="1274" spans="1:8" x14ac:dyDescent="0.25">
      <c r="A1274" t="s">
        <v>346</v>
      </c>
      <c r="B1274">
        <v>135724</v>
      </c>
      <c r="C1274" s="2">
        <v>100</v>
      </c>
      <c r="D1274" s="1">
        <v>44340</v>
      </c>
      <c r="E1274" t="str">
        <f>"10-738 4-16/2021"</f>
        <v>10-738 4-16/2021</v>
      </c>
      <c r="F1274" t="str">
        <f>"RESTITUTION/ROEL FLORES"</f>
        <v>RESTITUTION/ROEL FLORES</v>
      </c>
      <c r="G1274" s="2">
        <v>100</v>
      </c>
      <c r="H1274" t="str">
        <f>"RESTITUTION/ROEL FLORES"</f>
        <v>RESTITUTION/ROEL FLORES</v>
      </c>
    </row>
    <row r="1275" spans="1:8" x14ac:dyDescent="0.25">
      <c r="A1275" t="s">
        <v>347</v>
      </c>
      <c r="B1275">
        <v>4495</v>
      </c>
      <c r="C1275" s="2">
        <v>7405.03</v>
      </c>
      <c r="D1275" s="1">
        <v>44341</v>
      </c>
      <c r="E1275" t="str">
        <f>"27699"</f>
        <v>27699</v>
      </c>
      <c r="F1275" t="str">
        <f>"INV 27699"</f>
        <v>INV 27699</v>
      </c>
      <c r="G1275" s="2">
        <v>7405.03</v>
      </c>
      <c r="H1275" t="str">
        <f>"INV 27699"</f>
        <v>INV 27699</v>
      </c>
    </row>
    <row r="1276" spans="1:8" x14ac:dyDescent="0.25">
      <c r="A1276" t="s">
        <v>348</v>
      </c>
      <c r="B1276">
        <v>135725</v>
      </c>
      <c r="C1276" s="2">
        <v>75</v>
      </c>
      <c r="D1276" s="1">
        <v>44340</v>
      </c>
      <c r="E1276" t="str">
        <f>"24127"</f>
        <v>24127</v>
      </c>
      <c r="F1276" t="str">
        <f>"Snake Tongs"</f>
        <v>Snake Tongs</v>
      </c>
      <c r="G1276" s="2">
        <v>75</v>
      </c>
      <c r="H1276" t="str">
        <f>"Snake Tongs"</f>
        <v>Snake Tongs</v>
      </c>
    </row>
    <row r="1277" spans="1:8" x14ac:dyDescent="0.25">
      <c r="A1277" t="s">
        <v>349</v>
      </c>
      <c r="B1277">
        <v>135559</v>
      </c>
      <c r="C1277" s="2">
        <v>460.26</v>
      </c>
      <c r="D1277" s="1">
        <v>44326</v>
      </c>
      <c r="E1277" t="str">
        <f>"6868864"</f>
        <v>6868864</v>
      </c>
      <c r="F1277" t="str">
        <f>"CUST#339435/PCT#3"</f>
        <v>CUST#339435/PCT#3</v>
      </c>
      <c r="G1277" s="2">
        <v>460.26</v>
      </c>
      <c r="H1277" t="str">
        <f>"CUST#339435/PCT#3"</f>
        <v>CUST#339435/PCT#3</v>
      </c>
    </row>
    <row r="1278" spans="1:8" x14ac:dyDescent="0.25">
      <c r="A1278" t="s">
        <v>349</v>
      </c>
      <c r="B1278">
        <v>135726</v>
      </c>
      <c r="C1278" s="2">
        <v>194.12</v>
      </c>
      <c r="D1278" s="1">
        <v>44340</v>
      </c>
      <c r="E1278" t="str">
        <f>"6869960"</f>
        <v>6869960</v>
      </c>
      <c r="F1278" t="str">
        <f>"CUST#339435/PCT#3"</f>
        <v>CUST#339435/PCT#3</v>
      </c>
      <c r="G1278" s="2">
        <v>99.82</v>
      </c>
      <c r="H1278" t="str">
        <f>"CUST#339435/PCT#3"</f>
        <v>CUST#339435/PCT#3</v>
      </c>
    </row>
    <row r="1279" spans="1:8" x14ac:dyDescent="0.25">
      <c r="E1279" t="str">
        <f>"6877363"</f>
        <v>6877363</v>
      </c>
      <c r="F1279" t="str">
        <f>"CUST#339435/PCT#3"</f>
        <v>CUST#339435/PCT#3</v>
      </c>
      <c r="G1279" s="2">
        <v>94.3</v>
      </c>
      <c r="H1279" t="str">
        <f>"CUST#339435/PCT#3"</f>
        <v>CUST#339435/PCT#3</v>
      </c>
    </row>
    <row r="1280" spans="1:8" x14ac:dyDescent="0.25">
      <c r="A1280" t="s">
        <v>350</v>
      </c>
      <c r="B1280">
        <v>135727</v>
      </c>
      <c r="C1280" s="2">
        <v>483.45</v>
      </c>
      <c r="D1280" s="1">
        <v>44340</v>
      </c>
      <c r="E1280" t="str">
        <f>"515128"</f>
        <v>515128</v>
      </c>
      <c r="F1280" t="str">
        <f>"ORDER ID 515128"</f>
        <v>ORDER ID 515128</v>
      </c>
      <c r="G1280" s="2">
        <v>483.45</v>
      </c>
      <c r="H1280" t="str">
        <f>"ORDER ID 515128"</f>
        <v>ORDER ID 515128</v>
      </c>
    </row>
    <row r="1281" spans="1:8" x14ac:dyDescent="0.25">
      <c r="A1281" t="s">
        <v>351</v>
      </c>
      <c r="B1281">
        <v>135560</v>
      </c>
      <c r="C1281" s="2">
        <v>6000.6</v>
      </c>
      <c r="D1281" s="1">
        <v>44326</v>
      </c>
      <c r="E1281" t="str">
        <f>"9012863549"</f>
        <v>9012863549</v>
      </c>
      <c r="F1281" t="str">
        <f>"CUST#2000053103/ANIMAL SHELTER"</f>
        <v>CUST#2000053103/ANIMAL SHELTER</v>
      </c>
      <c r="G1281" s="2">
        <v>1296</v>
      </c>
      <c r="H1281" t="str">
        <f>"CUST#2000053103/ANIMAL SHELTER"</f>
        <v>CUST#2000053103/ANIMAL SHELTER</v>
      </c>
    </row>
    <row r="1282" spans="1:8" x14ac:dyDescent="0.25">
      <c r="E1282" t="str">
        <f>"9012984774"</f>
        <v>9012984774</v>
      </c>
      <c r="F1282" t="str">
        <f>"CUST#1000113183"</f>
        <v>CUST#1000113183</v>
      </c>
      <c r="G1282" s="2">
        <v>1215.7</v>
      </c>
      <c r="H1282" t="str">
        <f>"CUST#1000113183"</f>
        <v>CUST#1000113183</v>
      </c>
    </row>
    <row r="1283" spans="1:8" x14ac:dyDescent="0.25">
      <c r="E1283" t="str">
        <f>"9013027649"</f>
        <v>9013027649</v>
      </c>
      <c r="F1283" t="str">
        <f>"CUST#1000113183"</f>
        <v>CUST#1000113183</v>
      </c>
      <c r="G1283" s="2">
        <v>1070.4000000000001</v>
      </c>
      <c r="H1283" t="str">
        <f>"CUST#1000113183"</f>
        <v>CUST#1000113183</v>
      </c>
    </row>
    <row r="1284" spans="1:8" x14ac:dyDescent="0.25">
      <c r="E1284" t="str">
        <f>"9013037486"</f>
        <v>9013037486</v>
      </c>
      <c r="F1284" t="str">
        <f>"CUST#1000113183"</f>
        <v>CUST#1000113183</v>
      </c>
      <c r="G1284" s="2">
        <v>810.9</v>
      </c>
      <c r="H1284" t="str">
        <f>"CUST#1000113183"</f>
        <v>CUST#1000113183</v>
      </c>
    </row>
    <row r="1285" spans="1:8" x14ac:dyDescent="0.25">
      <c r="E1285" t="str">
        <f>"9013077512"</f>
        <v>9013077512</v>
      </c>
      <c r="F1285" t="str">
        <f>"CUST#1000113183"</f>
        <v>CUST#1000113183</v>
      </c>
      <c r="G1285" s="2">
        <v>1607.6</v>
      </c>
      <c r="H1285" t="str">
        <f>"CUST#1000113183"</f>
        <v>CUST#1000113183</v>
      </c>
    </row>
    <row r="1286" spans="1:8" x14ac:dyDescent="0.25">
      <c r="A1286" t="s">
        <v>351</v>
      </c>
      <c r="B1286">
        <v>135728</v>
      </c>
      <c r="C1286" s="2">
        <v>2565.15</v>
      </c>
      <c r="D1286" s="1">
        <v>44340</v>
      </c>
      <c r="E1286" t="str">
        <f>"9012710134"</f>
        <v>9012710134</v>
      </c>
      <c r="F1286" t="str">
        <f>"CUST#1000113183/ANIMAL SHELTER"</f>
        <v>CUST#1000113183/ANIMAL SHELTER</v>
      </c>
      <c r="G1286" s="2">
        <v>1078.3499999999999</v>
      </c>
      <c r="H1286" t="str">
        <f>"CUST#1000113183/ANIMAL SHELTER"</f>
        <v>CUST#1000113183/ANIMAL SHELTER</v>
      </c>
    </row>
    <row r="1287" spans="1:8" x14ac:dyDescent="0.25">
      <c r="E1287" t="str">
        <f>"9013089074"</f>
        <v>9013089074</v>
      </c>
      <c r="F1287" t="str">
        <f>"CUST#1000113183/ANIMAL SHELTER"</f>
        <v>CUST#1000113183/ANIMAL SHELTER</v>
      </c>
      <c r="G1287" s="2">
        <v>1006.4</v>
      </c>
      <c r="H1287" t="str">
        <f>"CUST#1000113183/ANIMAL SHELTER"</f>
        <v>CUST#1000113183/ANIMAL SHELTER</v>
      </c>
    </row>
    <row r="1288" spans="1:8" x14ac:dyDescent="0.25">
      <c r="E1288" t="str">
        <f>"9013185214"</f>
        <v>9013185214</v>
      </c>
      <c r="F1288" t="str">
        <f>"CUST#1000113183/ANIMAL SHELTER"</f>
        <v>CUST#1000113183/ANIMAL SHELTER</v>
      </c>
      <c r="G1288" s="2">
        <v>480.4</v>
      </c>
      <c r="H1288" t="str">
        <f>"CUST#1000113183/ANIMAL SHELTER"</f>
        <v>CUST#1000113183/ANIMAL SHELTER</v>
      </c>
    </row>
    <row r="1289" spans="1:8" x14ac:dyDescent="0.25">
      <c r="A1289" t="s">
        <v>352</v>
      </c>
      <c r="B1289">
        <v>4549</v>
      </c>
      <c r="C1289" s="2">
        <v>4750</v>
      </c>
      <c r="D1289" s="1">
        <v>44342</v>
      </c>
      <c r="E1289" t="str">
        <f>"1028-21-1"</f>
        <v>1028-21-1</v>
      </c>
      <c r="F1289" t="str">
        <f>"MOBILIZE/DEMOBILIZE SKID STEER"</f>
        <v>MOBILIZE/DEMOBILIZE SKID STEER</v>
      </c>
      <c r="G1289" s="2">
        <v>4750</v>
      </c>
      <c r="H1289" t="str">
        <f>"MOBILIZE/DEMOBILIZE SKID STEER"</f>
        <v>MOBILIZE/DEMOBILIZE SKID STEER</v>
      </c>
    </row>
    <row r="1290" spans="1:8" x14ac:dyDescent="0.25">
      <c r="A1290" t="s">
        <v>28</v>
      </c>
      <c r="B1290">
        <v>135561</v>
      </c>
      <c r="C1290" s="2">
        <v>37.99</v>
      </c>
      <c r="D1290" s="1">
        <v>44326</v>
      </c>
      <c r="E1290" t="str">
        <f>"202105053045"</f>
        <v>202105053045</v>
      </c>
      <c r="F1290" t="str">
        <f>"ACCT#011280/BOOT CAMP"</f>
        <v>ACCT#011280/BOOT CAMP</v>
      </c>
      <c r="G1290" s="2">
        <v>37.99</v>
      </c>
      <c r="H1290" t="str">
        <f>"ACCT#011280/BOOT CAMP"</f>
        <v>ACCT#011280/BOOT CAMP</v>
      </c>
    </row>
    <row r="1291" spans="1:8" x14ac:dyDescent="0.25">
      <c r="A1291" t="s">
        <v>35</v>
      </c>
      <c r="B1291">
        <v>135562</v>
      </c>
      <c r="C1291" s="2">
        <v>180.31</v>
      </c>
      <c r="D1291" s="1">
        <v>44326</v>
      </c>
      <c r="E1291" t="str">
        <f>"202105053055"</f>
        <v>202105053055</v>
      </c>
      <c r="F1291" t="str">
        <f>"ACCT#287290524359"</f>
        <v>ACCT#287290524359</v>
      </c>
      <c r="G1291" s="2">
        <v>180.31</v>
      </c>
      <c r="H1291" t="str">
        <f>"ACCT#287290524359"</f>
        <v>ACCT#287290524359</v>
      </c>
    </row>
    <row r="1292" spans="1:8" x14ac:dyDescent="0.25">
      <c r="A1292" t="s">
        <v>47</v>
      </c>
      <c r="B1292">
        <v>4471</v>
      </c>
      <c r="C1292" s="2">
        <v>29.5</v>
      </c>
      <c r="D1292" s="1">
        <v>44327</v>
      </c>
      <c r="E1292" t="str">
        <f>"202105042974"</f>
        <v>202105042974</v>
      </c>
      <c r="F1292" t="str">
        <f>"VEHICLE REGISTRATION FEES"</f>
        <v>VEHICLE REGISTRATION FEES</v>
      </c>
      <c r="G1292" s="2">
        <v>29.5</v>
      </c>
      <c r="H1292" t="str">
        <f>"VEHICLE REGISTRATION FEES"</f>
        <v>VEHICLE REGISTRATION FEES</v>
      </c>
    </row>
    <row r="1293" spans="1:8" x14ac:dyDescent="0.25">
      <c r="E1293" t="str">
        <f>""</f>
        <v/>
      </c>
      <c r="F1293" t="str">
        <f>""</f>
        <v/>
      </c>
      <c r="H1293" t="str">
        <f>"VEHICLE REGISTRATION FEES"</f>
        <v>VEHICLE REGISTRATION FEES</v>
      </c>
    </row>
    <row r="1294" spans="1:8" x14ac:dyDescent="0.25">
      <c r="A1294" t="s">
        <v>62</v>
      </c>
      <c r="B1294">
        <v>135584</v>
      </c>
      <c r="C1294" s="2">
        <v>197.26</v>
      </c>
      <c r="D1294" s="1">
        <v>44335</v>
      </c>
      <c r="E1294" t="str">
        <f>"202105193390"</f>
        <v>202105193390</v>
      </c>
      <c r="F1294" t="str">
        <f>"ACCT# 5000057374 / 05012021"</f>
        <v>ACCT# 5000057374 / 05012021</v>
      </c>
      <c r="G1294" s="2">
        <v>197.26</v>
      </c>
      <c r="H1294" t="str">
        <f>"ACCT# 5000057374 / 05012021"</f>
        <v>ACCT# 5000057374 / 05012021</v>
      </c>
    </row>
    <row r="1295" spans="1:8" x14ac:dyDescent="0.25">
      <c r="A1295" t="s">
        <v>70</v>
      </c>
      <c r="B1295">
        <v>1048</v>
      </c>
      <c r="C1295" s="2">
        <v>603.5</v>
      </c>
      <c r="D1295" s="1">
        <v>44326</v>
      </c>
      <c r="E1295" t="str">
        <f>"202105053019"</f>
        <v>202105053019</v>
      </c>
      <c r="F1295" t="str">
        <f>"Statement"</f>
        <v>Statement</v>
      </c>
      <c r="G1295" s="2">
        <v>603.5</v>
      </c>
      <c r="H1295" t="str">
        <f>"best buy"</f>
        <v>best buy</v>
      </c>
    </row>
    <row r="1296" spans="1:8" x14ac:dyDescent="0.25">
      <c r="E1296" t="str">
        <f>""</f>
        <v/>
      </c>
      <c r="F1296" t="str">
        <f>""</f>
        <v/>
      </c>
      <c r="H1296" t="str">
        <f>"lowes"</f>
        <v>lowes</v>
      </c>
    </row>
    <row r="1297" spans="1:8" x14ac:dyDescent="0.25">
      <c r="E1297" t="str">
        <f>""</f>
        <v/>
      </c>
      <c r="F1297" t="str">
        <f>""</f>
        <v/>
      </c>
      <c r="H1297" t="str">
        <f>"best buy"</f>
        <v>best buy</v>
      </c>
    </row>
    <row r="1298" spans="1:8" x14ac:dyDescent="0.25">
      <c r="A1298" t="s">
        <v>77</v>
      </c>
      <c r="B1298">
        <v>135563</v>
      </c>
      <c r="C1298" s="2">
        <v>2500</v>
      </c>
      <c r="D1298" s="1">
        <v>44326</v>
      </c>
      <c r="E1298" t="str">
        <f>"202105053049"</f>
        <v>202105053049</v>
      </c>
      <c r="F1298" t="str">
        <f>"DISTRICT ATTORNEY CAC FUNDS"</f>
        <v>DISTRICT ATTORNEY CAC FUNDS</v>
      </c>
      <c r="G1298" s="2">
        <v>2500</v>
      </c>
      <c r="H1298" t="str">
        <f>"DISTRICT ATTORNEY CAC FUNDS"</f>
        <v>DISTRICT ATTORNEY CAC FUNDS</v>
      </c>
    </row>
    <row r="1299" spans="1:8" x14ac:dyDescent="0.25">
      <c r="A1299" t="s">
        <v>90</v>
      </c>
      <c r="B1299">
        <v>4470</v>
      </c>
      <c r="C1299" s="2">
        <v>3142</v>
      </c>
      <c r="D1299" s="1">
        <v>44327</v>
      </c>
      <c r="E1299" t="str">
        <f>"23692"</f>
        <v>23692</v>
      </c>
      <c r="F1299" t="str">
        <f>"Cabling Bootcamp project"</f>
        <v>Cabling Bootcamp project</v>
      </c>
      <c r="G1299" s="2">
        <v>3142</v>
      </c>
      <c r="H1299" t="str">
        <f>"Material Total"</f>
        <v>Material Total</v>
      </c>
    </row>
    <row r="1300" spans="1:8" x14ac:dyDescent="0.25">
      <c r="E1300" t="str">
        <f>""</f>
        <v/>
      </c>
      <c r="F1300" t="str">
        <f>""</f>
        <v/>
      </c>
      <c r="H1300" t="str">
        <f>"Labor Total"</f>
        <v>Labor Total</v>
      </c>
    </row>
    <row r="1301" spans="1:8" x14ac:dyDescent="0.25">
      <c r="A1301" t="s">
        <v>353</v>
      </c>
      <c r="B1301">
        <v>135564</v>
      </c>
      <c r="C1301" s="2">
        <v>15000</v>
      </c>
      <c r="D1301" s="1">
        <v>44326</v>
      </c>
      <c r="E1301" t="str">
        <f>"202105032966"</f>
        <v>202105032966</v>
      </c>
      <c r="F1301" t="str">
        <f>"Mar-April Payment"</f>
        <v>Mar-April Payment</v>
      </c>
      <c r="G1301" s="2">
        <v>15000</v>
      </c>
      <c r="H1301" t="str">
        <f>"03/17/21-04/16/21"</f>
        <v>03/17/21-04/16/21</v>
      </c>
    </row>
    <row r="1302" spans="1:8" x14ac:dyDescent="0.25">
      <c r="A1302" t="s">
        <v>121</v>
      </c>
      <c r="B1302">
        <v>1074</v>
      </c>
      <c r="C1302" s="2">
        <v>1746712.5</v>
      </c>
      <c r="D1302" s="1">
        <v>44340</v>
      </c>
      <c r="E1302" t="str">
        <f>"202105193361"</f>
        <v>202105193361</v>
      </c>
      <c r="F1302" t="str">
        <f>"DEBT SERVICE PMT - SERIES 2012"</f>
        <v>DEBT SERVICE PMT - SERIES 2012</v>
      </c>
      <c r="G1302" s="2">
        <v>664700</v>
      </c>
      <c r="H1302" t="str">
        <f>"DEBT SERVICE PMT - SERIES 2012"</f>
        <v>DEBT SERVICE PMT - SERIES 2012</v>
      </c>
    </row>
    <row r="1303" spans="1:8" x14ac:dyDescent="0.25">
      <c r="E1303" t="str">
        <f>""</f>
        <v/>
      </c>
      <c r="F1303" t="str">
        <f>""</f>
        <v/>
      </c>
      <c r="H1303" t="str">
        <f>"DEBT SERVICE PMT - SERIES 2012"</f>
        <v>DEBT SERVICE PMT - SERIES 2012</v>
      </c>
    </row>
    <row r="1304" spans="1:8" x14ac:dyDescent="0.25">
      <c r="E1304" t="str">
        <f>"202105193363"</f>
        <v>202105193363</v>
      </c>
      <c r="F1304" t="str">
        <f>"DEBT SERVICE PMT - SERIES 2013"</f>
        <v>DEBT SERVICE PMT - SERIES 2013</v>
      </c>
      <c r="G1304" s="2">
        <v>1081012.5</v>
      </c>
      <c r="H1304" t="str">
        <f>"DEBT SERVICE PMT - SERIES 2013"</f>
        <v>DEBT SERVICE PMT - SERIES 2013</v>
      </c>
    </row>
    <row r="1305" spans="1:8" x14ac:dyDescent="0.25">
      <c r="E1305" t="str">
        <f>""</f>
        <v/>
      </c>
      <c r="F1305" t="str">
        <f>""</f>
        <v/>
      </c>
      <c r="H1305" t="str">
        <f>"DEBT SERVICE PMT - SERIES 2013"</f>
        <v>DEBT SERVICE PMT - SERIES 2013</v>
      </c>
    </row>
    <row r="1306" spans="1:8" x14ac:dyDescent="0.25">
      <c r="E1306" t="str">
        <f>"252-2380192"</f>
        <v>252-2380192</v>
      </c>
      <c r="F1306" t="str">
        <f>"PAYING AGENT FEE - SERIES 2012"</f>
        <v>PAYING AGENT FEE - SERIES 2012</v>
      </c>
      <c r="G1306" s="2">
        <v>500</v>
      </c>
      <c r="H1306" t="str">
        <f>"PAYING AGENT FEE - SERIES 2012"</f>
        <v>PAYING AGENT FEE - SERIES 2012</v>
      </c>
    </row>
    <row r="1307" spans="1:8" x14ac:dyDescent="0.25">
      <c r="E1307" t="str">
        <f>"252-2380211"</f>
        <v>252-2380211</v>
      </c>
      <c r="F1307" t="str">
        <f>"PAYING AGENT FEE - SERIES 2013"</f>
        <v>PAYING AGENT FEE - SERIES 2013</v>
      </c>
      <c r="G1307" s="2">
        <v>500</v>
      </c>
      <c r="H1307" t="str">
        <f>"PAYING AGENT FEE - SERIES 2013"</f>
        <v>PAYING AGENT FEE - SERIES 2013</v>
      </c>
    </row>
    <row r="1308" spans="1:8" x14ac:dyDescent="0.25">
      <c r="A1308" t="s">
        <v>175</v>
      </c>
      <c r="B1308">
        <v>135729</v>
      </c>
      <c r="C1308" s="2">
        <v>16.62</v>
      </c>
      <c r="D1308" s="1">
        <v>44340</v>
      </c>
      <c r="E1308" t="str">
        <f>"202507913"</f>
        <v>202507913</v>
      </c>
      <c r="F1308" t="str">
        <f>"ACCT#1595/BOOT CAMP"</f>
        <v>ACCT#1595/BOOT CAMP</v>
      </c>
      <c r="G1308" s="2">
        <v>16.62</v>
      </c>
      <c r="H1308" t="str">
        <f>"ACCT#1595/BOOT CAMP"</f>
        <v>ACCT#1595/BOOT CAMP</v>
      </c>
    </row>
    <row r="1309" spans="1:8" x14ac:dyDescent="0.25">
      <c r="A1309" t="s">
        <v>354</v>
      </c>
      <c r="B1309">
        <v>4548</v>
      </c>
      <c r="C1309" s="2">
        <v>25900</v>
      </c>
      <c r="D1309" s="1">
        <v>44341</v>
      </c>
      <c r="E1309" t="str">
        <f>"4298"</f>
        <v>4298</v>
      </c>
      <c r="F1309" t="str">
        <f>"GLO INFRASTRUCTURE/#19-076-046"</f>
        <v>GLO INFRASTRUCTURE/#19-076-046</v>
      </c>
      <c r="G1309" s="2">
        <v>25900</v>
      </c>
      <c r="H1309" t="str">
        <f>"GLO INFRASTRUCTURE/#19-076-046"</f>
        <v>GLO INFRASTRUCTURE/#19-076-046</v>
      </c>
    </row>
    <row r="1310" spans="1:8" x14ac:dyDescent="0.25">
      <c r="A1310" t="s">
        <v>214</v>
      </c>
      <c r="B1310">
        <v>135565</v>
      </c>
      <c r="C1310" s="2">
        <v>159800</v>
      </c>
      <c r="D1310" s="1">
        <v>44326</v>
      </c>
      <c r="E1310" t="str">
        <f>"24110"</f>
        <v>24110</v>
      </c>
      <c r="F1310" t="str">
        <f>"Lifecycle Upgrade"</f>
        <v>Lifecycle Upgrade</v>
      </c>
      <c r="G1310" s="2">
        <v>159800</v>
      </c>
      <c r="H1310" t="str">
        <f>"Lifecycle Upgrd 10%"</f>
        <v>Lifecycle Upgrd 10%</v>
      </c>
    </row>
    <row r="1311" spans="1:8" x14ac:dyDescent="0.25">
      <c r="A1311" t="s">
        <v>250</v>
      </c>
      <c r="B1311">
        <v>4547</v>
      </c>
      <c r="C1311" s="2">
        <v>168.16</v>
      </c>
      <c r="D1311" s="1">
        <v>44341</v>
      </c>
      <c r="E1311" t="str">
        <f>"202105193331"</f>
        <v>202105193331</v>
      </c>
      <c r="F1311" t="str">
        <f>"CUST#12848097"</f>
        <v>CUST#12848097</v>
      </c>
      <c r="G1311" s="2">
        <v>168.16</v>
      </c>
      <c r="H1311" t="str">
        <f>"CUST#12848097"</f>
        <v>CUST#12848097</v>
      </c>
    </row>
    <row r="1312" spans="1:8" x14ac:dyDescent="0.25">
      <c r="A1312" t="s">
        <v>267</v>
      </c>
      <c r="B1312">
        <v>135566</v>
      </c>
      <c r="C1312" s="2">
        <v>1462.36</v>
      </c>
      <c r="D1312" s="1">
        <v>44326</v>
      </c>
      <c r="E1312" t="str">
        <f>"20270699"</f>
        <v>20270699</v>
      </c>
      <c r="F1312" t="str">
        <f>"SHI order Bootcamp"</f>
        <v>SHI order Bootcamp</v>
      </c>
      <c r="G1312" s="2">
        <v>1462.36</v>
      </c>
      <c r="H1312" t="str">
        <f>"CISCO IP PHONE 8811"</f>
        <v>CISCO IP PHONE 8811</v>
      </c>
    </row>
    <row r="1313" spans="1:8" x14ac:dyDescent="0.25">
      <c r="E1313" t="str">
        <f>""</f>
        <v/>
      </c>
      <c r="F1313" t="str">
        <f>""</f>
        <v/>
      </c>
      <c r="H1313" t="str">
        <f>"MERAKI MR33"</f>
        <v>MERAKI MR33</v>
      </c>
    </row>
    <row r="1314" spans="1:8" x14ac:dyDescent="0.25">
      <c r="E1314" t="str">
        <f>""</f>
        <v/>
      </c>
      <c r="F1314" t="str">
        <f>""</f>
        <v/>
      </c>
      <c r="H1314" t="str">
        <f>"MERAKI MR LICENSE"</f>
        <v>MERAKI MR LICENSE</v>
      </c>
    </row>
    <row r="1315" spans="1:8" x14ac:dyDescent="0.25">
      <c r="A1315" t="s">
        <v>310</v>
      </c>
      <c r="B1315">
        <v>135567</v>
      </c>
      <c r="C1315" s="2">
        <v>23394.16</v>
      </c>
      <c r="D1315" s="1">
        <v>44326</v>
      </c>
      <c r="E1315" t="str">
        <f>"9-4927"</f>
        <v>9-4927</v>
      </c>
      <c r="F1315" t="str">
        <f>"Task Order #6"</f>
        <v>Task Order #6</v>
      </c>
      <c r="G1315" s="2">
        <v>23394.16</v>
      </c>
      <c r="H1315" t="str">
        <f>"Task Order #6"</f>
        <v>Task Order #6</v>
      </c>
    </row>
    <row r="1316" spans="1:8" x14ac:dyDescent="0.25">
      <c r="A1316" t="s">
        <v>355</v>
      </c>
      <c r="B1316">
        <v>1085</v>
      </c>
      <c r="C1316" s="2">
        <v>4447.71</v>
      </c>
      <c r="D1316" s="1">
        <v>44342</v>
      </c>
      <c r="E1316" t="str">
        <f>"202105263441"</f>
        <v>202105263441</v>
      </c>
      <c r="F1316" t="str">
        <f>"ROUNDING - MAY 2021"</f>
        <v>ROUNDING - MAY 2021</v>
      </c>
      <c r="G1316" s="2">
        <v>0.03</v>
      </c>
      <c r="H1316" t="str">
        <f>"ROUNDING - MAY 2021"</f>
        <v>ROUNDING - MAY 2021</v>
      </c>
    </row>
    <row r="1317" spans="1:8" x14ac:dyDescent="0.25">
      <c r="E1317" t="str">
        <f>"AS 202105123160"</f>
        <v>AS 202105123160</v>
      </c>
      <c r="F1317" t="str">
        <f t="shared" ref="F1317:F1330" si="13">"ALLSTATE"</f>
        <v>ALLSTATE</v>
      </c>
      <c r="G1317" s="2">
        <v>397.52</v>
      </c>
      <c r="H1317" t="str">
        <f t="shared" ref="H1317:H1330" si="14">"ALLSTATE"</f>
        <v>ALLSTATE</v>
      </c>
    </row>
    <row r="1318" spans="1:8" x14ac:dyDescent="0.25">
      <c r="E1318" t="str">
        <f>"AS 202105123161"</f>
        <v>AS 202105123161</v>
      </c>
      <c r="F1318" t="str">
        <f t="shared" si="13"/>
        <v>ALLSTATE</v>
      </c>
      <c r="G1318" s="2">
        <v>27.14</v>
      </c>
      <c r="H1318" t="str">
        <f t="shared" si="14"/>
        <v>ALLSTATE</v>
      </c>
    </row>
    <row r="1319" spans="1:8" x14ac:dyDescent="0.25">
      <c r="E1319" t="str">
        <f>"AS 202105263414"</f>
        <v>AS 202105263414</v>
      </c>
      <c r="F1319" t="str">
        <f t="shared" si="13"/>
        <v>ALLSTATE</v>
      </c>
      <c r="G1319" s="2">
        <v>397.52</v>
      </c>
      <c r="H1319" t="str">
        <f t="shared" si="14"/>
        <v>ALLSTATE</v>
      </c>
    </row>
    <row r="1320" spans="1:8" x14ac:dyDescent="0.25">
      <c r="E1320" t="str">
        <f>"AS 202105263415"</f>
        <v>AS 202105263415</v>
      </c>
      <c r="F1320" t="str">
        <f t="shared" si="13"/>
        <v>ALLSTATE</v>
      </c>
      <c r="G1320" s="2">
        <v>27.14</v>
      </c>
      <c r="H1320" t="str">
        <f t="shared" si="14"/>
        <v>ALLSTATE</v>
      </c>
    </row>
    <row r="1321" spans="1:8" x14ac:dyDescent="0.25">
      <c r="E1321" t="str">
        <f>"ASD202105123160"</f>
        <v>ASD202105123160</v>
      </c>
      <c r="F1321" t="str">
        <f t="shared" si="13"/>
        <v>ALLSTATE</v>
      </c>
      <c r="G1321" s="2">
        <v>170.21</v>
      </c>
      <c r="H1321" t="str">
        <f t="shared" si="14"/>
        <v>ALLSTATE</v>
      </c>
    </row>
    <row r="1322" spans="1:8" x14ac:dyDescent="0.25">
      <c r="E1322" t="str">
        <f>"ASD202105263414"</f>
        <v>ASD202105263414</v>
      </c>
      <c r="F1322" t="str">
        <f t="shared" si="13"/>
        <v>ALLSTATE</v>
      </c>
      <c r="G1322" s="2">
        <v>170.21</v>
      </c>
      <c r="H1322" t="str">
        <f t="shared" si="14"/>
        <v>ALLSTATE</v>
      </c>
    </row>
    <row r="1323" spans="1:8" x14ac:dyDescent="0.25">
      <c r="E1323" t="str">
        <f>"ASI202105123160"</f>
        <v>ASI202105123160</v>
      </c>
      <c r="F1323" t="str">
        <f t="shared" si="13"/>
        <v>ALLSTATE</v>
      </c>
      <c r="G1323" s="2">
        <v>541.08000000000004</v>
      </c>
      <c r="H1323" t="str">
        <f t="shared" si="14"/>
        <v>ALLSTATE</v>
      </c>
    </row>
    <row r="1324" spans="1:8" x14ac:dyDescent="0.25">
      <c r="E1324" t="str">
        <f>"ASI202105123161"</f>
        <v>ASI202105123161</v>
      </c>
      <c r="F1324" t="str">
        <f t="shared" si="13"/>
        <v>ALLSTATE</v>
      </c>
      <c r="G1324" s="2">
        <v>67.150000000000006</v>
      </c>
      <c r="H1324" t="str">
        <f t="shared" si="14"/>
        <v>ALLSTATE</v>
      </c>
    </row>
    <row r="1325" spans="1:8" x14ac:dyDescent="0.25">
      <c r="E1325" t="str">
        <f>"ASI202105263414"</f>
        <v>ASI202105263414</v>
      </c>
      <c r="F1325" t="str">
        <f t="shared" si="13"/>
        <v>ALLSTATE</v>
      </c>
      <c r="G1325" s="2">
        <v>532.82000000000005</v>
      </c>
      <c r="H1325" t="str">
        <f t="shared" si="14"/>
        <v>ALLSTATE</v>
      </c>
    </row>
    <row r="1326" spans="1:8" x14ac:dyDescent="0.25">
      <c r="E1326" t="str">
        <f>"ASI202105263415"</f>
        <v>ASI202105263415</v>
      </c>
      <c r="F1326" t="str">
        <f t="shared" si="13"/>
        <v>ALLSTATE</v>
      </c>
      <c r="G1326" s="2">
        <v>67.150000000000006</v>
      </c>
      <c r="H1326" t="str">
        <f t="shared" si="14"/>
        <v>ALLSTATE</v>
      </c>
    </row>
    <row r="1327" spans="1:8" x14ac:dyDescent="0.25">
      <c r="E1327" t="str">
        <f>"AST202105123160"</f>
        <v>AST202105123160</v>
      </c>
      <c r="F1327" t="str">
        <f t="shared" si="13"/>
        <v>ALLSTATE</v>
      </c>
      <c r="G1327" s="2">
        <v>993.46</v>
      </c>
      <c r="H1327" t="str">
        <f t="shared" si="14"/>
        <v>ALLSTATE</v>
      </c>
    </row>
    <row r="1328" spans="1:8" x14ac:dyDescent="0.25">
      <c r="E1328" t="str">
        <f>"AST202105123161"</f>
        <v>AST202105123161</v>
      </c>
      <c r="F1328" t="str">
        <f t="shared" si="13"/>
        <v>ALLSTATE</v>
      </c>
      <c r="G1328" s="2">
        <v>31.41</v>
      </c>
      <c r="H1328" t="str">
        <f t="shared" si="14"/>
        <v>ALLSTATE</v>
      </c>
    </row>
    <row r="1329" spans="1:8" x14ac:dyDescent="0.25">
      <c r="E1329" t="str">
        <f>"AST202105263414"</f>
        <v>AST202105263414</v>
      </c>
      <c r="F1329" t="str">
        <f t="shared" si="13"/>
        <v>ALLSTATE</v>
      </c>
      <c r="G1329" s="2">
        <v>993.46</v>
      </c>
      <c r="H1329" t="str">
        <f t="shared" si="14"/>
        <v>ALLSTATE</v>
      </c>
    </row>
    <row r="1330" spans="1:8" x14ac:dyDescent="0.25">
      <c r="E1330" t="str">
        <f>"AST202105263415"</f>
        <v>AST202105263415</v>
      </c>
      <c r="F1330" t="str">
        <f t="shared" si="13"/>
        <v>ALLSTATE</v>
      </c>
      <c r="G1330" s="2">
        <v>31.41</v>
      </c>
      <c r="H1330" t="str">
        <f t="shared" si="14"/>
        <v>ALLSTATE</v>
      </c>
    </row>
    <row r="1331" spans="1:8" x14ac:dyDescent="0.25">
      <c r="A1331" t="s">
        <v>356</v>
      </c>
      <c r="B1331">
        <v>1087</v>
      </c>
      <c r="C1331" s="2">
        <v>26706.22</v>
      </c>
      <c r="D1331" s="1">
        <v>44344</v>
      </c>
      <c r="E1331" t="str">
        <f>"202105263446"</f>
        <v>202105263446</v>
      </c>
      <c r="F1331" t="str">
        <f>"RETIREE INS - MAY 2021"</f>
        <v>RETIREE INS - MAY 2021</v>
      </c>
      <c r="G1331" s="2">
        <v>26706.22</v>
      </c>
      <c r="H1331" t="str">
        <f>"RETIREE INS - MAY 2021"</f>
        <v>RETIREE INS - MAY 2021</v>
      </c>
    </row>
    <row r="1332" spans="1:8" x14ac:dyDescent="0.25">
      <c r="A1332" t="s">
        <v>357</v>
      </c>
      <c r="B1332">
        <v>1051</v>
      </c>
      <c r="C1332" s="2">
        <v>1814.92</v>
      </c>
      <c r="D1332" s="1">
        <v>44330</v>
      </c>
      <c r="E1332" t="str">
        <f>"DHM202105123162"</f>
        <v>DHM202105123162</v>
      </c>
      <c r="F1332" t="str">
        <f>"AP - DENTAL HMO"</f>
        <v>AP - DENTAL HMO</v>
      </c>
      <c r="G1332" s="2">
        <v>33.590000000000003</v>
      </c>
      <c r="H1332" t="str">
        <f>"AP - DENTAL HMO"</f>
        <v>AP - DENTAL HMO</v>
      </c>
    </row>
    <row r="1333" spans="1:8" x14ac:dyDescent="0.25">
      <c r="E1333" t="str">
        <f>"DTX202105123162"</f>
        <v>DTX202105123162</v>
      </c>
      <c r="F1333" t="str">
        <f>"AP - TEXAS DENTAL"</f>
        <v>AP - TEXAS DENTAL</v>
      </c>
      <c r="G1333" s="2">
        <v>359.12</v>
      </c>
      <c r="H1333" t="str">
        <f>"AP - TEXAS DENTAL"</f>
        <v>AP - TEXAS DENTAL</v>
      </c>
    </row>
    <row r="1334" spans="1:8" x14ac:dyDescent="0.25">
      <c r="E1334" t="str">
        <f>"FD 202105123162"</f>
        <v>FD 202105123162</v>
      </c>
      <c r="F1334" t="str">
        <f>"AP - FT DEARBORN PRE-TAX"</f>
        <v>AP - FT DEARBORN PRE-TAX</v>
      </c>
      <c r="G1334" s="2">
        <v>70.8</v>
      </c>
      <c r="H1334" t="str">
        <f>"AP - FT DEARBORN PRE-TAX"</f>
        <v>AP - FT DEARBORN PRE-TAX</v>
      </c>
    </row>
    <row r="1335" spans="1:8" x14ac:dyDescent="0.25">
      <c r="E1335" t="str">
        <f>"FDT202105123162"</f>
        <v>FDT202105123162</v>
      </c>
      <c r="F1335" t="str">
        <f>"AP - FT DEARBORN AFTER TAX"</f>
        <v>AP - FT DEARBORN AFTER TAX</v>
      </c>
      <c r="G1335" s="2">
        <v>79.62</v>
      </c>
      <c r="H1335" t="str">
        <f>"AP - FT DEARBORN AFTER TAX"</f>
        <v>AP - FT DEARBORN AFTER TAX</v>
      </c>
    </row>
    <row r="1336" spans="1:8" x14ac:dyDescent="0.25">
      <c r="E1336" t="str">
        <f>"FLX202105123162"</f>
        <v>FLX202105123162</v>
      </c>
      <c r="F1336" t="str">
        <f>"AP - TEX FLEX"</f>
        <v>AP - TEX FLEX</v>
      </c>
      <c r="G1336" s="2">
        <v>94.5</v>
      </c>
      <c r="H1336" t="str">
        <f>"AP - TEX FLEX"</f>
        <v>AP - TEX FLEX</v>
      </c>
    </row>
    <row r="1337" spans="1:8" x14ac:dyDescent="0.25">
      <c r="E1337" t="str">
        <f>"HSA202105123162"</f>
        <v>HSA202105123162</v>
      </c>
      <c r="F1337" t="str">
        <f>"AP- HSA"</f>
        <v>AP- HSA</v>
      </c>
      <c r="G1337" s="2">
        <v>20</v>
      </c>
      <c r="H1337" t="str">
        <f>"AP- HSA"</f>
        <v>AP- HSA</v>
      </c>
    </row>
    <row r="1338" spans="1:8" x14ac:dyDescent="0.25">
      <c r="E1338" t="str">
        <f>"MHS202105123162"</f>
        <v>MHS202105123162</v>
      </c>
      <c r="F1338" t="str">
        <f>"AP - HEALTH SELECT MEDICAL"</f>
        <v>AP - HEALTH SELECT MEDICAL</v>
      </c>
      <c r="G1338" s="2">
        <v>718.14</v>
      </c>
      <c r="H1338" t="str">
        <f>"AP - HEALTH SELECT MEDICAL"</f>
        <v>AP - HEALTH SELECT MEDICAL</v>
      </c>
    </row>
    <row r="1339" spans="1:8" x14ac:dyDescent="0.25">
      <c r="E1339" t="str">
        <f>"MSW202105123162"</f>
        <v>MSW202105123162</v>
      </c>
      <c r="F1339" t="str">
        <f>"AP - SCOTT &amp; WHITE MEDICAL"</f>
        <v>AP - SCOTT &amp; WHITE MEDICAL</v>
      </c>
      <c r="G1339" s="2">
        <v>372.42</v>
      </c>
      <c r="H1339" t="str">
        <f>"AP - SCOTT &amp; WHITE MEDICAL"</f>
        <v>AP - SCOTT &amp; WHITE MEDICAL</v>
      </c>
    </row>
    <row r="1340" spans="1:8" x14ac:dyDescent="0.25">
      <c r="E1340" t="str">
        <f>"SPE202105123162"</f>
        <v>SPE202105123162</v>
      </c>
      <c r="F1340" t="str">
        <f>"AP - STATE VISION"</f>
        <v>AP - STATE VISION</v>
      </c>
      <c r="G1340" s="2">
        <v>66.73</v>
      </c>
      <c r="H1340" t="str">
        <f>"AP - STATE VISION"</f>
        <v>AP - STATE VISION</v>
      </c>
    </row>
    <row r="1341" spans="1:8" x14ac:dyDescent="0.25">
      <c r="A1341" t="s">
        <v>357</v>
      </c>
      <c r="B1341">
        <v>1079</v>
      </c>
      <c r="C1341" s="2">
        <v>1814.92</v>
      </c>
      <c r="D1341" s="1">
        <v>44344</v>
      </c>
      <c r="E1341" t="str">
        <f>"DHM202105263416"</f>
        <v>DHM202105263416</v>
      </c>
      <c r="F1341" t="str">
        <f>"AP - DENTAL HMO"</f>
        <v>AP - DENTAL HMO</v>
      </c>
      <c r="G1341" s="2">
        <v>33.590000000000003</v>
      </c>
      <c r="H1341" t="str">
        <f>"AP - DENTAL HMO"</f>
        <v>AP - DENTAL HMO</v>
      </c>
    </row>
    <row r="1342" spans="1:8" x14ac:dyDescent="0.25">
      <c r="E1342" t="str">
        <f>"DTX202105263416"</f>
        <v>DTX202105263416</v>
      </c>
      <c r="F1342" t="str">
        <f>"AP - TEXAS DENTAL"</f>
        <v>AP - TEXAS DENTAL</v>
      </c>
      <c r="G1342" s="2">
        <v>359.12</v>
      </c>
      <c r="H1342" t="str">
        <f>"AP - TEXAS DENTAL"</f>
        <v>AP - TEXAS DENTAL</v>
      </c>
    </row>
    <row r="1343" spans="1:8" x14ac:dyDescent="0.25">
      <c r="E1343" t="str">
        <f>"FD 202105263416"</f>
        <v>FD 202105263416</v>
      </c>
      <c r="F1343" t="str">
        <f>"AP - FT DEARBORN PRE-TAX"</f>
        <v>AP - FT DEARBORN PRE-TAX</v>
      </c>
      <c r="G1343" s="2">
        <v>70.8</v>
      </c>
      <c r="H1343" t="str">
        <f>"AP - FT DEARBORN PRE-TAX"</f>
        <v>AP - FT DEARBORN PRE-TAX</v>
      </c>
    </row>
    <row r="1344" spans="1:8" x14ac:dyDescent="0.25">
      <c r="E1344" t="str">
        <f>"FDT202105263416"</f>
        <v>FDT202105263416</v>
      </c>
      <c r="F1344" t="str">
        <f>"AP - FT DEARBORN AFTER TAX"</f>
        <v>AP - FT DEARBORN AFTER TAX</v>
      </c>
      <c r="G1344" s="2">
        <v>79.62</v>
      </c>
      <c r="H1344" t="str">
        <f>"AP - FT DEARBORN AFTER TAX"</f>
        <v>AP - FT DEARBORN AFTER TAX</v>
      </c>
    </row>
    <row r="1345" spans="1:8" x14ac:dyDescent="0.25">
      <c r="E1345" t="str">
        <f>"FLX202105263416"</f>
        <v>FLX202105263416</v>
      </c>
      <c r="F1345" t="str">
        <f>"AP - TEX FLEX"</f>
        <v>AP - TEX FLEX</v>
      </c>
      <c r="G1345" s="2">
        <v>94.5</v>
      </c>
      <c r="H1345" t="str">
        <f>"AP - TEX FLEX"</f>
        <v>AP - TEX FLEX</v>
      </c>
    </row>
    <row r="1346" spans="1:8" x14ac:dyDescent="0.25">
      <c r="E1346" t="str">
        <f>"HSA202105263416"</f>
        <v>HSA202105263416</v>
      </c>
      <c r="F1346" t="str">
        <f>"AP- HSA"</f>
        <v>AP- HSA</v>
      </c>
      <c r="G1346" s="2">
        <v>20</v>
      </c>
      <c r="H1346" t="str">
        <f>"AP- HSA"</f>
        <v>AP- HSA</v>
      </c>
    </row>
    <row r="1347" spans="1:8" x14ac:dyDescent="0.25">
      <c r="E1347" t="str">
        <f>"MHS202105263416"</f>
        <v>MHS202105263416</v>
      </c>
      <c r="F1347" t="str">
        <f>"AP - HEALTH SELECT MEDICAL"</f>
        <v>AP - HEALTH SELECT MEDICAL</v>
      </c>
      <c r="G1347" s="2">
        <v>718.14</v>
      </c>
      <c r="H1347" t="str">
        <f>"AP - HEALTH SELECT MEDICAL"</f>
        <v>AP - HEALTH SELECT MEDICAL</v>
      </c>
    </row>
    <row r="1348" spans="1:8" x14ac:dyDescent="0.25">
      <c r="E1348" t="str">
        <f>"MSW202105263416"</f>
        <v>MSW202105263416</v>
      </c>
      <c r="F1348" t="str">
        <f>"AP - SCOTT &amp; WHITE MEDICAL"</f>
        <v>AP - SCOTT &amp; WHITE MEDICAL</v>
      </c>
      <c r="G1348" s="2">
        <v>372.42</v>
      </c>
      <c r="H1348" t="str">
        <f>"AP - SCOTT &amp; WHITE MEDICAL"</f>
        <v>AP - SCOTT &amp; WHITE MEDICAL</v>
      </c>
    </row>
    <row r="1349" spans="1:8" x14ac:dyDescent="0.25">
      <c r="E1349" t="str">
        <f>"SPE202105263416"</f>
        <v>SPE202105263416</v>
      </c>
      <c r="F1349" t="str">
        <f>"AP - STATE VISION"</f>
        <v>AP - STATE VISION</v>
      </c>
      <c r="G1349" s="2">
        <v>66.73</v>
      </c>
      <c r="H1349" t="str">
        <f>"AP - STATE VISION"</f>
        <v>AP - STATE VISION</v>
      </c>
    </row>
    <row r="1350" spans="1:8" x14ac:dyDescent="0.25">
      <c r="A1350" t="s">
        <v>358</v>
      </c>
      <c r="B1350">
        <v>1086</v>
      </c>
      <c r="C1350" s="2">
        <v>4425.88</v>
      </c>
      <c r="D1350" s="1">
        <v>44342</v>
      </c>
      <c r="E1350" t="str">
        <f>"202105263442"</f>
        <v>202105263442</v>
      </c>
      <c r="F1350" t="str">
        <f>"ROUNDING - MAY 2021"</f>
        <v>ROUNDING - MAY 2021</v>
      </c>
      <c r="G1350" s="2">
        <v>0.44</v>
      </c>
      <c r="H1350" t="str">
        <f>"ROUNDING - MAY 2021"</f>
        <v>ROUNDING - MAY 2021</v>
      </c>
    </row>
    <row r="1351" spans="1:8" x14ac:dyDescent="0.25">
      <c r="E1351" t="str">
        <f>"CL 202105123160"</f>
        <v>CL 202105123160</v>
      </c>
      <c r="F1351" t="str">
        <f t="shared" ref="F1351:F1370" si="15">"COLONIAL"</f>
        <v>COLONIAL</v>
      </c>
      <c r="G1351" s="2">
        <v>539.33000000000004</v>
      </c>
      <c r="H1351" t="str">
        <f t="shared" ref="H1351:H1370" si="16">"COLONIAL"</f>
        <v>COLONIAL</v>
      </c>
    </row>
    <row r="1352" spans="1:8" x14ac:dyDescent="0.25">
      <c r="E1352" t="str">
        <f>"CL 202105123161"</f>
        <v>CL 202105123161</v>
      </c>
      <c r="F1352" t="str">
        <f t="shared" si="15"/>
        <v>COLONIAL</v>
      </c>
      <c r="G1352" s="2">
        <v>14.49</v>
      </c>
      <c r="H1352" t="str">
        <f t="shared" si="16"/>
        <v>COLONIAL</v>
      </c>
    </row>
    <row r="1353" spans="1:8" x14ac:dyDescent="0.25">
      <c r="E1353" t="str">
        <f>"CL 202105263414"</f>
        <v>CL 202105263414</v>
      </c>
      <c r="F1353" t="str">
        <f t="shared" si="15"/>
        <v>COLONIAL</v>
      </c>
      <c r="G1353" s="2">
        <v>539.33000000000004</v>
      </c>
      <c r="H1353" t="str">
        <f t="shared" si="16"/>
        <v>COLONIAL</v>
      </c>
    </row>
    <row r="1354" spans="1:8" x14ac:dyDescent="0.25">
      <c r="E1354" t="str">
        <f>"CL 202105263415"</f>
        <v>CL 202105263415</v>
      </c>
      <c r="F1354" t="str">
        <f t="shared" si="15"/>
        <v>COLONIAL</v>
      </c>
      <c r="G1354" s="2">
        <v>14.49</v>
      </c>
      <c r="H1354" t="str">
        <f t="shared" si="16"/>
        <v>COLONIAL</v>
      </c>
    </row>
    <row r="1355" spans="1:8" x14ac:dyDescent="0.25">
      <c r="E1355" t="str">
        <f>"CLC202105123160"</f>
        <v>CLC202105123160</v>
      </c>
      <c r="F1355" t="str">
        <f t="shared" si="15"/>
        <v>COLONIAL</v>
      </c>
      <c r="G1355" s="2">
        <v>33.99</v>
      </c>
      <c r="H1355" t="str">
        <f t="shared" si="16"/>
        <v>COLONIAL</v>
      </c>
    </row>
    <row r="1356" spans="1:8" x14ac:dyDescent="0.25">
      <c r="E1356" t="str">
        <f>"CLC202105263414"</f>
        <v>CLC202105263414</v>
      </c>
      <c r="F1356" t="str">
        <f t="shared" si="15"/>
        <v>COLONIAL</v>
      </c>
      <c r="G1356" s="2">
        <v>33.99</v>
      </c>
      <c r="H1356" t="str">
        <f t="shared" si="16"/>
        <v>COLONIAL</v>
      </c>
    </row>
    <row r="1357" spans="1:8" x14ac:dyDescent="0.25">
      <c r="E1357" t="str">
        <f>"CLI202105123160"</f>
        <v>CLI202105123160</v>
      </c>
      <c r="F1357" t="str">
        <f t="shared" si="15"/>
        <v>COLONIAL</v>
      </c>
      <c r="G1357" s="2">
        <v>538.16999999999996</v>
      </c>
      <c r="H1357" t="str">
        <f t="shared" si="16"/>
        <v>COLONIAL</v>
      </c>
    </row>
    <row r="1358" spans="1:8" x14ac:dyDescent="0.25">
      <c r="E1358" t="str">
        <f>"CLI202105263414"</f>
        <v>CLI202105263414</v>
      </c>
      <c r="F1358" t="str">
        <f t="shared" si="15"/>
        <v>COLONIAL</v>
      </c>
      <c r="G1358" s="2">
        <v>538.16999999999996</v>
      </c>
      <c r="H1358" t="str">
        <f t="shared" si="16"/>
        <v>COLONIAL</v>
      </c>
    </row>
    <row r="1359" spans="1:8" x14ac:dyDescent="0.25">
      <c r="E1359" t="str">
        <f>"CLK202105123160"</f>
        <v>CLK202105123160</v>
      </c>
      <c r="F1359" t="str">
        <f t="shared" si="15"/>
        <v>COLONIAL</v>
      </c>
      <c r="G1359" s="2">
        <v>27.09</v>
      </c>
      <c r="H1359" t="str">
        <f t="shared" si="16"/>
        <v>COLONIAL</v>
      </c>
    </row>
    <row r="1360" spans="1:8" x14ac:dyDescent="0.25">
      <c r="E1360" t="str">
        <f>"CLK202105263414"</f>
        <v>CLK202105263414</v>
      </c>
      <c r="F1360" t="str">
        <f t="shared" si="15"/>
        <v>COLONIAL</v>
      </c>
      <c r="G1360" s="2">
        <v>27.09</v>
      </c>
      <c r="H1360" t="str">
        <f t="shared" si="16"/>
        <v>COLONIAL</v>
      </c>
    </row>
    <row r="1361" spans="1:8" x14ac:dyDescent="0.25">
      <c r="E1361" t="str">
        <f>"CLS202105123160"</f>
        <v>CLS202105123160</v>
      </c>
      <c r="F1361" t="str">
        <f t="shared" si="15"/>
        <v>COLONIAL</v>
      </c>
      <c r="G1361" s="2">
        <v>405.36</v>
      </c>
      <c r="H1361" t="str">
        <f t="shared" si="16"/>
        <v>COLONIAL</v>
      </c>
    </row>
    <row r="1362" spans="1:8" x14ac:dyDescent="0.25">
      <c r="E1362" t="str">
        <f>"CLS202105123161"</f>
        <v>CLS202105123161</v>
      </c>
      <c r="F1362" t="str">
        <f t="shared" si="15"/>
        <v>COLONIAL</v>
      </c>
      <c r="G1362" s="2">
        <v>15.73</v>
      </c>
      <c r="H1362" t="str">
        <f t="shared" si="16"/>
        <v>COLONIAL</v>
      </c>
    </row>
    <row r="1363" spans="1:8" x14ac:dyDescent="0.25">
      <c r="E1363" t="str">
        <f>"CLS202105263414"</f>
        <v>CLS202105263414</v>
      </c>
      <c r="F1363" t="str">
        <f t="shared" si="15"/>
        <v>COLONIAL</v>
      </c>
      <c r="G1363" s="2">
        <v>405.36</v>
      </c>
      <c r="H1363" t="str">
        <f t="shared" si="16"/>
        <v>COLONIAL</v>
      </c>
    </row>
    <row r="1364" spans="1:8" x14ac:dyDescent="0.25">
      <c r="E1364" t="str">
        <f>"CLS202105263415"</f>
        <v>CLS202105263415</v>
      </c>
      <c r="F1364" t="str">
        <f t="shared" si="15"/>
        <v>COLONIAL</v>
      </c>
      <c r="G1364" s="2">
        <v>15.73</v>
      </c>
      <c r="H1364" t="str">
        <f t="shared" si="16"/>
        <v>COLONIAL</v>
      </c>
    </row>
    <row r="1365" spans="1:8" x14ac:dyDescent="0.25">
      <c r="E1365" t="str">
        <f>"CLT202105123160"</f>
        <v>CLT202105123160</v>
      </c>
      <c r="F1365" t="str">
        <f t="shared" si="15"/>
        <v>COLONIAL</v>
      </c>
      <c r="G1365" s="2">
        <v>260.32</v>
      </c>
      <c r="H1365" t="str">
        <f t="shared" si="16"/>
        <v>COLONIAL</v>
      </c>
    </row>
    <row r="1366" spans="1:8" x14ac:dyDescent="0.25">
      <c r="E1366" t="str">
        <f>"CLT202105263414"</f>
        <v>CLT202105263414</v>
      </c>
      <c r="F1366" t="str">
        <f t="shared" si="15"/>
        <v>COLONIAL</v>
      </c>
      <c r="G1366" s="2">
        <v>260.32</v>
      </c>
      <c r="H1366" t="str">
        <f t="shared" si="16"/>
        <v>COLONIAL</v>
      </c>
    </row>
    <row r="1367" spans="1:8" x14ac:dyDescent="0.25">
      <c r="E1367" t="str">
        <f>"CLU202105123160"</f>
        <v>CLU202105123160</v>
      </c>
      <c r="F1367" t="str">
        <f t="shared" si="15"/>
        <v>COLONIAL</v>
      </c>
      <c r="G1367" s="2">
        <v>111.55</v>
      </c>
      <c r="H1367" t="str">
        <f t="shared" si="16"/>
        <v>COLONIAL</v>
      </c>
    </row>
    <row r="1368" spans="1:8" x14ac:dyDescent="0.25">
      <c r="E1368" t="str">
        <f>"CLU202105263414"</f>
        <v>CLU202105263414</v>
      </c>
      <c r="F1368" t="str">
        <f t="shared" si="15"/>
        <v>COLONIAL</v>
      </c>
      <c r="G1368" s="2">
        <v>111.55</v>
      </c>
      <c r="H1368" t="str">
        <f t="shared" si="16"/>
        <v>COLONIAL</v>
      </c>
    </row>
    <row r="1369" spans="1:8" x14ac:dyDescent="0.25">
      <c r="E1369" t="str">
        <f>"CLW202105123160"</f>
        <v>CLW202105123160</v>
      </c>
      <c r="F1369" t="str">
        <f t="shared" si="15"/>
        <v>COLONIAL</v>
      </c>
      <c r="G1369" s="2">
        <v>266.69</v>
      </c>
      <c r="H1369" t="str">
        <f t="shared" si="16"/>
        <v>COLONIAL</v>
      </c>
    </row>
    <row r="1370" spans="1:8" x14ac:dyDescent="0.25">
      <c r="E1370" t="str">
        <f>"CLW202105263414"</f>
        <v>CLW202105263414</v>
      </c>
      <c r="F1370" t="str">
        <f t="shared" si="15"/>
        <v>COLONIAL</v>
      </c>
      <c r="G1370" s="2">
        <v>266.69</v>
      </c>
      <c r="H1370" t="str">
        <f t="shared" si="16"/>
        <v>COLONIAL</v>
      </c>
    </row>
    <row r="1371" spans="1:8" x14ac:dyDescent="0.25">
      <c r="A1371" t="s">
        <v>359</v>
      </c>
      <c r="B1371">
        <v>1052</v>
      </c>
      <c r="C1371" s="2">
        <v>7887.37</v>
      </c>
      <c r="D1371" s="1">
        <v>44330</v>
      </c>
      <c r="E1371" t="str">
        <f>"CPI202105123160"</f>
        <v>CPI202105123160</v>
      </c>
      <c r="F1371" t="str">
        <f>"DEFERRED COMP 457B PAYABLE"</f>
        <v>DEFERRED COMP 457B PAYABLE</v>
      </c>
      <c r="G1371" s="2">
        <v>7792.37</v>
      </c>
      <c r="H1371" t="str">
        <f>"DEFERRED COMP 457B PAYABLE"</f>
        <v>DEFERRED COMP 457B PAYABLE</v>
      </c>
    </row>
    <row r="1372" spans="1:8" x14ac:dyDescent="0.25">
      <c r="E1372" t="str">
        <f>"CPI202105123161"</f>
        <v>CPI202105123161</v>
      </c>
      <c r="F1372" t="str">
        <f>"DEFERRED COMP 457B PAYABLE"</f>
        <v>DEFERRED COMP 457B PAYABLE</v>
      </c>
      <c r="G1372" s="2">
        <v>95</v>
      </c>
      <c r="H1372" t="str">
        <f>"DEFERRED COMP 457B PAYABLE"</f>
        <v>DEFERRED COMP 457B PAYABLE</v>
      </c>
    </row>
    <row r="1373" spans="1:8" x14ac:dyDescent="0.25">
      <c r="A1373" t="s">
        <v>359</v>
      </c>
      <c r="B1373">
        <v>1080</v>
      </c>
      <c r="C1373" s="2">
        <v>7982.06</v>
      </c>
      <c r="D1373" s="1">
        <v>44344</v>
      </c>
      <c r="E1373" t="str">
        <f>"CPI202105263414"</f>
        <v>CPI202105263414</v>
      </c>
      <c r="F1373" t="str">
        <f>"DEFERRED COMP 457B PAYABLE"</f>
        <v>DEFERRED COMP 457B PAYABLE</v>
      </c>
      <c r="G1373" s="2">
        <v>7887.06</v>
      </c>
      <c r="H1373" t="str">
        <f>"DEFERRED COMP 457B PAYABLE"</f>
        <v>DEFERRED COMP 457B PAYABLE</v>
      </c>
    </row>
    <row r="1374" spans="1:8" x14ac:dyDescent="0.25">
      <c r="E1374" t="str">
        <f>"CPI202105263415"</f>
        <v>CPI202105263415</v>
      </c>
      <c r="F1374" t="str">
        <f>"DEFERRED COMP 457B PAYABLE"</f>
        <v>DEFERRED COMP 457B PAYABLE</v>
      </c>
      <c r="G1374" s="2">
        <v>95</v>
      </c>
      <c r="H1374" t="str">
        <f>"DEFERRED COMP 457B PAYABLE"</f>
        <v>DEFERRED COMP 457B PAYABLE</v>
      </c>
    </row>
    <row r="1375" spans="1:8" x14ac:dyDescent="0.25">
      <c r="A1375" t="s">
        <v>360</v>
      </c>
      <c r="B1375">
        <v>1088</v>
      </c>
      <c r="C1375" s="2">
        <v>42109.42</v>
      </c>
      <c r="D1375" s="1">
        <v>44344</v>
      </c>
      <c r="E1375" t="str">
        <f>"202105273454"</f>
        <v>202105273454</v>
      </c>
      <c r="F1375" t="str">
        <f>"RETIREE INS - MAY 2021"</f>
        <v>RETIREE INS - MAY 2021</v>
      </c>
      <c r="G1375" s="2">
        <v>3359.82</v>
      </c>
      <c r="H1375" t="str">
        <f>"RETIREE INS - MAY 2021"</f>
        <v>RETIREE INS - MAY 2021</v>
      </c>
    </row>
    <row r="1376" spans="1:8" x14ac:dyDescent="0.25">
      <c r="E1376" t="str">
        <f>"202105273455"</f>
        <v>202105273455</v>
      </c>
      <c r="F1376" t="str">
        <f>"COBRA INS - MAY 2021"</f>
        <v>COBRA INS - MAY 2021</v>
      </c>
      <c r="G1376" s="2">
        <v>87.6</v>
      </c>
      <c r="H1376" t="str">
        <f>"COBRA INS - MAY 2021"</f>
        <v>COBRA INS - MAY 2021</v>
      </c>
    </row>
    <row r="1377" spans="5:8" x14ac:dyDescent="0.25">
      <c r="E1377" t="str">
        <f>"ADC202105123160"</f>
        <v>ADC202105123160</v>
      </c>
      <c r="F1377" t="str">
        <f t="shared" ref="F1377:F1389" si="17">"GUARDIAN"</f>
        <v>GUARDIAN</v>
      </c>
      <c r="G1377" s="2">
        <v>4.7699999999999996</v>
      </c>
      <c r="H1377" t="str">
        <f t="shared" ref="H1377:H1440" si="18">"GUARDIAN"</f>
        <v>GUARDIAN</v>
      </c>
    </row>
    <row r="1378" spans="5:8" x14ac:dyDescent="0.25">
      <c r="E1378" t="str">
        <f>"ADC202105123161"</f>
        <v>ADC202105123161</v>
      </c>
      <c r="F1378" t="str">
        <f t="shared" si="17"/>
        <v>GUARDIAN</v>
      </c>
      <c r="G1378" s="2">
        <v>0.16</v>
      </c>
      <c r="H1378" t="str">
        <f t="shared" si="18"/>
        <v>GUARDIAN</v>
      </c>
    </row>
    <row r="1379" spans="5:8" x14ac:dyDescent="0.25">
      <c r="E1379" t="str">
        <f>"ADC202105263414"</f>
        <v>ADC202105263414</v>
      </c>
      <c r="F1379" t="str">
        <f t="shared" si="17"/>
        <v>GUARDIAN</v>
      </c>
      <c r="G1379" s="2">
        <v>4.7699999999999996</v>
      </c>
      <c r="H1379" t="str">
        <f t="shared" si="18"/>
        <v>GUARDIAN</v>
      </c>
    </row>
    <row r="1380" spans="5:8" x14ac:dyDescent="0.25">
      <c r="E1380" t="str">
        <f>"ADC202105263415"</f>
        <v>ADC202105263415</v>
      </c>
      <c r="F1380" t="str">
        <f t="shared" si="17"/>
        <v>GUARDIAN</v>
      </c>
      <c r="G1380" s="2">
        <v>0.16</v>
      </c>
      <c r="H1380" t="str">
        <f t="shared" si="18"/>
        <v>GUARDIAN</v>
      </c>
    </row>
    <row r="1381" spans="5:8" x14ac:dyDescent="0.25">
      <c r="E1381" t="str">
        <f>"ADE202105123160"</f>
        <v>ADE202105123160</v>
      </c>
      <c r="F1381" t="str">
        <f t="shared" si="17"/>
        <v>GUARDIAN</v>
      </c>
      <c r="G1381" s="2">
        <v>236.72</v>
      </c>
      <c r="H1381" t="str">
        <f t="shared" si="18"/>
        <v>GUARDIAN</v>
      </c>
    </row>
    <row r="1382" spans="5:8" x14ac:dyDescent="0.25">
      <c r="E1382" t="str">
        <f>"ADE202105123161"</f>
        <v>ADE202105123161</v>
      </c>
      <c r="F1382" t="str">
        <f t="shared" si="17"/>
        <v>GUARDIAN</v>
      </c>
      <c r="G1382" s="2">
        <v>5.55</v>
      </c>
      <c r="H1382" t="str">
        <f t="shared" si="18"/>
        <v>GUARDIAN</v>
      </c>
    </row>
    <row r="1383" spans="5:8" x14ac:dyDescent="0.25">
      <c r="E1383" t="str">
        <f>"ADE202105263414"</f>
        <v>ADE202105263414</v>
      </c>
      <c r="F1383" t="str">
        <f t="shared" si="17"/>
        <v>GUARDIAN</v>
      </c>
      <c r="G1383" s="2">
        <v>236.72</v>
      </c>
      <c r="H1383" t="str">
        <f t="shared" si="18"/>
        <v>GUARDIAN</v>
      </c>
    </row>
    <row r="1384" spans="5:8" x14ac:dyDescent="0.25">
      <c r="E1384" t="str">
        <f>"ADE202105263415"</f>
        <v>ADE202105263415</v>
      </c>
      <c r="F1384" t="str">
        <f t="shared" si="17"/>
        <v>GUARDIAN</v>
      </c>
      <c r="G1384" s="2">
        <v>5.55</v>
      </c>
      <c r="H1384" t="str">
        <f t="shared" si="18"/>
        <v>GUARDIAN</v>
      </c>
    </row>
    <row r="1385" spans="5:8" x14ac:dyDescent="0.25">
      <c r="E1385" t="str">
        <f>"ADS202105123160"</f>
        <v>ADS202105123160</v>
      </c>
      <c r="F1385" t="str">
        <f t="shared" si="17"/>
        <v>GUARDIAN</v>
      </c>
      <c r="G1385" s="2">
        <v>43.74</v>
      </c>
      <c r="H1385" t="str">
        <f t="shared" si="18"/>
        <v>GUARDIAN</v>
      </c>
    </row>
    <row r="1386" spans="5:8" x14ac:dyDescent="0.25">
      <c r="E1386" t="str">
        <f>"ADS202105123161"</f>
        <v>ADS202105123161</v>
      </c>
      <c r="F1386" t="str">
        <f t="shared" si="17"/>
        <v>GUARDIAN</v>
      </c>
      <c r="G1386" s="2">
        <v>0.53</v>
      </c>
      <c r="H1386" t="str">
        <f t="shared" si="18"/>
        <v>GUARDIAN</v>
      </c>
    </row>
    <row r="1387" spans="5:8" x14ac:dyDescent="0.25">
      <c r="E1387" t="str">
        <f>"ADS202105263414"</f>
        <v>ADS202105263414</v>
      </c>
      <c r="F1387" t="str">
        <f t="shared" si="17"/>
        <v>GUARDIAN</v>
      </c>
      <c r="G1387" s="2">
        <v>43.74</v>
      </c>
      <c r="H1387" t="str">
        <f t="shared" si="18"/>
        <v>GUARDIAN</v>
      </c>
    </row>
    <row r="1388" spans="5:8" x14ac:dyDescent="0.25">
      <c r="E1388" t="str">
        <f>"ADS202105263415"</f>
        <v>ADS202105263415</v>
      </c>
      <c r="F1388" t="str">
        <f t="shared" si="17"/>
        <v>GUARDIAN</v>
      </c>
      <c r="G1388" s="2">
        <v>0.53</v>
      </c>
      <c r="H1388" t="str">
        <f t="shared" si="18"/>
        <v>GUARDIAN</v>
      </c>
    </row>
    <row r="1389" spans="5:8" x14ac:dyDescent="0.25">
      <c r="E1389" t="str">
        <f>"GDC202105123160"</f>
        <v>GDC202105123160</v>
      </c>
      <c r="F1389" t="str">
        <f t="shared" si="17"/>
        <v>GUARDIAN</v>
      </c>
      <c r="G1389" s="2">
        <v>2750.76</v>
      </c>
      <c r="H1389" t="str">
        <f t="shared" si="18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18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si="18"/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18"/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 t="shared" si="18"/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 t="shared" si="18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si="18"/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18"/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 t="shared" si="18"/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 t="shared" si="18"/>
        <v>GUARDIAN</v>
      </c>
    </row>
    <row r="1399" spans="5:8" x14ac:dyDescent="0.25">
      <c r="E1399" t="str">
        <f>""</f>
        <v/>
      </c>
      <c r="F1399" t="str">
        <f>""</f>
        <v/>
      </c>
      <c r="H1399" t="str">
        <f t="shared" si="18"/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 t="shared" si="18"/>
        <v>GUARDIAN</v>
      </c>
    </row>
    <row r="1401" spans="5:8" x14ac:dyDescent="0.25">
      <c r="E1401" t="str">
        <f>""</f>
        <v/>
      </c>
      <c r="F1401" t="str">
        <f>""</f>
        <v/>
      </c>
      <c r="H1401" t="str">
        <f t="shared" si="18"/>
        <v>GUARDIAN</v>
      </c>
    </row>
    <row r="1402" spans="5:8" x14ac:dyDescent="0.25">
      <c r="E1402" t="str">
        <f>""</f>
        <v/>
      </c>
      <c r="F1402" t="str">
        <f>""</f>
        <v/>
      </c>
      <c r="H1402" t="str">
        <f t="shared" si="18"/>
        <v>GUARDIAN</v>
      </c>
    </row>
    <row r="1403" spans="5:8" x14ac:dyDescent="0.25">
      <c r="E1403" t="str">
        <f>""</f>
        <v/>
      </c>
      <c r="F1403" t="str">
        <f>""</f>
        <v/>
      </c>
      <c r="H1403" t="str">
        <f t="shared" si="18"/>
        <v>GUARDIAN</v>
      </c>
    </row>
    <row r="1404" spans="5:8" x14ac:dyDescent="0.25">
      <c r="E1404" t="str">
        <f>""</f>
        <v/>
      </c>
      <c r="F1404" t="str">
        <f>""</f>
        <v/>
      </c>
      <c r="H1404" t="str">
        <f t="shared" si="18"/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 t="shared" si="18"/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 t="shared" si="18"/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 t="shared" si="18"/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 t="shared" si="18"/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18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18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si="18"/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si="18"/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18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18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18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18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18"/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 t="shared" si="18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18"/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 t="shared" si="18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18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18"/>
        <v>GUARDIAN</v>
      </c>
    </row>
    <row r="1423" spans="5:8" x14ac:dyDescent="0.25">
      <c r="E1423" t="str">
        <f>"GDC202105123161"</f>
        <v>GDC202105123161</v>
      </c>
      <c r="F1423" t="str">
        <f>"GUARDIAN"</f>
        <v>GUARDIAN</v>
      </c>
      <c r="G1423" s="2">
        <v>101.88</v>
      </c>
      <c r="H1423" t="str">
        <f t="shared" si="18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18"/>
        <v>GUARDIAN</v>
      </c>
    </row>
    <row r="1425" spans="5:8" x14ac:dyDescent="0.25">
      <c r="E1425" t="str">
        <f>"GDC202105263414"</f>
        <v>GDC202105263414</v>
      </c>
      <c r="F1425" t="str">
        <f>"GUARDIAN"</f>
        <v>GUARDIAN</v>
      </c>
      <c r="G1425" s="2">
        <v>2682.84</v>
      </c>
      <c r="H1425" t="str">
        <f t="shared" si="18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18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18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18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18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18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18"/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 t="shared" si="18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18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18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18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18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18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18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18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18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ref="H1441:H1504" si="19">"GUARDIAN"</f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19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19"/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19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19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19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19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19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19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19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19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19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19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19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19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19"/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 t="shared" si="19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19"/>
        <v>GUARDIAN</v>
      </c>
    </row>
    <row r="1459" spans="5:8" x14ac:dyDescent="0.25">
      <c r="E1459" t="str">
        <f>"GDC202105263415"</f>
        <v>GDC202105263415</v>
      </c>
      <c r="F1459" t="str">
        <f>"GUARDIAN"</f>
        <v>GUARDIAN</v>
      </c>
      <c r="G1459" s="2">
        <v>101.88</v>
      </c>
      <c r="H1459" t="str">
        <f t="shared" si="19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19"/>
        <v>GUARDIAN</v>
      </c>
    </row>
    <row r="1461" spans="5:8" x14ac:dyDescent="0.25">
      <c r="E1461" t="str">
        <f>"GDE202105123160"</f>
        <v>GDE202105123160</v>
      </c>
      <c r="F1461" t="str">
        <f>"GUARDIAN"</f>
        <v>GUARDIAN</v>
      </c>
      <c r="G1461" s="2">
        <v>4586.22</v>
      </c>
      <c r="H1461" t="str">
        <f t="shared" si="19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19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19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19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19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19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19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19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19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19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19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19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19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19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19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19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19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19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19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19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19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19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19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19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19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19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19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19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19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19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19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19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19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19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19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19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19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19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19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19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19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19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19"/>
        <v>GUARDIAN</v>
      </c>
    </row>
    <row r="1504" spans="5:8" x14ac:dyDescent="0.25">
      <c r="E1504" t="str">
        <f>"GDE202105123161"</f>
        <v>GDE202105123161</v>
      </c>
      <c r="F1504" t="str">
        <f>"GUARDIAN"</f>
        <v>GUARDIAN</v>
      </c>
      <c r="G1504" s="2">
        <v>184.68</v>
      </c>
      <c r="H1504" t="str">
        <f t="shared" si="19"/>
        <v>GUARDIAN</v>
      </c>
    </row>
    <row r="1505" spans="5:8" x14ac:dyDescent="0.25">
      <c r="E1505" t="str">
        <f>"GDE202105263414"</f>
        <v>GDE202105263414</v>
      </c>
      <c r="F1505" t="str">
        <f>"GUARDIAN"</f>
        <v>GUARDIAN</v>
      </c>
      <c r="G1505" s="2">
        <v>4524.66</v>
      </c>
      <c r="H1505" t="str">
        <f t="shared" ref="H1505:H1568" si="20">"GUARDIAN"</f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0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0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0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0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0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0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0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0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0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0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0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0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0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0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0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0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0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0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0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0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0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0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0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0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0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0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0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0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0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0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0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0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0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0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0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0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0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0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0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0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0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0"/>
        <v>GUARDIAN</v>
      </c>
    </row>
    <row r="1548" spans="5:8" x14ac:dyDescent="0.25">
      <c r="E1548" t="str">
        <f>"GDE202105263415"</f>
        <v>GDE202105263415</v>
      </c>
      <c r="F1548" t="str">
        <f>"GUARDIAN"</f>
        <v>GUARDIAN</v>
      </c>
      <c r="G1548" s="2">
        <v>184.68</v>
      </c>
      <c r="H1548" t="str">
        <f t="shared" si="20"/>
        <v>GUARDIAN</v>
      </c>
    </row>
    <row r="1549" spans="5:8" x14ac:dyDescent="0.25">
      <c r="E1549" t="str">
        <f>"GDF202105123160"</f>
        <v>GDF202105123160</v>
      </c>
      <c r="F1549" t="str">
        <f>"GUARDIAN"</f>
        <v>GUARDIAN</v>
      </c>
      <c r="G1549" s="2">
        <v>2259.4499999999998</v>
      </c>
      <c r="H1549" t="str">
        <f t="shared" si="20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0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0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0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0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0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0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0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0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0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0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0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0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0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0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0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0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0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0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0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ref="H1569:H1632" si="21">"GUARDIAN"</f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1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1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1"/>
        <v>GUARDIAN</v>
      </c>
    </row>
    <row r="1573" spans="5:8" x14ac:dyDescent="0.25">
      <c r="E1573" t="str">
        <f>"GDF202105123161"</f>
        <v>GDF202105123161</v>
      </c>
      <c r="F1573" t="str">
        <f>"GUARDIAN"</f>
        <v>GUARDIAN</v>
      </c>
      <c r="G1573" s="2">
        <v>100.42</v>
      </c>
      <c r="H1573" t="str">
        <f t="shared" si="21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1"/>
        <v>GUARDIAN</v>
      </c>
    </row>
    <row r="1575" spans="5:8" x14ac:dyDescent="0.25">
      <c r="E1575" t="str">
        <f>"GDF202105263414"</f>
        <v>GDF202105263414</v>
      </c>
      <c r="F1575" t="str">
        <f>"GUARDIAN"</f>
        <v>GUARDIAN</v>
      </c>
      <c r="G1575" s="2">
        <v>2259.4499999999998</v>
      </c>
      <c r="H1575" t="str">
        <f t="shared" si="21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1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1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1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1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1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1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1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1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1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1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1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1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1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1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1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1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1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1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1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1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1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1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1"/>
        <v>GUARDIAN</v>
      </c>
    </row>
    <row r="1599" spans="5:8" x14ac:dyDescent="0.25">
      <c r="E1599" t="str">
        <f>"GDF202105263415"</f>
        <v>GDF202105263415</v>
      </c>
      <c r="F1599" t="str">
        <f>"GUARDIAN"</f>
        <v>GUARDIAN</v>
      </c>
      <c r="G1599" s="2">
        <v>100.42</v>
      </c>
      <c r="H1599" t="str">
        <f t="shared" si="21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1"/>
        <v>GUARDIAN</v>
      </c>
    </row>
    <row r="1601" spans="5:8" x14ac:dyDescent="0.25">
      <c r="E1601" t="str">
        <f>"GDS202105123160"</f>
        <v>GDS202105123160</v>
      </c>
      <c r="F1601" t="str">
        <f>"GUARDIAN"</f>
        <v>GUARDIAN</v>
      </c>
      <c r="G1601" s="2">
        <v>1830.18</v>
      </c>
      <c r="H1601" t="str">
        <f t="shared" si="21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1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1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1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1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1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1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1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1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1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1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1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1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1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1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1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1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1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1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1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1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1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1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1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1"/>
        <v>GUARDIAN</v>
      </c>
    </row>
    <row r="1626" spans="5:8" x14ac:dyDescent="0.25">
      <c r="E1626" t="str">
        <f>"GDS202105263414"</f>
        <v>GDS202105263414</v>
      </c>
      <c r="F1626" t="str">
        <f>"GUARDIAN"</f>
        <v>GUARDIAN</v>
      </c>
      <c r="G1626" s="2">
        <v>1830.18</v>
      </c>
      <c r="H1626" t="str">
        <f t="shared" si="21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1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1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1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1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1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1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ref="H1633:H1650" si="22">"GUARDIAN"</f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2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2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2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2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2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2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2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2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2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2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2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2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2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2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2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2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2"/>
        <v>GUARDIAN</v>
      </c>
    </row>
    <row r="1651" spans="5:8" x14ac:dyDescent="0.25">
      <c r="E1651" t="str">
        <f>"GV1202105123160"</f>
        <v>GV1202105123160</v>
      </c>
      <c r="F1651" t="str">
        <f>"GUARDIAN VISION"</f>
        <v>GUARDIAN VISION</v>
      </c>
      <c r="G1651" s="2">
        <v>448</v>
      </c>
      <c r="H1651" t="str">
        <f>"GUARDIAN VISION"</f>
        <v>GUARDIAN VISION</v>
      </c>
    </row>
    <row r="1652" spans="5:8" x14ac:dyDescent="0.25">
      <c r="E1652" t="str">
        <f>"GV1202105123161"</f>
        <v>GV1202105123161</v>
      </c>
      <c r="F1652" t="str">
        <f>"GUARDIAN VISION"</f>
        <v>GUARDIAN VISION</v>
      </c>
      <c r="G1652" s="2">
        <v>5.6</v>
      </c>
      <c r="H1652" t="str">
        <f>"GUARDIAN VISION"</f>
        <v>GUARDIAN VISION</v>
      </c>
    </row>
    <row r="1653" spans="5:8" x14ac:dyDescent="0.25">
      <c r="E1653" t="str">
        <f>"GV1202105263414"</f>
        <v>GV1202105263414</v>
      </c>
      <c r="F1653" t="str">
        <f>"GUARDIAN VISION"</f>
        <v>GUARDIAN VISION</v>
      </c>
      <c r="G1653" s="2">
        <v>436.8</v>
      </c>
      <c r="H1653" t="str">
        <f>"GUARDIAN VISION"</f>
        <v>GUARDIAN VISION</v>
      </c>
    </row>
    <row r="1654" spans="5:8" x14ac:dyDescent="0.25">
      <c r="E1654" t="str">
        <f>"GV1202105263415"</f>
        <v>GV1202105263415</v>
      </c>
      <c r="F1654" t="str">
        <f>"GUARDIAN VISION"</f>
        <v>GUARDIAN VISION</v>
      </c>
      <c r="G1654" s="2">
        <v>5.6</v>
      </c>
      <c r="H1654" t="str">
        <f>"GUARDIAN VISION"</f>
        <v>GUARDIAN VISION</v>
      </c>
    </row>
    <row r="1655" spans="5:8" x14ac:dyDescent="0.25">
      <c r="E1655" t="str">
        <f>"GVE202105123160"</f>
        <v>GVE202105123160</v>
      </c>
      <c r="F1655" t="str">
        <f>"GUARDIAN VISION VENDOR"</f>
        <v>GUARDIAN VISION VENDOR</v>
      </c>
      <c r="G1655" s="2">
        <v>645.75</v>
      </c>
      <c r="H1655" t="str">
        <f>"GUARDIAN VISION VENDOR"</f>
        <v>GUARDIAN VISION VENDOR</v>
      </c>
    </row>
    <row r="1656" spans="5:8" x14ac:dyDescent="0.25">
      <c r="E1656" t="str">
        <f>"GVE202105123161"</f>
        <v>GVE202105123161</v>
      </c>
      <c r="F1656" t="str">
        <f>"GUARDIAN VISION VENDOR"</f>
        <v>GUARDIAN VISION VENDOR</v>
      </c>
      <c r="G1656" s="2">
        <v>36.9</v>
      </c>
      <c r="H1656" t="str">
        <f>"GUARDIAN VISION VENDOR"</f>
        <v>GUARDIAN VISION VENDOR</v>
      </c>
    </row>
    <row r="1657" spans="5:8" x14ac:dyDescent="0.25">
      <c r="E1657" t="str">
        <f>"GVE202105263414"</f>
        <v>GVE202105263414</v>
      </c>
      <c r="F1657" t="str">
        <f>"GUARDIAN VISION VENDOR"</f>
        <v>GUARDIAN VISION VENDOR</v>
      </c>
      <c r="G1657" s="2">
        <v>630.99</v>
      </c>
      <c r="H1657" t="str">
        <f>"GUARDIAN VISION VENDOR"</f>
        <v>GUARDIAN VISION VENDOR</v>
      </c>
    </row>
    <row r="1658" spans="5:8" x14ac:dyDescent="0.25">
      <c r="E1658" t="str">
        <f>"GVE202105263415"</f>
        <v>GVE202105263415</v>
      </c>
      <c r="F1658" t="str">
        <f>"GUARDIAN VISION VENDOR"</f>
        <v>GUARDIAN VISION VENDOR</v>
      </c>
      <c r="G1658" s="2">
        <v>36.9</v>
      </c>
      <c r="H1658" t="str">
        <f>"GUARDIAN VISION VENDOR"</f>
        <v>GUARDIAN VISION VENDOR</v>
      </c>
    </row>
    <row r="1659" spans="5:8" x14ac:dyDescent="0.25">
      <c r="E1659" t="str">
        <f>"GVF202105123160"</f>
        <v>GVF202105123160</v>
      </c>
      <c r="F1659" t="str">
        <f>"GUARDIAN VISION"</f>
        <v>GUARDIAN VISION</v>
      </c>
      <c r="G1659" s="2">
        <v>551.6</v>
      </c>
      <c r="H1659" t="str">
        <f>"GUARDIAN VISION"</f>
        <v>GUARDIAN VISION</v>
      </c>
    </row>
    <row r="1660" spans="5:8" x14ac:dyDescent="0.25">
      <c r="E1660" t="str">
        <f>"GVF202105123161"</f>
        <v>GVF202105123161</v>
      </c>
      <c r="F1660" t="str">
        <f>"GUARDIAN VISION VENDOR"</f>
        <v>GUARDIAN VISION VENDOR</v>
      </c>
      <c r="G1660" s="2">
        <v>19.7</v>
      </c>
      <c r="H1660" t="str">
        <f>"GUARDIAN VISION VENDOR"</f>
        <v>GUARDIAN VISION VENDOR</v>
      </c>
    </row>
    <row r="1661" spans="5:8" x14ac:dyDescent="0.25">
      <c r="E1661" t="str">
        <f>"GVF202105263414"</f>
        <v>GVF202105263414</v>
      </c>
      <c r="F1661" t="str">
        <f>"GUARDIAN VISION"</f>
        <v>GUARDIAN VISION</v>
      </c>
      <c r="G1661" s="2">
        <v>551.6</v>
      </c>
      <c r="H1661" t="str">
        <f>"GUARDIAN VISION"</f>
        <v>GUARDIAN VISION</v>
      </c>
    </row>
    <row r="1662" spans="5:8" x14ac:dyDescent="0.25">
      <c r="E1662" t="str">
        <f>"GVF202105263415"</f>
        <v>GVF202105263415</v>
      </c>
      <c r="F1662" t="str">
        <f>"GUARDIAN VISION VENDOR"</f>
        <v>GUARDIAN VISION VENDOR</v>
      </c>
      <c r="G1662" s="2">
        <v>19.7</v>
      </c>
      <c r="H1662" t="str">
        <f>"GUARDIAN VISION VENDOR"</f>
        <v>GUARDIAN VISION VENDOR</v>
      </c>
    </row>
    <row r="1663" spans="5:8" x14ac:dyDescent="0.25">
      <c r="E1663" t="str">
        <f>"LIA202105123160"</f>
        <v>LIA202105123160</v>
      </c>
      <c r="F1663" t="str">
        <f>"GUARDIAN"</f>
        <v>GUARDIAN</v>
      </c>
      <c r="G1663" s="2">
        <v>224.16</v>
      </c>
      <c r="H1663" t="str">
        <f t="shared" ref="H1663:H1694" si="23">"GUARDIAN"</f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3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3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3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3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3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3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3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3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3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3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23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23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23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23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3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3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3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3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3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3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3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3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3"/>
        <v>GUARDIAN</v>
      </c>
    </row>
    <row r="1687" spans="5:8" x14ac:dyDescent="0.25">
      <c r="E1687" t="str">
        <f>"LIA202105123161"</f>
        <v>LIA202105123161</v>
      </c>
      <c r="F1687" t="str">
        <f>"GUARDIAN"</f>
        <v>GUARDIAN</v>
      </c>
      <c r="G1687" s="2">
        <v>40.99</v>
      </c>
      <c r="H1687" t="str">
        <f t="shared" si="23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3"/>
        <v>GUARDIAN</v>
      </c>
    </row>
    <row r="1689" spans="5:8" x14ac:dyDescent="0.25">
      <c r="E1689" t="str">
        <f>"LIA202105263414"</f>
        <v>LIA202105263414</v>
      </c>
      <c r="F1689" t="str">
        <f>"GUARDIAN"</f>
        <v>GUARDIAN</v>
      </c>
      <c r="G1689" s="2">
        <v>223.88</v>
      </c>
      <c r="H1689" t="str">
        <f t="shared" si="23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3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3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3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3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3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ref="H1695:H1726" si="24">"GUARDIAN"</f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4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4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24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4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24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4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24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24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4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4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4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4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4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24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24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4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24"/>
        <v>GUARDIAN</v>
      </c>
    </row>
    <row r="1713" spans="5:8" x14ac:dyDescent="0.25">
      <c r="E1713" t="str">
        <f>"LIA202105263415"</f>
        <v>LIA202105263415</v>
      </c>
      <c r="F1713" t="str">
        <f>"GUARDIAN"</f>
        <v>GUARDIAN</v>
      </c>
      <c r="G1713" s="2">
        <v>40.99</v>
      </c>
      <c r="H1713" t="str">
        <f t="shared" si="24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4"/>
        <v>GUARDIAN</v>
      </c>
    </row>
    <row r="1715" spans="5:8" x14ac:dyDescent="0.25">
      <c r="E1715" t="str">
        <f>"LIC202105123160"</f>
        <v>LIC202105123160</v>
      </c>
      <c r="F1715" t="str">
        <f>"GUARDIAN"</f>
        <v>GUARDIAN</v>
      </c>
      <c r="G1715" s="2">
        <v>34.020000000000003</v>
      </c>
      <c r="H1715" t="str">
        <f t="shared" si="24"/>
        <v>GUARDIAN</v>
      </c>
    </row>
    <row r="1716" spans="5:8" x14ac:dyDescent="0.25">
      <c r="E1716" t="str">
        <f>"LIC202105123161"</f>
        <v>LIC202105123161</v>
      </c>
      <c r="F1716" t="str">
        <f>"GUARDIAN"</f>
        <v>GUARDIAN</v>
      </c>
      <c r="G1716" s="2">
        <v>0.7</v>
      </c>
      <c r="H1716" t="str">
        <f t="shared" si="24"/>
        <v>GUARDIAN</v>
      </c>
    </row>
    <row r="1717" spans="5:8" x14ac:dyDescent="0.25">
      <c r="E1717" t="str">
        <f>"LIC202105263414"</f>
        <v>LIC202105263414</v>
      </c>
      <c r="F1717" t="str">
        <f>"GUARDIAN"</f>
        <v>GUARDIAN</v>
      </c>
      <c r="G1717" s="2">
        <v>34.020000000000003</v>
      </c>
      <c r="H1717" t="str">
        <f t="shared" si="24"/>
        <v>GUARDIAN</v>
      </c>
    </row>
    <row r="1718" spans="5:8" x14ac:dyDescent="0.25">
      <c r="E1718" t="str">
        <f>"LIC202105263415"</f>
        <v>LIC202105263415</v>
      </c>
      <c r="F1718" t="str">
        <f>"GUARDIAN"</f>
        <v>GUARDIAN</v>
      </c>
      <c r="G1718" s="2">
        <v>0.7</v>
      </c>
      <c r="H1718" t="str">
        <f t="shared" si="24"/>
        <v>GUARDIAN</v>
      </c>
    </row>
    <row r="1719" spans="5:8" x14ac:dyDescent="0.25">
      <c r="E1719" t="str">
        <f>"LIE202105123160"</f>
        <v>LIE202105123160</v>
      </c>
      <c r="F1719" t="str">
        <f>"GUARDIAN"</f>
        <v>GUARDIAN</v>
      </c>
      <c r="G1719" s="2">
        <v>3742.3</v>
      </c>
      <c r="H1719" t="str">
        <f t="shared" si="24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4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24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4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24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24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24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4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ref="H1727:H1758" si="25">"GUARDIAN"</f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5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5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5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5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5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25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5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25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5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5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5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5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5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5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5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5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5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5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5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5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5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5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5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5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5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5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5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5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5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5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5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ref="H1759:H1790" si="26">"GUARDIAN"</f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6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26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6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6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26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26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6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26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6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6"/>
        <v>GUARDIAN</v>
      </c>
    </row>
    <row r="1770" spans="5:8" x14ac:dyDescent="0.25">
      <c r="E1770" t="str">
        <f>"LIE202105123161"</f>
        <v>LIE202105123161</v>
      </c>
      <c r="F1770" t="str">
        <f>"GUARDIAN"</f>
        <v>GUARDIAN</v>
      </c>
      <c r="G1770" s="2">
        <v>79.400000000000006</v>
      </c>
      <c r="H1770" t="str">
        <f t="shared" si="26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6"/>
        <v>GUARDIAN</v>
      </c>
    </row>
    <row r="1772" spans="5:8" x14ac:dyDescent="0.25">
      <c r="E1772" t="str">
        <f>"LIE202105263414"</f>
        <v>LIE202105263414</v>
      </c>
      <c r="F1772" t="str">
        <f>"GUARDIAN"</f>
        <v>GUARDIAN</v>
      </c>
      <c r="G1772" s="2">
        <v>3729.4</v>
      </c>
      <c r="H1772" t="str">
        <f t="shared" si="26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6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6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6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6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6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26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6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26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26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6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6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6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6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6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26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26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26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26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ref="H1791:H1822" si="27">"GUARDIAN"</f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27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27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27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7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7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27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7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27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7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27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7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27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7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27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27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7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7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7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7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7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7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27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7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7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7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7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7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7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7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7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7"/>
        <v>GUARDIAN</v>
      </c>
    </row>
    <row r="1823" spans="5:8" x14ac:dyDescent="0.25">
      <c r="E1823" t="str">
        <f>"LIE202105263415"</f>
        <v>LIE202105263415</v>
      </c>
      <c r="F1823" t="str">
        <f>"GUARDIAN"</f>
        <v>GUARDIAN</v>
      </c>
      <c r="G1823" s="2">
        <v>79.400000000000006</v>
      </c>
      <c r="H1823" t="str">
        <f t="shared" ref="H1823:H1834" si="28">"GUARDIAN"</f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8"/>
        <v>GUARDIAN</v>
      </c>
    </row>
    <row r="1825" spans="1:8" x14ac:dyDescent="0.25">
      <c r="E1825" t="str">
        <f>"LIS202105123160"</f>
        <v>LIS202105123160</v>
      </c>
      <c r="F1825" t="str">
        <f t="shared" ref="F1825:F1834" si="29">"GUARDIAN"</f>
        <v>GUARDIAN</v>
      </c>
      <c r="G1825" s="2">
        <v>502.38</v>
      </c>
      <c r="H1825" t="str">
        <f t="shared" si="28"/>
        <v>GUARDIAN</v>
      </c>
    </row>
    <row r="1826" spans="1:8" x14ac:dyDescent="0.25">
      <c r="E1826" t="str">
        <f>"LIS202105123161"</f>
        <v>LIS202105123161</v>
      </c>
      <c r="F1826" t="str">
        <f t="shared" si="29"/>
        <v>GUARDIAN</v>
      </c>
      <c r="G1826" s="2">
        <v>36.15</v>
      </c>
      <c r="H1826" t="str">
        <f t="shared" si="28"/>
        <v>GUARDIAN</v>
      </c>
    </row>
    <row r="1827" spans="1:8" x14ac:dyDescent="0.25">
      <c r="E1827" t="str">
        <f>"LIS202105263414"</f>
        <v>LIS202105263414</v>
      </c>
      <c r="F1827" t="str">
        <f t="shared" si="29"/>
        <v>GUARDIAN</v>
      </c>
      <c r="G1827" s="2">
        <v>502.38</v>
      </c>
      <c r="H1827" t="str">
        <f t="shared" si="28"/>
        <v>GUARDIAN</v>
      </c>
    </row>
    <row r="1828" spans="1:8" x14ac:dyDescent="0.25">
      <c r="E1828" t="str">
        <f>"LIS202105263415"</f>
        <v>LIS202105263415</v>
      </c>
      <c r="F1828" t="str">
        <f t="shared" si="29"/>
        <v>GUARDIAN</v>
      </c>
      <c r="G1828" s="2">
        <v>36.15</v>
      </c>
      <c r="H1828" t="str">
        <f t="shared" si="28"/>
        <v>GUARDIAN</v>
      </c>
    </row>
    <row r="1829" spans="1:8" x14ac:dyDescent="0.25">
      <c r="E1829" t="str">
        <f>"LTD202105123160"</f>
        <v>LTD202105123160</v>
      </c>
      <c r="F1829" t="str">
        <f t="shared" si="29"/>
        <v>GUARDIAN</v>
      </c>
      <c r="G1829" s="2">
        <v>942.6</v>
      </c>
      <c r="H1829" t="str">
        <f t="shared" si="28"/>
        <v>GUARDIAN</v>
      </c>
    </row>
    <row r="1830" spans="1:8" x14ac:dyDescent="0.25">
      <c r="E1830" t="str">
        <f>"LTD202105263414"</f>
        <v>LTD202105263414</v>
      </c>
      <c r="F1830" t="str">
        <f t="shared" si="29"/>
        <v>GUARDIAN</v>
      </c>
      <c r="G1830" s="2">
        <v>942.6</v>
      </c>
      <c r="H1830" t="str">
        <f t="shared" si="28"/>
        <v>GUARDIAN</v>
      </c>
    </row>
    <row r="1831" spans="1:8" x14ac:dyDescent="0.25">
      <c r="A1831" t="s">
        <v>360</v>
      </c>
      <c r="B1831">
        <v>1089</v>
      </c>
      <c r="C1831" s="2">
        <v>97.24</v>
      </c>
      <c r="D1831" s="1">
        <v>44344</v>
      </c>
      <c r="E1831" t="str">
        <f>"AEG202105123160"</f>
        <v>AEG202105123160</v>
      </c>
      <c r="F1831" t="str">
        <f t="shared" si="29"/>
        <v>GUARDIAN</v>
      </c>
      <c r="G1831" s="2">
        <v>12.48</v>
      </c>
      <c r="H1831" t="str">
        <f t="shared" si="28"/>
        <v>GUARDIAN</v>
      </c>
    </row>
    <row r="1832" spans="1:8" x14ac:dyDescent="0.25">
      <c r="E1832" t="str">
        <f>"AEG202105263414"</f>
        <v>AEG202105263414</v>
      </c>
      <c r="F1832" t="str">
        <f t="shared" si="29"/>
        <v>GUARDIAN</v>
      </c>
      <c r="G1832" s="2">
        <v>12.48</v>
      </c>
      <c r="H1832" t="str">
        <f t="shared" si="28"/>
        <v>GUARDIAN</v>
      </c>
    </row>
    <row r="1833" spans="1:8" x14ac:dyDescent="0.25">
      <c r="E1833" t="str">
        <f>"AFG202105123160"</f>
        <v>AFG202105123160</v>
      </c>
      <c r="F1833" t="str">
        <f t="shared" si="29"/>
        <v>GUARDIAN</v>
      </c>
      <c r="G1833" s="2">
        <v>36.14</v>
      </c>
      <c r="H1833" t="str">
        <f t="shared" si="28"/>
        <v>GUARDIAN</v>
      </c>
    </row>
    <row r="1834" spans="1:8" x14ac:dyDescent="0.25">
      <c r="E1834" t="str">
        <f>"AFG202105263414"</f>
        <v>AFG202105263414</v>
      </c>
      <c r="F1834" t="str">
        <f t="shared" si="29"/>
        <v>GUARDIAN</v>
      </c>
      <c r="G1834" s="2">
        <v>36.14</v>
      </c>
      <c r="H1834" t="str">
        <f t="shared" si="28"/>
        <v>GUARDIAN</v>
      </c>
    </row>
    <row r="1835" spans="1:8" x14ac:dyDescent="0.25">
      <c r="A1835" t="s">
        <v>361</v>
      </c>
      <c r="B1835">
        <v>1049</v>
      </c>
      <c r="C1835" s="2">
        <v>374</v>
      </c>
      <c r="D1835" s="1">
        <v>44330</v>
      </c>
      <c r="E1835" t="str">
        <f>"C92202105123160"</f>
        <v>C92202105123160</v>
      </c>
      <c r="F1835" t="str">
        <f>"0007959844"</f>
        <v>0007959844</v>
      </c>
      <c r="G1835" s="2">
        <v>374</v>
      </c>
      <c r="H1835" t="str">
        <f>"0007959844"</f>
        <v>0007959844</v>
      </c>
    </row>
    <row r="1836" spans="1:8" x14ac:dyDescent="0.25">
      <c r="A1836" t="s">
        <v>361</v>
      </c>
      <c r="B1836">
        <v>1077</v>
      </c>
      <c r="C1836" s="2">
        <v>374</v>
      </c>
      <c r="D1836" s="1">
        <v>44344</v>
      </c>
      <c r="E1836" t="str">
        <f>"C92202105263414"</f>
        <v>C92202105263414</v>
      </c>
      <c r="F1836" t="str">
        <f>"0007959844"</f>
        <v>0007959844</v>
      </c>
      <c r="G1836" s="2">
        <v>374</v>
      </c>
      <c r="H1836" t="str">
        <f>"0007959844"</f>
        <v>0007959844</v>
      </c>
    </row>
    <row r="1837" spans="1:8" x14ac:dyDescent="0.25">
      <c r="A1837" t="s">
        <v>362</v>
      </c>
      <c r="B1837">
        <v>1050</v>
      </c>
      <c r="C1837" s="2">
        <v>249324.52</v>
      </c>
      <c r="D1837" s="1">
        <v>44330</v>
      </c>
      <c r="E1837" t="str">
        <f>"T1 202105123160"</f>
        <v>T1 202105123160</v>
      </c>
      <c r="F1837" t="str">
        <f>"FEDERAL WITHHOLDING"</f>
        <v>FEDERAL WITHHOLDING</v>
      </c>
      <c r="G1837" s="2">
        <v>82009.05</v>
      </c>
      <c r="H1837" t="str">
        <f>"FEDERAL WITHHOLDING"</f>
        <v>FEDERAL WITHHOLDING</v>
      </c>
    </row>
    <row r="1838" spans="1:8" x14ac:dyDescent="0.25">
      <c r="E1838" t="str">
        <f>"T1 202105123161"</f>
        <v>T1 202105123161</v>
      </c>
      <c r="F1838" t="str">
        <f>"FEDERAL WITHHOLDING"</f>
        <v>FEDERAL WITHHOLDING</v>
      </c>
      <c r="G1838" s="2">
        <v>2983.13</v>
      </c>
      <c r="H1838" t="str">
        <f>"FEDERAL WITHHOLDING"</f>
        <v>FEDERAL WITHHOLDING</v>
      </c>
    </row>
    <row r="1839" spans="1:8" x14ac:dyDescent="0.25">
      <c r="E1839" t="str">
        <f>"T1 202105123162"</f>
        <v>T1 202105123162</v>
      </c>
      <c r="F1839" t="str">
        <f>"FEDERAL WITHHOLDING"</f>
        <v>FEDERAL WITHHOLDING</v>
      </c>
      <c r="G1839" s="2">
        <v>3634.24</v>
      </c>
      <c r="H1839" t="str">
        <f>"FEDERAL WITHHOLDING"</f>
        <v>FEDERAL WITHHOLDING</v>
      </c>
    </row>
    <row r="1840" spans="1:8" x14ac:dyDescent="0.25">
      <c r="E1840" t="str">
        <f>"T3 202105123160"</f>
        <v>T3 202105123160</v>
      </c>
      <c r="F1840" t="str">
        <f>"SOCIAL SECURITY TAXES"</f>
        <v>SOCIAL SECURITY TAXES</v>
      </c>
      <c r="G1840" s="2">
        <v>120904.98</v>
      </c>
      <c r="H1840" t="str">
        <f t="shared" ref="H1840:H1871" si="30">"SOCIAL SECURITY TAXES"</f>
        <v>SOCIAL SECURITY TAXES</v>
      </c>
    </row>
    <row r="1841" spans="5:8" x14ac:dyDescent="0.25">
      <c r="E1841" t="str">
        <f>""</f>
        <v/>
      </c>
      <c r="F1841" t="str">
        <f>""</f>
        <v/>
      </c>
      <c r="H1841" t="str">
        <f t="shared" si="30"/>
        <v>SOCIAL SECURITY TAXES</v>
      </c>
    </row>
    <row r="1842" spans="5:8" x14ac:dyDescent="0.25">
      <c r="E1842" t="str">
        <f>""</f>
        <v/>
      </c>
      <c r="F1842" t="str">
        <f>""</f>
        <v/>
      </c>
      <c r="H1842" t="str">
        <f t="shared" si="30"/>
        <v>SOCIAL SECURITY TAXES</v>
      </c>
    </row>
    <row r="1843" spans="5:8" x14ac:dyDescent="0.25">
      <c r="E1843" t="str">
        <f>""</f>
        <v/>
      </c>
      <c r="F1843" t="str">
        <f>""</f>
        <v/>
      </c>
      <c r="H1843" t="str">
        <f t="shared" si="30"/>
        <v>SOCIAL SECURITY TAXES</v>
      </c>
    </row>
    <row r="1844" spans="5:8" x14ac:dyDescent="0.25">
      <c r="E1844" t="str">
        <f>""</f>
        <v/>
      </c>
      <c r="F1844" t="str">
        <f>""</f>
        <v/>
      </c>
      <c r="H1844" t="str">
        <f t="shared" si="30"/>
        <v>SOCIAL SECURITY TAXES</v>
      </c>
    </row>
    <row r="1845" spans="5:8" x14ac:dyDescent="0.25">
      <c r="E1845" t="str">
        <f>""</f>
        <v/>
      </c>
      <c r="F1845" t="str">
        <f>""</f>
        <v/>
      </c>
      <c r="H1845" t="str">
        <f t="shared" si="30"/>
        <v>SOCIAL SECURITY TAXES</v>
      </c>
    </row>
    <row r="1846" spans="5:8" x14ac:dyDescent="0.25">
      <c r="E1846" t="str">
        <f>""</f>
        <v/>
      </c>
      <c r="F1846" t="str">
        <f>""</f>
        <v/>
      </c>
      <c r="H1846" t="str">
        <f t="shared" si="30"/>
        <v>SOCIAL SECURITY TAXES</v>
      </c>
    </row>
    <row r="1847" spans="5:8" x14ac:dyDescent="0.25">
      <c r="E1847" t="str">
        <f>""</f>
        <v/>
      </c>
      <c r="F1847" t="str">
        <f>""</f>
        <v/>
      </c>
      <c r="H1847" t="str">
        <f t="shared" si="30"/>
        <v>SOCIAL SECURITY TAXES</v>
      </c>
    </row>
    <row r="1848" spans="5:8" x14ac:dyDescent="0.25">
      <c r="E1848" t="str">
        <f>""</f>
        <v/>
      </c>
      <c r="F1848" t="str">
        <f>""</f>
        <v/>
      </c>
      <c r="H1848" t="str">
        <f t="shared" si="30"/>
        <v>SOCIAL SECURITY TAXES</v>
      </c>
    </row>
    <row r="1849" spans="5:8" x14ac:dyDescent="0.25">
      <c r="E1849" t="str">
        <f>""</f>
        <v/>
      </c>
      <c r="F1849" t="str">
        <f>""</f>
        <v/>
      </c>
      <c r="H1849" t="str">
        <f t="shared" si="30"/>
        <v>SOCIAL SECURITY TAXES</v>
      </c>
    </row>
    <row r="1850" spans="5:8" x14ac:dyDescent="0.25">
      <c r="E1850" t="str">
        <f>""</f>
        <v/>
      </c>
      <c r="F1850" t="str">
        <f>""</f>
        <v/>
      </c>
      <c r="H1850" t="str">
        <f t="shared" si="30"/>
        <v>SOCIAL SECURITY TAXES</v>
      </c>
    </row>
    <row r="1851" spans="5:8" x14ac:dyDescent="0.25">
      <c r="E1851" t="str">
        <f>""</f>
        <v/>
      </c>
      <c r="F1851" t="str">
        <f>""</f>
        <v/>
      </c>
      <c r="H1851" t="str">
        <f t="shared" si="30"/>
        <v>SOCIAL SECURITY TAXES</v>
      </c>
    </row>
    <row r="1852" spans="5:8" x14ac:dyDescent="0.25">
      <c r="E1852" t="str">
        <f>""</f>
        <v/>
      </c>
      <c r="F1852" t="str">
        <f>""</f>
        <v/>
      </c>
      <c r="H1852" t="str">
        <f t="shared" si="30"/>
        <v>SOCIAL SECURITY TAXES</v>
      </c>
    </row>
    <row r="1853" spans="5:8" x14ac:dyDescent="0.25">
      <c r="E1853" t="str">
        <f>""</f>
        <v/>
      </c>
      <c r="F1853" t="str">
        <f>""</f>
        <v/>
      </c>
      <c r="H1853" t="str">
        <f t="shared" si="30"/>
        <v>SOCIAL SECURITY TAXES</v>
      </c>
    </row>
    <row r="1854" spans="5:8" x14ac:dyDescent="0.25">
      <c r="E1854" t="str">
        <f>""</f>
        <v/>
      </c>
      <c r="F1854" t="str">
        <f>""</f>
        <v/>
      </c>
      <c r="H1854" t="str">
        <f t="shared" si="30"/>
        <v>SOCIAL SECURITY TAXES</v>
      </c>
    </row>
    <row r="1855" spans="5:8" x14ac:dyDescent="0.25">
      <c r="E1855" t="str">
        <f>""</f>
        <v/>
      </c>
      <c r="F1855" t="str">
        <f>""</f>
        <v/>
      </c>
      <c r="H1855" t="str">
        <f t="shared" si="30"/>
        <v>SOCIAL SECURITY TAXES</v>
      </c>
    </row>
    <row r="1856" spans="5:8" x14ac:dyDescent="0.25">
      <c r="E1856" t="str">
        <f>""</f>
        <v/>
      </c>
      <c r="F1856" t="str">
        <f>""</f>
        <v/>
      </c>
      <c r="H1856" t="str">
        <f t="shared" si="30"/>
        <v>SOCIAL SECURITY TAXES</v>
      </c>
    </row>
    <row r="1857" spans="5:8" x14ac:dyDescent="0.25">
      <c r="E1857" t="str">
        <f>""</f>
        <v/>
      </c>
      <c r="F1857" t="str">
        <f>""</f>
        <v/>
      </c>
      <c r="H1857" t="str">
        <f t="shared" si="30"/>
        <v>SOCIAL SECURITY TAXES</v>
      </c>
    </row>
    <row r="1858" spans="5:8" x14ac:dyDescent="0.25">
      <c r="E1858" t="str">
        <f>""</f>
        <v/>
      </c>
      <c r="F1858" t="str">
        <f>""</f>
        <v/>
      </c>
      <c r="H1858" t="str">
        <f t="shared" si="30"/>
        <v>SOCIAL SECURITY TAXES</v>
      </c>
    </row>
    <row r="1859" spans="5:8" x14ac:dyDescent="0.25">
      <c r="E1859" t="str">
        <f>""</f>
        <v/>
      </c>
      <c r="F1859" t="str">
        <f>""</f>
        <v/>
      </c>
      <c r="H1859" t="str">
        <f t="shared" si="30"/>
        <v>SOCIAL SECURITY TAXES</v>
      </c>
    </row>
    <row r="1860" spans="5:8" x14ac:dyDescent="0.25">
      <c r="E1860" t="str">
        <f>""</f>
        <v/>
      </c>
      <c r="F1860" t="str">
        <f>""</f>
        <v/>
      </c>
      <c r="H1860" t="str">
        <f t="shared" si="30"/>
        <v>SOCIAL SECURITY TAXES</v>
      </c>
    </row>
    <row r="1861" spans="5:8" x14ac:dyDescent="0.25">
      <c r="E1861" t="str">
        <f>""</f>
        <v/>
      </c>
      <c r="F1861" t="str">
        <f>""</f>
        <v/>
      </c>
      <c r="H1861" t="str">
        <f t="shared" si="30"/>
        <v>SOCIAL SECURITY TAXES</v>
      </c>
    </row>
    <row r="1862" spans="5:8" x14ac:dyDescent="0.25">
      <c r="E1862" t="str">
        <f>""</f>
        <v/>
      </c>
      <c r="F1862" t="str">
        <f>""</f>
        <v/>
      </c>
      <c r="H1862" t="str">
        <f t="shared" si="30"/>
        <v>SOCIAL SECURITY TAXES</v>
      </c>
    </row>
    <row r="1863" spans="5:8" x14ac:dyDescent="0.25">
      <c r="E1863" t="str">
        <f>""</f>
        <v/>
      </c>
      <c r="F1863" t="str">
        <f>""</f>
        <v/>
      </c>
      <c r="H1863" t="str">
        <f t="shared" si="30"/>
        <v>SOCIAL SECURITY TAXES</v>
      </c>
    </row>
    <row r="1864" spans="5:8" x14ac:dyDescent="0.25">
      <c r="E1864" t="str">
        <f>""</f>
        <v/>
      </c>
      <c r="F1864" t="str">
        <f>""</f>
        <v/>
      </c>
      <c r="H1864" t="str">
        <f t="shared" si="30"/>
        <v>SOCIAL SECURITY TAXES</v>
      </c>
    </row>
    <row r="1865" spans="5:8" x14ac:dyDescent="0.25">
      <c r="E1865" t="str">
        <f>""</f>
        <v/>
      </c>
      <c r="F1865" t="str">
        <f>""</f>
        <v/>
      </c>
      <c r="H1865" t="str">
        <f t="shared" si="30"/>
        <v>SOCIAL SECURITY TAXES</v>
      </c>
    </row>
    <row r="1866" spans="5:8" x14ac:dyDescent="0.25">
      <c r="E1866" t="str">
        <f>""</f>
        <v/>
      </c>
      <c r="F1866" t="str">
        <f>""</f>
        <v/>
      </c>
      <c r="H1866" t="str">
        <f t="shared" si="30"/>
        <v>SOCIAL SECURITY TAXES</v>
      </c>
    </row>
    <row r="1867" spans="5:8" x14ac:dyDescent="0.25">
      <c r="E1867" t="str">
        <f>""</f>
        <v/>
      </c>
      <c r="F1867" t="str">
        <f>""</f>
        <v/>
      </c>
      <c r="H1867" t="str">
        <f t="shared" si="30"/>
        <v>SOCIAL SECURITY TAXES</v>
      </c>
    </row>
    <row r="1868" spans="5:8" x14ac:dyDescent="0.25">
      <c r="E1868" t="str">
        <f>""</f>
        <v/>
      </c>
      <c r="F1868" t="str">
        <f>""</f>
        <v/>
      </c>
      <c r="H1868" t="str">
        <f t="shared" si="30"/>
        <v>SOCIAL SECURITY TAXES</v>
      </c>
    </row>
    <row r="1869" spans="5:8" x14ac:dyDescent="0.25">
      <c r="E1869" t="str">
        <f>""</f>
        <v/>
      </c>
      <c r="F1869" t="str">
        <f>""</f>
        <v/>
      </c>
      <c r="H1869" t="str">
        <f t="shared" si="30"/>
        <v>SOCIAL SECURITY TAXES</v>
      </c>
    </row>
    <row r="1870" spans="5:8" x14ac:dyDescent="0.25">
      <c r="E1870" t="str">
        <f>""</f>
        <v/>
      </c>
      <c r="F1870" t="str">
        <f>""</f>
        <v/>
      </c>
      <c r="H1870" t="str">
        <f t="shared" si="30"/>
        <v>SOCIAL SECURITY TAXES</v>
      </c>
    </row>
    <row r="1871" spans="5:8" x14ac:dyDescent="0.25">
      <c r="E1871" t="str">
        <f>""</f>
        <v/>
      </c>
      <c r="F1871" t="str">
        <f>""</f>
        <v/>
      </c>
      <c r="H1871" t="str">
        <f t="shared" si="30"/>
        <v>SOCIAL SECURITY TAXES</v>
      </c>
    </row>
    <row r="1872" spans="5:8" x14ac:dyDescent="0.25">
      <c r="E1872" t="str">
        <f>""</f>
        <v/>
      </c>
      <c r="F1872" t="str">
        <f>""</f>
        <v/>
      </c>
      <c r="H1872" t="str">
        <f t="shared" ref="H1872:H1896" si="31">"SOCIAL SECURITY TAXES"</f>
        <v>SOCIAL SECURITY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31"/>
        <v>SOCIAL SECURITY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31"/>
        <v>SOCIAL SECURITY TAXES</v>
      </c>
    </row>
    <row r="1875" spans="5:8" x14ac:dyDescent="0.25">
      <c r="E1875" t="str">
        <f>""</f>
        <v/>
      </c>
      <c r="F1875" t="str">
        <f>""</f>
        <v/>
      </c>
      <c r="H1875" t="str">
        <f t="shared" si="31"/>
        <v>SOCIAL SECURITY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31"/>
        <v>SOCIAL SECURITY TAXES</v>
      </c>
    </row>
    <row r="1877" spans="5:8" x14ac:dyDescent="0.25">
      <c r="E1877" t="str">
        <f>""</f>
        <v/>
      </c>
      <c r="F1877" t="str">
        <f>""</f>
        <v/>
      </c>
      <c r="H1877" t="str">
        <f t="shared" si="31"/>
        <v>SOCIAL SECURITY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31"/>
        <v>SOCIAL SECURITY TAXES</v>
      </c>
    </row>
    <row r="1879" spans="5:8" x14ac:dyDescent="0.25">
      <c r="E1879" t="str">
        <f>""</f>
        <v/>
      </c>
      <c r="F1879" t="str">
        <f>""</f>
        <v/>
      </c>
      <c r="H1879" t="str">
        <f t="shared" si="31"/>
        <v>SOCIAL SECURITY TAXES</v>
      </c>
    </row>
    <row r="1880" spans="5:8" x14ac:dyDescent="0.25">
      <c r="E1880" t="str">
        <f>""</f>
        <v/>
      </c>
      <c r="F1880" t="str">
        <f>""</f>
        <v/>
      </c>
      <c r="H1880" t="str">
        <f t="shared" si="31"/>
        <v>SOCIAL SECURITY TAXES</v>
      </c>
    </row>
    <row r="1881" spans="5:8" x14ac:dyDescent="0.25">
      <c r="E1881" t="str">
        <f>""</f>
        <v/>
      </c>
      <c r="F1881" t="str">
        <f>""</f>
        <v/>
      </c>
      <c r="H1881" t="str">
        <f t="shared" si="31"/>
        <v>SOCIAL SECURITY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31"/>
        <v>SOCIAL SECURITY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31"/>
        <v>SOCIAL SECURITY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31"/>
        <v>SOCIAL SECURITY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31"/>
        <v>SOCIAL SECURITY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31"/>
        <v>SOCIAL SECURITY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31"/>
        <v>SOCIAL SECURITY TAXES</v>
      </c>
    </row>
    <row r="1888" spans="5:8" x14ac:dyDescent="0.25">
      <c r="E1888" t="str">
        <f>""</f>
        <v/>
      </c>
      <c r="F1888" t="str">
        <f>""</f>
        <v/>
      </c>
      <c r="H1888" t="str">
        <f t="shared" si="31"/>
        <v>SOCIAL SECURITY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31"/>
        <v>SOCIAL SECURITY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31"/>
        <v>SOCIAL SECURITY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31"/>
        <v>SOCIAL SECURITY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31"/>
        <v>SOCIAL SECURITY TAXES</v>
      </c>
    </row>
    <row r="1893" spans="5:8" x14ac:dyDescent="0.25">
      <c r="E1893" t="str">
        <f>"T3 202105123161"</f>
        <v>T3 202105123161</v>
      </c>
      <c r="F1893" t="str">
        <f>"SOCIAL SECURITY TAXES"</f>
        <v>SOCIAL SECURITY TAXES</v>
      </c>
      <c r="G1893" s="2">
        <v>4221.58</v>
      </c>
      <c r="H1893" t="str">
        <f t="shared" si="31"/>
        <v>SOCIAL SECURITY TAXES</v>
      </c>
    </row>
    <row r="1894" spans="5:8" x14ac:dyDescent="0.25">
      <c r="E1894" t="str">
        <f>""</f>
        <v/>
      </c>
      <c r="F1894" t="str">
        <f>""</f>
        <v/>
      </c>
      <c r="H1894" t="str">
        <f t="shared" si="31"/>
        <v>SOCIAL SECURITY TAXES</v>
      </c>
    </row>
    <row r="1895" spans="5:8" x14ac:dyDescent="0.25">
      <c r="E1895" t="str">
        <f>"T3 202105123162"</f>
        <v>T3 202105123162</v>
      </c>
      <c r="F1895" t="str">
        <f>"SOCIAL SECURITY TAXES"</f>
        <v>SOCIAL SECURITY TAXES</v>
      </c>
      <c r="G1895" s="2">
        <v>5112.3999999999996</v>
      </c>
      <c r="H1895" t="str">
        <f t="shared" si="31"/>
        <v>SOCIAL SECURITY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31"/>
        <v>SOCIAL SECURITY TAXES</v>
      </c>
    </row>
    <row r="1897" spans="5:8" x14ac:dyDescent="0.25">
      <c r="E1897" t="str">
        <f>"T4 202105123160"</f>
        <v>T4 202105123160</v>
      </c>
      <c r="F1897" t="str">
        <f>"MEDICARE TAXES"</f>
        <v>MEDICARE TAXES</v>
      </c>
      <c r="G1897" s="2">
        <v>28276.12</v>
      </c>
      <c r="H1897" t="str">
        <f t="shared" ref="H1897:H1928" si="32">"MEDICARE TAXES"</f>
        <v>MEDICARE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32"/>
        <v>MEDICARE TAXES</v>
      </c>
    </row>
    <row r="1899" spans="5:8" x14ac:dyDescent="0.25">
      <c r="E1899" t="str">
        <f>""</f>
        <v/>
      </c>
      <c r="F1899" t="str">
        <f>""</f>
        <v/>
      </c>
      <c r="H1899" t="str">
        <f t="shared" si="32"/>
        <v>MEDICARE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32"/>
        <v>MEDICARE TAXES</v>
      </c>
    </row>
    <row r="1901" spans="5:8" x14ac:dyDescent="0.25">
      <c r="E1901" t="str">
        <f>""</f>
        <v/>
      </c>
      <c r="F1901" t="str">
        <f>""</f>
        <v/>
      </c>
      <c r="H1901" t="str">
        <f t="shared" si="32"/>
        <v>MEDICARE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32"/>
        <v>MEDICARE TAXES</v>
      </c>
    </row>
    <row r="1903" spans="5:8" x14ac:dyDescent="0.25">
      <c r="E1903" t="str">
        <f>""</f>
        <v/>
      </c>
      <c r="F1903" t="str">
        <f>""</f>
        <v/>
      </c>
      <c r="H1903" t="str">
        <f t="shared" si="32"/>
        <v>MEDICARE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32"/>
        <v>MEDICARE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32"/>
        <v>MEDICARE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2"/>
        <v>MEDICARE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2"/>
        <v>MEDICARE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2"/>
        <v>MEDICARE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2"/>
        <v>MEDICARE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2"/>
        <v>MEDICARE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32"/>
        <v>MEDICARE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2"/>
        <v>MEDICARE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32"/>
        <v>MEDICARE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2"/>
        <v>MEDICARE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32"/>
        <v>MEDICARE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2"/>
        <v>MEDICARE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32"/>
        <v>MEDICARE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32"/>
        <v>MEDICARE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32"/>
        <v>MEDICARE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32"/>
        <v>MEDICARE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32"/>
        <v>MEDICARE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32"/>
        <v>MEDICARE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32"/>
        <v>MEDICARE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32"/>
        <v>MEDICARE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32"/>
        <v>MEDICARE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32"/>
        <v>MEDICARE TAXES</v>
      </c>
    </row>
    <row r="1927" spans="5:8" x14ac:dyDescent="0.25">
      <c r="E1927" t="str">
        <f>""</f>
        <v/>
      </c>
      <c r="F1927" t="str">
        <f>""</f>
        <v/>
      </c>
      <c r="H1927" t="str">
        <f t="shared" si="32"/>
        <v>MEDICARE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32"/>
        <v>MEDICARE TAXES</v>
      </c>
    </row>
    <row r="1929" spans="5:8" x14ac:dyDescent="0.25">
      <c r="E1929" t="str">
        <f>""</f>
        <v/>
      </c>
      <c r="F1929" t="str">
        <f>""</f>
        <v/>
      </c>
      <c r="H1929" t="str">
        <f t="shared" ref="H1929:H1953" si="33">"MEDICARE TAXES"</f>
        <v>MEDICARE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33"/>
        <v>MEDICARE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33"/>
        <v>MEDICARE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33"/>
        <v>MEDICARE TAXES</v>
      </c>
    </row>
    <row r="1933" spans="5:8" x14ac:dyDescent="0.25">
      <c r="E1933" t="str">
        <f>""</f>
        <v/>
      </c>
      <c r="F1933" t="str">
        <f>""</f>
        <v/>
      </c>
      <c r="H1933" t="str">
        <f t="shared" si="33"/>
        <v>MEDICARE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33"/>
        <v>MEDICARE TAXES</v>
      </c>
    </row>
    <row r="1935" spans="5:8" x14ac:dyDescent="0.25">
      <c r="E1935" t="str">
        <f>""</f>
        <v/>
      </c>
      <c r="F1935" t="str">
        <f>""</f>
        <v/>
      </c>
      <c r="H1935" t="str">
        <f t="shared" si="33"/>
        <v>MEDICARE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33"/>
        <v>MEDICARE TAXES</v>
      </c>
    </row>
    <row r="1937" spans="5:8" x14ac:dyDescent="0.25">
      <c r="E1937" t="str">
        <f>""</f>
        <v/>
      </c>
      <c r="F1937" t="str">
        <f>""</f>
        <v/>
      </c>
      <c r="H1937" t="str">
        <f t="shared" si="33"/>
        <v>MEDICARE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33"/>
        <v>MEDICARE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33"/>
        <v>MEDICARE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33"/>
        <v>MEDICARE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33"/>
        <v>MEDICARE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33"/>
        <v>MEDICARE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33"/>
        <v>MEDICARE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33"/>
        <v>MEDICARE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33"/>
        <v>MEDICARE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33"/>
        <v>MEDICARE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33"/>
        <v>MEDICARE TAXES</v>
      </c>
    </row>
    <row r="1948" spans="5:8" x14ac:dyDescent="0.25">
      <c r="E1948" t="str">
        <f>""</f>
        <v/>
      </c>
      <c r="F1948" t="str">
        <f>""</f>
        <v/>
      </c>
      <c r="H1948" t="str">
        <f t="shared" si="33"/>
        <v>MEDICARE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33"/>
        <v>MEDICARE TAXES</v>
      </c>
    </row>
    <row r="1950" spans="5:8" x14ac:dyDescent="0.25">
      <c r="E1950" t="str">
        <f>"T4 202105123161"</f>
        <v>T4 202105123161</v>
      </c>
      <c r="F1950" t="str">
        <f>"MEDICARE TAXES"</f>
        <v>MEDICARE TAXES</v>
      </c>
      <c r="G1950" s="2">
        <v>987.34</v>
      </c>
      <c r="H1950" t="str">
        <f t="shared" si="33"/>
        <v>MEDICARE TAXES</v>
      </c>
    </row>
    <row r="1951" spans="5:8" x14ac:dyDescent="0.25">
      <c r="E1951" t="str">
        <f>""</f>
        <v/>
      </c>
      <c r="F1951" t="str">
        <f>""</f>
        <v/>
      </c>
      <c r="H1951" t="str">
        <f t="shared" si="33"/>
        <v>MEDICARE TAXES</v>
      </c>
    </row>
    <row r="1952" spans="5:8" x14ac:dyDescent="0.25">
      <c r="E1952" t="str">
        <f>"T4 202105123162"</f>
        <v>T4 202105123162</v>
      </c>
      <c r="F1952" t="str">
        <f>"MEDICARE TAXES"</f>
        <v>MEDICARE TAXES</v>
      </c>
      <c r="G1952" s="2">
        <v>1195.68</v>
      </c>
      <c r="H1952" t="str">
        <f t="shared" si="33"/>
        <v>MEDICARE TAXES</v>
      </c>
    </row>
    <row r="1953" spans="1:8" x14ac:dyDescent="0.25">
      <c r="E1953" t="str">
        <f>""</f>
        <v/>
      </c>
      <c r="F1953" t="str">
        <f>""</f>
        <v/>
      </c>
      <c r="H1953" t="str">
        <f t="shared" si="33"/>
        <v>MEDICARE TAXES</v>
      </c>
    </row>
    <row r="1954" spans="1:8" x14ac:dyDescent="0.25">
      <c r="A1954" t="s">
        <v>362</v>
      </c>
      <c r="B1954">
        <v>1073</v>
      </c>
      <c r="C1954" s="2">
        <v>8058.59</v>
      </c>
      <c r="D1954" s="1">
        <v>44337</v>
      </c>
      <c r="E1954" t="str">
        <f>"T1 202105193366"</f>
        <v>T1 202105193366</v>
      </c>
      <c r="F1954" t="str">
        <f>"FEDERAL WITHHOLDING"</f>
        <v>FEDERAL WITHHOLDING</v>
      </c>
      <c r="G1954" s="2">
        <v>2363.63</v>
      </c>
      <c r="H1954" t="str">
        <f>"FEDERAL WITHHOLDING"</f>
        <v>FEDERAL WITHHOLDING</v>
      </c>
    </row>
    <row r="1955" spans="1:8" x14ac:dyDescent="0.25">
      <c r="E1955" t="str">
        <f>"T3 202105193366"</f>
        <v>T3 202105193366</v>
      </c>
      <c r="F1955" t="str">
        <f>"SOCIAL SECURITY TAXES"</f>
        <v>SOCIAL SECURITY TAXES</v>
      </c>
      <c r="G1955" s="2">
        <v>4615.46</v>
      </c>
      <c r="H1955" t="str">
        <f t="shared" ref="H1955:H1963" si="34">"SOCIAL SECURITY TAXES"</f>
        <v>SOCIAL SECURITY TAXES</v>
      </c>
    </row>
    <row r="1956" spans="1:8" x14ac:dyDescent="0.25">
      <c r="E1956" t="str">
        <f>""</f>
        <v/>
      </c>
      <c r="F1956" t="str">
        <f>""</f>
        <v/>
      </c>
      <c r="H1956" t="str">
        <f t="shared" si="34"/>
        <v>SOCIAL SECURITY TAXES</v>
      </c>
    </row>
    <row r="1957" spans="1:8" x14ac:dyDescent="0.25">
      <c r="E1957" t="str">
        <f>""</f>
        <v/>
      </c>
      <c r="F1957" t="str">
        <f>""</f>
        <v/>
      </c>
      <c r="H1957" t="str">
        <f t="shared" si="34"/>
        <v>SOCIAL SECURITY TAXES</v>
      </c>
    </row>
    <row r="1958" spans="1:8" x14ac:dyDescent="0.25">
      <c r="E1958" t="str">
        <f>""</f>
        <v/>
      </c>
      <c r="F1958" t="str">
        <f>""</f>
        <v/>
      </c>
      <c r="H1958" t="str">
        <f t="shared" si="34"/>
        <v>SOCIAL SECURITY TAXES</v>
      </c>
    </row>
    <row r="1959" spans="1:8" x14ac:dyDescent="0.25">
      <c r="E1959" t="str">
        <f>""</f>
        <v/>
      </c>
      <c r="F1959" t="str">
        <f>""</f>
        <v/>
      </c>
      <c r="H1959" t="str">
        <f t="shared" si="34"/>
        <v>SOCIAL SECURITY TAXES</v>
      </c>
    </row>
    <row r="1960" spans="1:8" x14ac:dyDescent="0.25">
      <c r="E1960" t="str">
        <f>""</f>
        <v/>
      </c>
      <c r="F1960" t="str">
        <f>""</f>
        <v/>
      </c>
      <c r="H1960" t="str">
        <f t="shared" si="34"/>
        <v>SOCIAL SECURITY TAXES</v>
      </c>
    </row>
    <row r="1961" spans="1:8" x14ac:dyDescent="0.25">
      <c r="E1961" t="str">
        <f>""</f>
        <v/>
      </c>
      <c r="F1961" t="str">
        <f>""</f>
        <v/>
      </c>
      <c r="H1961" t="str">
        <f t="shared" si="34"/>
        <v>SOCIAL SECURITY TAXES</v>
      </c>
    </row>
    <row r="1962" spans="1:8" x14ac:dyDescent="0.25">
      <c r="E1962" t="str">
        <f>""</f>
        <v/>
      </c>
      <c r="F1962" t="str">
        <f>""</f>
        <v/>
      </c>
      <c r="H1962" t="str">
        <f t="shared" si="34"/>
        <v>SOCIAL SECURITY TAXES</v>
      </c>
    </row>
    <row r="1963" spans="1:8" x14ac:dyDescent="0.25">
      <c r="E1963" t="str">
        <f>""</f>
        <v/>
      </c>
      <c r="F1963" t="str">
        <f>""</f>
        <v/>
      </c>
      <c r="H1963" t="str">
        <f t="shared" si="34"/>
        <v>SOCIAL SECURITY TAXES</v>
      </c>
    </row>
    <row r="1964" spans="1:8" x14ac:dyDescent="0.25">
      <c r="E1964" t="str">
        <f>"T4 202105193366"</f>
        <v>T4 202105193366</v>
      </c>
      <c r="F1964" t="str">
        <f>"MEDICARE TAXES"</f>
        <v>MEDICARE TAXES</v>
      </c>
      <c r="G1964" s="2">
        <v>1079.5</v>
      </c>
      <c r="H1964" t="str">
        <f t="shared" ref="H1964:H1972" si="35">"MEDICARE TAXES"</f>
        <v>MEDICARE TAXES</v>
      </c>
    </row>
    <row r="1965" spans="1:8" x14ac:dyDescent="0.25">
      <c r="E1965" t="str">
        <f>""</f>
        <v/>
      </c>
      <c r="F1965" t="str">
        <f>""</f>
        <v/>
      </c>
      <c r="H1965" t="str">
        <f t="shared" si="35"/>
        <v>MEDICARE TAXES</v>
      </c>
    </row>
    <row r="1966" spans="1:8" x14ac:dyDescent="0.25">
      <c r="E1966" t="str">
        <f>""</f>
        <v/>
      </c>
      <c r="F1966" t="str">
        <f>""</f>
        <v/>
      </c>
      <c r="H1966" t="str">
        <f t="shared" si="35"/>
        <v>MEDICARE TAXES</v>
      </c>
    </row>
    <row r="1967" spans="1:8" x14ac:dyDescent="0.25">
      <c r="E1967" t="str">
        <f>""</f>
        <v/>
      </c>
      <c r="F1967" t="str">
        <f>""</f>
        <v/>
      </c>
      <c r="H1967" t="str">
        <f t="shared" si="35"/>
        <v>MEDICARE TAXES</v>
      </c>
    </row>
    <row r="1968" spans="1:8" x14ac:dyDescent="0.25">
      <c r="E1968" t="str">
        <f>""</f>
        <v/>
      </c>
      <c r="F1968" t="str">
        <f>""</f>
        <v/>
      </c>
      <c r="H1968" t="str">
        <f t="shared" si="35"/>
        <v>MEDICARE TAXES</v>
      </c>
    </row>
    <row r="1969" spans="1:8" x14ac:dyDescent="0.25">
      <c r="E1969" t="str">
        <f>""</f>
        <v/>
      </c>
      <c r="F1969" t="str">
        <f>""</f>
        <v/>
      </c>
      <c r="H1969" t="str">
        <f t="shared" si="35"/>
        <v>MEDICARE TAXES</v>
      </c>
    </row>
    <row r="1970" spans="1:8" x14ac:dyDescent="0.25">
      <c r="E1970" t="str">
        <f>""</f>
        <v/>
      </c>
      <c r="F1970" t="str">
        <f>""</f>
        <v/>
      </c>
      <c r="H1970" t="str">
        <f t="shared" si="35"/>
        <v>MEDICARE TAXES</v>
      </c>
    </row>
    <row r="1971" spans="1:8" x14ac:dyDescent="0.25">
      <c r="E1971" t="str">
        <f>""</f>
        <v/>
      </c>
      <c r="F1971" t="str">
        <f>""</f>
        <v/>
      </c>
      <c r="H1971" t="str">
        <f t="shared" si="35"/>
        <v>MEDICARE TAXES</v>
      </c>
    </row>
    <row r="1972" spans="1:8" x14ac:dyDescent="0.25">
      <c r="E1972" t="str">
        <f>""</f>
        <v/>
      </c>
      <c r="F1972" t="str">
        <f>""</f>
        <v/>
      </c>
      <c r="H1972" t="str">
        <f t="shared" si="35"/>
        <v>MEDICARE TAXES</v>
      </c>
    </row>
    <row r="1973" spans="1:8" x14ac:dyDescent="0.25">
      <c r="A1973" t="s">
        <v>362</v>
      </c>
      <c r="B1973">
        <v>1078</v>
      </c>
      <c r="C1973" s="2">
        <v>250352.31</v>
      </c>
      <c r="D1973" s="1">
        <v>44344</v>
      </c>
      <c r="E1973" t="str">
        <f>"T1 202105263414"</f>
        <v>T1 202105263414</v>
      </c>
      <c r="F1973" t="str">
        <f>"FEDERAL WITHHOLDING"</f>
        <v>FEDERAL WITHHOLDING</v>
      </c>
      <c r="G1973" s="2">
        <v>82795.320000000007</v>
      </c>
      <c r="H1973" t="str">
        <f>"FEDERAL WITHHOLDING"</f>
        <v>FEDERAL WITHHOLDING</v>
      </c>
    </row>
    <row r="1974" spans="1:8" x14ac:dyDescent="0.25">
      <c r="E1974" t="str">
        <f>"T1 202105263415"</f>
        <v>T1 202105263415</v>
      </c>
      <c r="F1974" t="str">
        <f>"FEDERAL WITHHOLDING"</f>
        <v>FEDERAL WITHHOLDING</v>
      </c>
      <c r="G1974" s="2">
        <v>3536.27</v>
      </c>
      <c r="H1974" t="str">
        <f>"FEDERAL WITHHOLDING"</f>
        <v>FEDERAL WITHHOLDING</v>
      </c>
    </row>
    <row r="1975" spans="1:8" x14ac:dyDescent="0.25">
      <c r="E1975" t="str">
        <f>"T1 202105263416"</f>
        <v>T1 202105263416</v>
      </c>
      <c r="F1975" t="str">
        <f>"FEDERAL WITHHOLDING"</f>
        <v>FEDERAL WITHHOLDING</v>
      </c>
      <c r="G1975" s="2">
        <v>3071.82</v>
      </c>
      <c r="H1975" t="str">
        <f>"FEDERAL WITHHOLDING"</f>
        <v>FEDERAL WITHHOLDING</v>
      </c>
    </row>
    <row r="1976" spans="1:8" x14ac:dyDescent="0.25">
      <c r="E1976" t="str">
        <f>"T3 202105263414"</f>
        <v>T3 202105263414</v>
      </c>
      <c r="F1976" t="str">
        <f>"SOCIAL SECURITY TAXES"</f>
        <v>SOCIAL SECURITY TAXES</v>
      </c>
      <c r="G1976" s="2">
        <v>121325.75999999999</v>
      </c>
      <c r="H1976" t="str">
        <f t="shared" ref="H1976:H2007" si="36">"SOCIAL SECURITY TAXES"</f>
        <v>SOCIAL SECURITY TAXES</v>
      </c>
    </row>
    <row r="1977" spans="1:8" x14ac:dyDescent="0.25">
      <c r="E1977" t="str">
        <f>""</f>
        <v/>
      </c>
      <c r="F1977" t="str">
        <f>""</f>
        <v/>
      </c>
      <c r="H1977" t="str">
        <f t="shared" si="36"/>
        <v>SOCIAL SECURITY TAXES</v>
      </c>
    </row>
    <row r="1978" spans="1:8" x14ac:dyDescent="0.25">
      <c r="E1978" t="str">
        <f>""</f>
        <v/>
      </c>
      <c r="F1978" t="str">
        <f>""</f>
        <v/>
      </c>
      <c r="H1978" t="str">
        <f t="shared" si="36"/>
        <v>SOCIAL SECURITY TAXES</v>
      </c>
    </row>
    <row r="1979" spans="1:8" x14ac:dyDescent="0.25">
      <c r="E1979" t="str">
        <f>""</f>
        <v/>
      </c>
      <c r="F1979" t="str">
        <f>""</f>
        <v/>
      </c>
      <c r="H1979" t="str">
        <f t="shared" si="36"/>
        <v>SOCIAL SECURITY TAXES</v>
      </c>
    </row>
    <row r="1980" spans="1:8" x14ac:dyDescent="0.25">
      <c r="E1980" t="str">
        <f>""</f>
        <v/>
      </c>
      <c r="F1980" t="str">
        <f>""</f>
        <v/>
      </c>
      <c r="H1980" t="str">
        <f t="shared" si="36"/>
        <v>SOCIAL SECURITY TAXES</v>
      </c>
    </row>
    <row r="1981" spans="1:8" x14ac:dyDescent="0.25">
      <c r="E1981" t="str">
        <f>""</f>
        <v/>
      </c>
      <c r="F1981" t="str">
        <f>""</f>
        <v/>
      </c>
      <c r="H1981" t="str">
        <f t="shared" si="36"/>
        <v>SOCIAL SECURITY TAXES</v>
      </c>
    </row>
    <row r="1982" spans="1:8" x14ac:dyDescent="0.25">
      <c r="E1982" t="str">
        <f>""</f>
        <v/>
      </c>
      <c r="F1982" t="str">
        <f>""</f>
        <v/>
      </c>
      <c r="H1982" t="str">
        <f t="shared" si="36"/>
        <v>SOCIAL SECURITY TAXES</v>
      </c>
    </row>
    <row r="1983" spans="1:8" x14ac:dyDescent="0.25">
      <c r="E1983" t="str">
        <f>""</f>
        <v/>
      </c>
      <c r="F1983" t="str">
        <f>""</f>
        <v/>
      </c>
      <c r="H1983" t="str">
        <f t="shared" si="36"/>
        <v>SOCIAL SECURITY TAXES</v>
      </c>
    </row>
    <row r="1984" spans="1:8" x14ac:dyDescent="0.25">
      <c r="E1984" t="str">
        <f>""</f>
        <v/>
      </c>
      <c r="F1984" t="str">
        <f>""</f>
        <v/>
      </c>
      <c r="H1984" t="str">
        <f t="shared" si="36"/>
        <v>SOCIAL SECURITY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36"/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36"/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36"/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36"/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36"/>
        <v>SOCIAL SECURITY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36"/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36"/>
        <v>SOCIAL SECURITY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36"/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36"/>
        <v>SOCIAL SECURITY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36"/>
        <v>SOCIAL SECURITY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36"/>
        <v>SOCIAL SECURITY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36"/>
        <v>SOCIAL SECURITY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36"/>
        <v>SOCIAL SECURITY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36"/>
        <v>SOCIAL SECURITY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36"/>
        <v>SOCIAL SECURITY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36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6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6"/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36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6"/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36"/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36"/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36"/>
        <v>SOCIAL SECURITY TAXES</v>
      </c>
    </row>
    <row r="2008" spans="5:8" x14ac:dyDescent="0.25">
      <c r="E2008" t="str">
        <f>""</f>
        <v/>
      </c>
      <c r="F2008" t="str">
        <f>""</f>
        <v/>
      </c>
      <c r="H2008" t="str">
        <f t="shared" ref="H2008:H2032" si="37">"SOCIAL SECURITY TAXES"</f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7"/>
        <v>SOCIAL SECURITY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37"/>
        <v>SOCIAL SECURITY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37"/>
        <v>SOCIAL SECURITY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37"/>
        <v>SOCIAL SECURITY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37"/>
        <v>SOCIAL SECURITY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37"/>
        <v>SOCIAL SECURITY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37"/>
        <v>SOCIAL SECURITY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37"/>
        <v>SOCIAL SECURITY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37"/>
        <v>SOCIAL SECURITY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37"/>
        <v>SOCIAL SECURITY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37"/>
        <v>SOCIAL SECURITY TAXES</v>
      </c>
    </row>
    <row r="2020" spans="5:8" x14ac:dyDescent="0.25">
      <c r="E2020" t="str">
        <f>""</f>
        <v/>
      </c>
      <c r="F2020" t="str">
        <f>""</f>
        <v/>
      </c>
      <c r="H2020" t="str">
        <f t="shared" si="37"/>
        <v>SOCIAL SECURITY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37"/>
        <v>SOCIAL SECURITY TAXES</v>
      </c>
    </row>
    <row r="2022" spans="5:8" x14ac:dyDescent="0.25">
      <c r="E2022" t="str">
        <f>""</f>
        <v/>
      </c>
      <c r="F2022" t="str">
        <f>""</f>
        <v/>
      </c>
      <c r="H2022" t="str">
        <f t="shared" si="37"/>
        <v>SOCIAL SECURITY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37"/>
        <v>SOCIAL SECURITY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37"/>
        <v>SOCIAL SECURITY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37"/>
        <v>SOCIAL SECURITY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37"/>
        <v>SOCIAL SECURITY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37"/>
        <v>SOCIAL SECURITY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37"/>
        <v>SOCIAL SECURITY TAXES</v>
      </c>
    </row>
    <row r="2029" spans="5:8" x14ac:dyDescent="0.25">
      <c r="E2029" t="str">
        <f>"T3 202105263415"</f>
        <v>T3 202105263415</v>
      </c>
      <c r="F2029" t="str">
        <f>"SOCIAL SECURITY TAXES"</f>
        <v>SOCIAL SECURITY TAXES</v>
      </c>
      <c r="G2029" s="2">
        <v>4476.4399999999996</v>
      </c>
      <c r="H2029" t="str">
        <f t="shared" si="37"/>
        <v>SOCIAL SECURITY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37"/>
        <v>SOCIAL SECURITY TAXES</v>
      </c>
    </row>
    <row r="2031" spans="5:8" x14ac:dyDescent="0.25">
      <c r="E2031" t="str">
        <f>"T3 202105263416"</f>
        <v>T3 202105263416</v>
      </c>
      <c r="F2031" t="str">
        <f>"SOCIAL SECURITY TAXES"</f>
        <v>SOCIAL SECURITY TAXES</v>
      </c>
      <c r="G2031" s="2">
        <v>4639.9799999999996</v>
      </c>
      <c r="H2031" t="str">
        <f t="shared" si="37"/>
        <v>SOCIAL SECURITY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37"/>
        <v>SOCIAL SECURITY TAXES</v>
      </c>
    </row>
    <row r="2033" spans="5:8" x14ac:dyDescent="0.25">
      <c r="E2033" t="str">
        <f>"T4 202105263414"</f>
        <v>T4 202105263414</v>
      </c>
      <c r="F2033" t="str">
        <f>"MEDICARE TAXES"</f>
        <v>MEDICARE TAXES</v>
      </c>
      <c r="G2033" s="2">
        <v>28374.58</v>
      </c>
      <c r="H2033" t="str">
        <f t="shared" ref="H2033:H2064" si="38">"MEDICARE TAXES"</f>
        <v>MEDICARE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38"/>
        <v>MEDICARE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38"/>
        <v>MEDICARE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38"/>
        <v>MEDICARE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38"/>
        <v>MEDICARE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38"/>
        <v>MEDICARE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38"/>
        <v>MEDICARE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38"/>
        <v>MEDICARE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38"/>
        <v>MEDICARE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38"/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38"/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38"/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38"/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38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38"/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38"/>
        <v>MEDICARE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38"/>
        <v>MEDICARE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38"/>
        <v>MEDICARE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38"/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38"/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38"/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38"/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38"/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38"/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38"/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38"/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38"/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38"/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38"/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38"/>
        <v>MEDICARE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38"/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38"/>
        <v>MEDICARE TAXES</v>
      </c>
    </row>
    <row r="2065" spans="5:8" x14ac:dyDescent="0.25">
      <c r="E2065" t="str">
        <f>""</f>
        <v/>
      </c>
      <c r="F2065" t="str">
        <f>""</f>
        <v/>
      </c>
      <c r="H2065" t="str">
        <f t="shared" ref="H2065:H2089" si="39">"MEDICARE TAXES"</f>
        <v>MEDICARE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39"/>
        <v>MEDICARE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39"/>
        <v>MEDICARE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39"/>
        <v>MEDICARE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39"/>
        <v>MEDICARE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39"/>
        <v>MEDICARE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39"/>
        <v>MEDICARE TAXES</v>
      </c>
    </row>
    <row r="2072" spans="5:8" x14ac:dyDescent="0.25">
      <c r="E2072" t="str">
        <f>""</f>
        <v/>
      </c>
      <c r="F2072" t="str">
        <f>""</f>
        <v/>
      </c>
      <c r="H2072" t="str">
        <f t="shared" si="39"/>
        <v>MEDICARE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39"/>
        <v>MEDICARE TAXES</v>
      </c>
    </row>
    <row r="2074" spans="5:8" x14ac:dyDescent="0.25">
      <c r="E2074" t="str">
        <f>""</f>
        <v/>
      </c>
      <c r="F2074" t="str">
        <f>""</f>
        <v/>
      </c>
      <c r="H2074" t="str">
        <f t="shared" si="39"/>
        <v>MEDICARE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39"/>
        <v>MEDICARE TAXES</v>
      </c>
    </row>
    <row r="2076" spans="5:8" x14ac:dyDescent="0.25">
      <c r="E2076" t="str">
        <f>""</f>
        <v/>
      </c>
      <c r="F2076" t="str">
        <f>""</f>
        <v/>
      </c>
      <c r="H2076" t="str">
        <f t="shared" si="39"/>
        <v>MEDICARE TAXES</v>
      </c>
    </row>
    <row r="2077" spans="5:8" x14ac:dyDescent="0.25">
      <c r="E2077" t="str">
        <f>""</f>
        <v/>
      </c>
      <c r="F2077" t="str">
        <f>""</f>
        <v/>
      </c>
      <c r="H2077" t="str">
        <f t="shared" si="39"/>
        <v>MEDICARE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39"/>
        <v>MEDICARE TAXES</v>
      </c>
    </row>
    <row r="2079" spans="5:8" x14ac:dyDescent="0.25">
      <c r="E2079" t="str">
        <f>""</f>
        <v/>
      </c>
      <c r="F2079" t="str">
        <f>""</f>
        <v/>
      </c>
      <c r="H2079" t="str">
        <f t="shared" si="39"/>
        <v>MEDICARE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39"/>
        <v>MEDICARE TAXES</v>
      </c>
    </row>
    <row r="2081" spans="1:8" x14ac:dyDescent="0.25">
      <c r="E2081" t="str">
        <f>""</f>
        <v/>
      </c>
      <c r="F2081" t="str">
        <f>""</f>
        <v/>
      </c>
      <c r="H2081" t="str">
        <f t="shared" si="39"/>
        <v>MEDICARE TAXES</v>
      </c>
    </row>
    <row r="2082" spans="1:8" x14ac:dyDescent="0.25">
      <c r="E2082" t="str">
        <f>""</f>
        <v/>
      </c>
      <c r="F2082" t="str">
        <f>""</f>
        <v/>
      </c>
      <c r="H2082" t="str">
        <f t="shared" si="39"/>
        <v>MEDICARE TAXES</v>
      </c>
    </row>
    <row r="2083" spans="1:8" x14ac:dyDescent="0.25">
      <c r="E2083" t="str">
        <f>""</f>
        <v/>
      </c>
      <c r="F2083" t="str">
        <f>""</f>
        <v/>
      </c>
      <c r="H2083" t="str">
        <f t="shared" si="39"/>
        <v>MEDICARE TAXES</v>
      </c>
    </row>
    <row r="2084" spans="1:8" x14ac:dyDescent="0.25">
      <c r="E2084" t="str">
        <f>""</f>
        <v/>
      </c>
      <c r="F2084" t="str">
        <f>""</f>
        <v/>
      </c>
      <c r="H2084" t="str">
        <f t="shared" si="39"/>
        <v>MEDICARE TAXES</v>
      </c>
    </row>
    <row r="2085" spans="1:8" x14ac:dyDescent="0.25">
      <c r="E2085" t="str">
        <f>""</f>
        <v/>
      </c>
      <c r="F2085" t="str">
        <f>""</f>
        <v/>
      </c>
      <c r="H2085" t="str">
        <f t="shared" si="39"/>
        <v>MEDICARE TAXES</v>
      </c>
    </row>
    <row r="2086" spans="1:8" x14ac:dyDescent="0.25">
      <c r="E2086" t="str">
        <f>"T4 202105263415"</f>
        <v>T4 202105263415</v>
      </c>
      <c r="F2086" t="str">
        <f>"MEDICARE TAXES"</f>
        <v>MEDICARE TAXES</v>
      </c>
      <c r="G2086" s="2">
        <v>1046.94</v>
      </c>
      <c r="H2086" t="str">
        <f t="shared" si="39"/>
        <v>MEDICARE TAXES</v>
      </c>
    </row>
    <row r="2087" spans="1:8" x14ac:dyDescent="0.25">
      <c r="E2087" t="str">
        <f>""</f>
        <v/>
      </c>
      <c r="F2087" t="str">
        <f>""</f>
        <v/>
      </c>
      <c r="H2087" t="str">
        <f t="shared" si="39"/>
        <v>MEDICARE TAXES</v>
      </c>
    </row>
    <row r="2088" spans="1:8" x14ac:dyDescent="0.25">
      <c r="E2088" t="str">
        <f>"T4 202105263416"</f>
        <v>T4 202105263416</v>
      </c>
      <c r="F2088" t="str">
        <f>"MEDICARE TAXES"</f>
        <v>MEDICARE TAXES</v>
      </c>
      <c r="G2088" s="2">
        <v>1085.2</v>
      </c>
      <c r="H2088" t="str">
        <f t="shared" si="39"/>
        <v>MEDICARE TAXES</v>
      </c>
    </row>
    <row r="2089" spans="1:8" x14ac:dyDescent="0.25">
      <c r="E2089" t="str">
        <f>""</f>
        <v/>
      </c>
      <c r="F2089" t="str">
        <f>""</f>
        <v/>
      </c>
      <c r="H2089" t="str">
        <f t="shared" si="39"/>
        <v>MEDICARE TAXES</v>
      </c>
    </row>
    <row r="2090" spans="1:8" x14ac:dyDescent="0.25">
      <c r="A2090" t="s">
        <v>363</v>
      </c>
      <c r="B2090">
        <v>1084</v>
      </c>
      <c r="C2090" s="2">
        <v>425.32</v>
      </c>
      <c r="D2090" s="1">
        <v>44342</v>
      </c>
      <c r="E2090" t="str">
        <f>"LIX202105123160"</f>
        <v>LIX202105123160</v>
      </c>
      <c r="F2090" t="str">
        <f>"TEXAS LIFE/OLIVO GROUP"</f>
        <v>TEXAS LIFE/OLIVO GROUP</v>
      </c>
      <c r="G2090" s="2">
        <v>212.66</v>
      </c>
      <c r="H2090" t="str">
        <f>"TEXAS LIFE/OLIVO GROUP"</f>
        <v>TEXAS LIFE/OLIVO GROUP</v>
      </c>
    </row>
    <row r="2091" spans="1:8" x14ac:dyDescent="0.25">
      <c r="E2091" t="str">
        <f>"LIX202105263414"</f>
        <v>LIX202105263414</v>
      </c>
      <c r="F2091" t="str">
        <f>"TEXAS LIFE/OLIVO GROUP"</f>
        <v>TEXAS LIFE/OLIVO GROUP</v>
      </c>
      <c r="G2091" s="2">
        <v>212.66</v>
      </c>
      <c r="H2091" t="str">
        <f>"TEXAS LIFE/OLIVO GROUP"</f>
        <v>TEXAS LIFE/OLIVO GROUP</v>
      </c>
    </row>
    <row r="2092" spans="1:8" x14ac:dyDescent="0.25">
      <c r="A2092" t="s">
        <v>364</v>
      </c>
      <c r="B2092">
        <v>48387</v>
      </c>
      <c r="C2092" s="2">
        <v>385666.76</v>
      </c>
      <c r="D2092" s="1">
        <v>44344</v>
      </c>
      <c r="E2092" t="str">
        <f>"202105263447"</f>
        <v>202105263447</v>
      </c>
      <c r="F2092" t="str">
        <f>"RETIREE INS - MAY 2021"</f>
        <v>RETIREE INS - MAY 2021</v>
      </c>
      <c r="G2092" s="2">
        <v>17603.22</v>
      </c>
      <c r="H2092" t="str">
        <f>"RETIREE INS - MAY 2021"</f>
        <v>RETIREE INS - MAY 2021</v>
      </c>
    </row>
    <row r="2093" spans="1:8" x14ac:dyDescent="0.25">
      <c r="E2093" t="str">
        <f>"202105263448"</f>
        <v>202105263448</v>
      </c>
      <c r="F2093" t="str">
        <f>"ADJUSTMENT - MAY 2021"</f>
        <v>ADJUSTMENT - MAY 2021</v>
      </c>
      <c r="G2093" s="2">
        <v>85.97</v>
      </c>
      <c r="H2093" t="str">
        <f>"ADJUSTMENT - MAY 2021"</f>
        <v>ADJUSTMENT - MAY 2021</v>
      </c>
    </row>
    <row r="2094" spans="1:8" x14ac:dyDescent="0.25">
      <c r="E2094" t="str">
        <f>"2EC202105123160"</f>
        <v>2EC202105123160</v>
      </c>
      <c r="F2094" t="str">
        <f>"BCBS PAYABLE"</f>
        <v>BCBS PAYABLE</v>
      </c>
      <c r="G2094" s="2">
        <v>51673.599999999999</v>
      </c>
      <c r="H2094" t="str">
        <f t="shared" ref="H2094:H2157" si="40">"BCBS PAYABLE"</f>
        <v>BCBS PAYABLE</v>
      </c>
    </row>
    <row r="2095" spans="1:8" x14ac:dyDescent="0.25">
      <c r="E2095" t="str">
        <f>""</f>
        <v/>
      </c>
      <c r="F2095" t="str">
        <f>""</f>
        <v/>
      </c>
      <c r="H2095" t="str">
        <f t="shared" si="40"/>
        <v>BCBS PAYABLE</v>
      </c>
    </row>
    <row r="2096" spans="1:8" x14ac:dyDescent="0.25">
      <c r="E2096" t="str">
        <f>""</f>
        <v/>
      </c>
      <c r="F2096" t="str">
        <f>""</f>
        <v/>
      </c>
      <c r="H2096" t="str">
        <f t="shared" si="40"/>
        <v>BCBS PAYABLE</v>
      </c>
    </row>
    <row r="2097" spans="5:8" x14ac:dyDescent="0.25">
      <c r="E2097" t="str">
        <f>""</f>
        <v/>
      </c>
      <c r="F2097" t="str">
        <f>""</f>
        <v/>
      </c>
      <c r="H2097" t="str">
        <f t="shared" si="40"/>
        <v>BCBS PAYABLE</v>
      </c>
    </row>
    <row r="2098" spans="5:8" x14ac:dyDescent="0.25">
      <c r="E2098" t="str">
        <f>""</f>
        <v/>
      </c>
      <c r="F2098" t="str">
        <f>""</f>
        <v/>
      </c>
      <c r="H2098" t="str">
        <f t="shared" si="40"/>
        <v>BCBS PAYABLE</v>
      </c>
    </row>
    <row r="2099" spans="5:8" x14ac:dyDescent="0.25">
      <c r="E2099" t="str">
        <f>""</f>
        <v/>
      </c>
      <c r="F2099" t="str">
        <f>""</f>
        <v/>
      </c>
      <c r="H2099" t="str">
        <f t="shared" si="40"/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 t="shared" si="40"/>
        <v>BCBS PAYABLE</v>
      </c>
    </row>
    <row r="2101" spans="5:8" x14ac:dyDescent="0.25">
      <c r="E2101" t="str">
        <f>""</f>
        <v/>
      </c>
      <c r="F2101" t="str">
        <f>""</f>
        <v/>
      </c>
      <c r="H2101" t="str">
        <f t="shared" si="40"/>
        <v>BCBS PAYABLE</v>
      </c>
    </row>
    <row r="2102" spans="5:8" x14ac:dyDescent="0.25">
      <c r="E2102" t="str">
        <f>""</f>
        <v/>
      </c>
      <c r="F2102" t="str">
        <f>""</f>
        <v/>
      </c>
      <c r="H2102" t="str">
        <f t="shared" si="40"/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 t="shared" si="40"/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 t="shared" si="40"/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 t="shared" si="40"/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 t="shared" si="40"/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 t="shared" si="40"/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 t="shared" si="40"/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 t="shared" si="40"/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 t="shared" si="40"/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 t="shared" si="40"/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 t="shared" si="40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40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40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40"/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 t="shared" si="40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40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40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si="40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40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40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si="40"/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40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40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40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40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40"/>
        <v>BCBS PAYABLE</v>
      </c>
    </row>
    <row r="2128" spans="5:8" x14ac:dyDescent="0.25">
      <c r="E2128" t="str">
        <f>""</f>
        <v/>
      </c>
      <c r="F2128" t="str">
        <f>""</f>
        <v/>
      </c>
      <c r="H2128" t="str">
        <f t="shared" si="40"/>
        <v>BCBS PAYABLE</v>
      </c>
    </row>
    <row r="2129" spans="5:8" x14ac:dyDescent="0.25">
      <c r="E2129" t="str">
        <f>"2EC202105123161"</f>
        <v>2EC202105123161</v>
      </c>
      <c r="F2129" t="str">
        <f>"BCBS PAYABLE"</f>
        <v>BCBS PAYABLE</v>
      </c>
      <c r="G2129" s="2">
        <v>2348.8000000000002</v>
      </c>
      <c r="H2129" t="str">
        <f t="shared" si="40"/>
        <v>BCBS PAYABLE</v>
      </c>
    </row>
    <row r="2130" spans="5:8" x14ac:dyDescent="0.25">
      <c r="E2130" t="str">
        <f>""</f>
        <v/>
      </c>
      <c r="F2130" t="str">
        <f>""</f>
        <v/>
      </c>
      <c r="H2130" t="str">
        <f t="shared" si="40"/>
        <v>BCBS PAYABLE</v>
      </c>
    </row>
    <row r="2131" spans="5:8" x14ac:dyDescent="0.25">
      <c r="E2131" t="str">
        <f>"2EC202105263414"</f>
        <v>2EC202105263414</v>
      </c>
      <c r="F2131" t="str">
        <f>"BCBS PAYABLE"</f>
        <v>BCBS PAYABLE</v>
      </c>
      <c r="G2131" s="2">
        <v>50734.080000000002</v>
      </c>
      <c r="H2131" t="str">
        <f t="shared" si="40"/>
        <v>BCBS PAYABLE</v>
      </c>
    </row>
    <row r="2132" spans="5:8" x14ac:dyDescent="0.25">
      <c r="E2132" t="str">
        <f>""</f>
        <v/>
      </c>
      <c r="F2132" t="str">
        <f>""</f>
        <v/>
      </c>
      <c r="H2132" t="str">
        <f t="shared" si="40"/>
        <v>BCBS PAYABLE</v>
      </c>
    </row>
    <row r="2133" spans="5:8" x14ac:dyDescent="0.25">
      <c r="E2133" t="str">
        <f>""</f>
        <v/>
      </c>
      <c r="F2133" t="str">
        <f>""</f>
        <v/>
      </c>
      <c r="H2133" t="str">
        <f t="shared" si="40"/>
        <v>BCBS PAYABLE</v>
      </c>
    </row>
    <row r="2134" spans="5:8" x14ac:dyDescent="0.25">
      <c r="E2134" t="str">
        <f>""</f>
        <v/>
      </c>
      <c r="F2134" t="str">
        <f>""</f>
        <v/>
      </c>
      <c r="H2134" t="str">
        <f t="shared" si="40"/>
        <v>BCBS PAYABLE</v>
      </c>
    </row>
    <row r="2135" spans="5:8" x14ac:dyDescent="0.25">
      <c r="E2135" t="str">
        <f>""</f>
        <v/>
      </c>
      <c r="F2135" t="str">
        <f>""</f>
        <v/>
      </c>
      <c r="H2135" t="str">
        <f t="shared" si="40"/>
        <v>BCBS PAYABLE</v>
      </c>
    </row>
    <row r="2136" spans="5:8" x14ac:dyDescent="0.25">
      <c r="E2136" t="str">
        <f>""</f>
        <v/>
      </c>
      <c r="F2136" t="str">
        <f>""</f>
        <v/>
      </c>
      <c r="H2136" t="str">
        <f t="shared" si="40"/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 t="shared" si="40"/>
        <v>BCBS PAYABLE</v>
      </c>
    </row>
    <row r="2138" spans="5:8" x14ac:dyDescent="0.25">
      <c r="E2138" t="str">
        <f>""</f>
        <v/>
      </c>
      <c r="F2138" t="str">
        <f>""</f>
        <v/>
      </c>
      <c r="H2138" t="str">
        <f t="shared" si="40"/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 t="shared" si="40"/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 t="shared" si="40"/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 t="shared" si="40"/>
        <v>BCBS PAYABLE</v>
      </c>
    </row>
    <row r="2142" spans="5:8" x14ac:dyDescent="0.25">
      <c r="E2142" t="str">
        <f>""</f>
        <v/>
      </c>
      <c r="F2142" t="str">
        <f>""</f>
        <v/>
      </c>
      <c r="H2142" t="str">
        <f t="shared" si="40"/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 t="shared" si="40"/>
        <v>BCBS PAYABLE</v>
      </c>
    </row>
    <row r="2144" spans="5:8" x14ac:dyDescent="0.25">
      <c r="E2144" t="str">
        <f>""</f>
        <v/>
      </c>
      <c r="F2144" t="str">
        <f>""</f>
        <v/>
      </c>
      <c r="H2144" t="str">
        <f t="shared" si="40"/>
        <v>BCBS PAYABLE</v>
      </c>
    </row>
    <row r="2145" spans="5:8" x14ac:dyDescent="0.25">
      <c r="E2145" t="str">
        <f>""</f>
        <v/>
      </c>
      <c r="F2145" t="str">
        <f>""</f>
        <v/>
      </c>
      <c r="H2145" t="str">
        <f t="shared" si="40"/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 t="shared" si="40"/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 t="shared" si="40"/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 t="shared" si="40"/>
        <v>BCBS PAYABLE</v>
      </c>
    </row>
    <row r="2149" spans="5:8" x14ac:dyDescent="0.25">
      <c r="E2149" t="str">
        <f>""</f>
        <v/>
      </c>
      <c r="F2149" t="str">
        <f>""</f>
        <v/>
      </c>
      <c r="H2149" t="str">
        <f t="shared" si="40"/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 t="shared" si="40"/>
        <v>BCBS PAYABLE</v>
      </c>
    </row>
    <row r="2151" spans="5:8" x14ac:dyDescent="0.25">
      <c r="E2151" t="str">
        <f>""</f>
        <v/>
      </c>
      <c r="F2151" t="str">
        <f>""</f>
        <v/>
      </c>
      <c r="H2151" t="str">
        <f t="shared" si="40"/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 t="shared" si="40"/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 t="shared" si="40"/>
        <v>BCBS PAYABLE</v>
      </c>
    </row>
    <row r="2154" spans="5:8" x14ac:dyDescent="0.25">
      <c r="E2154" t="str">
        <f>""</f>
        <v/>
      </c>
      <c r="F2154" t="str">
        <f>""</f>
        <v/>
      </c>
      <c r="H2154" t="str">
        <f t="shared" si="40"/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 t="shared" si="40"/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 t="shared" si="40"/>
        <v>BCBS PAYABLE</v>
      </c>
    </row>
    <row r="2157" spans="5:8" x14ac:dyDescent="0.25">
      <c r="E2157" t="str">
        <f>""</f>
        <v/>
      </c>
      <c r="F2157" t="str">
        <f>""</f>
        <v/>
      </c>
      <c r="H2157" t="str">
        <f t="shared" si="40"/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 t="shared" ref="H2158:H2221" si="41">"BCBS PAYABLE"</f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 t="shared" si="41"/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 t="shared" si="41"/>
        <v>BCBS PAYABLE</v>
      </c>
    </row>
    <row r="2161" spans="5:8" x14ac:dyDescent="0.25">
      <c r="E2161" t="str">
        <f>""</f>
        <v/>
      </c>
      <c r="F2161" t="str">
        <f>""</f>
        <v/>
      </c>
      <c r="H2161" t="str">
        <f t="shared" si="41"/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 t="shared" si="41"/>
        <v>BCBS PAYABLE</v>
      </c>
    </row>
    <row r="2163" spans="5:8" x14ac:dyDescent="0.25">
      <c r="E2163" t="str">
        <f>""</f>
        <v/>
      </c>
      <c r="F2163" t="str">
        <f>""</f>
        <v/>
      </c>
      <c r="H2163" t="str">
        <f t="shared" si="41"/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 t="shared" si="41"/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 t="shared" si="41"/>
        <v>BCBS PAYABLE</v>
      </c>
    </row>
    <row r="2166" spans="5:8" x14ac:dyDescent="0.25">
      <c r="E2166" t="str">
        <f>"2EC202105263415"</f>
        <v>2EC202105263415</v>
      </c>
      <c r="F2166" t="str">
        <f>"BCBS PAYABLE"</f>
        <v>BCBS PAYABLE</v>
      </c>
      <c r="G2166" s="2">
        <v>2348.8000000000002</v>
      </c>
      <c r="H2166" t="str">
        <f t="shared" si="41"/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 t="shared" si="41"/>
        <v>BCBS PAYABLE</v>
      </c>
    </row>
    <row r="2168" spans="5:8" x14ac:dyDescent="0.25">
      <c r="E2168" t="str">
        <f>"2EF202105123160"</f>
        <v>2EF202105123160</v>
      </c>
      <c r="F2168" t="str">
        <f>"BCBS PAYABLE"</f>
        <v>BCBS PAYABLE</v>
      </c>
      <c r="G2168" s="2">
        <v>2799.81</v>
      </c>
      <c r="H2168" t="str">
        <f t="shared" si="41"/>
        <v>BCBS PAYABLE</v>
      </c>
    </row>
    <row r="2169" spans="5:8" x14ac:dyDescent="0.25">
      <c r="E2169" t="str">
        <f>""</f>
        <v/>
      </c>
      <c r="F2169" t="str">
        <f>""</f>
        <v/>
      </c>
      <c r="H2169" t="str">
        <f t="shared" si="41"/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 t="shared" si="41"/>
        <v>BCBS PAYABLE</v>
      </c>
    </row>
    <row r="2171" spans="5:8" x14ac:dyDescent="0.25">
      <c r="E2171" t="str">
        <f>""</f>
        <v/>
      </c>
      <c r="F2171" t="str">
        <f>""</f>
        <v/>
      </c>
      <c r="H2171" t="str">
        <f t="shared" si="41"/>
        <v>BCBS PAYABLE</v>
      </c>
    </row>
    <row r="2172" spans="5:8" x14ac:dyDescent="0.25">
      <c r="E2172" t="str">
        <f>"2EF202105263414"</f>
        <v>2EF202105263414</v>
      </c>
      <c r="F2172" t="str">
        <f>"BCBS PAYABLE"</f>
        <v>BCBS PAYABLE</v>
      </c>
      <c r="G2172" s="2">
        <v>2799.81</v>
      </c>
      <c r="H2172" t="str">
        <f t="shared" si="41"/>
        <v>BCBS PAYABLE</v>
      </c>
    </row>
    <row r="2173" spans="5:8" x14ac:dyDescent="0.25">
      <c r="E2173" t="str">
        <f>""</f>
        <v/>
      </c>
      <c r="F2173" t="str">
        <f>""</f>
        <v/>
      </c>
      <c r="H2173" t="str">
        <f t="shared" si="41"/>
        <v>BCBS PAYABLE</v>
      </c>
    </row>
    <row r="2174" spans="5:8" x14ac:dyDescent="0.25">
      <c r="E2174" t="str">
        <f>""</f>
        <v/>
      </c>
      <c r="F2174" t="str">
        <f>""</f>
        <v/>
      </c>
      <c r="H2174" t="str">
        <f t="shared" si="41"/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 t="shared" si="41"/>
        <v>BCBS PAYABLE</v>
      </c>
    </row>
    <row r="2176" spans="5:8" x14ac:dyDescent="0.25">
      <c r="E2176" t="str">
        <f>"2EO202105123160"</f>
        <v>2EO202105123160</v>
      </c>
      <c r="F2176" t="str">
        <f>"BCBS PAYABLE"</f>
        <v>BCBS PAYABLE</v>
      </c>
      <c r="G2176" s="2">
        <v>106992.79</v>
      </c>
      <c r="H2176" t="str">
        <f t="shared" si="41"/>
        <v>BCBS PAYABLE</v>
      </c>
    </row>
    <row r="2177" spans="5:8" x14ac:dyDescent="0.25">
      <c r="E2177" t="str">
        <f>""</f>
        <v/>
      </c>
      <c r="F2177" t="str">
        <f>""</f>
        <v/>
      </c>
      <c r="H2177" t="str">
        <f t="shared" si="41"/>
        <v>BCBS PAYABLE</v>
      </c>
    </row>
    <row r="2178" spans="5:8" x14ac:dyDescent="0.25">
      <c r="E2178" t="str">
        <f>""</f>
        <v/>
      </c>
      <c r="F2178" t="str">
        <f>""</f>
        <v/>
      </c>
      <c r="H2178" t="str">
        <f t="shared" si="41"/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 t="shared" si="41"/>
        <v>BCBS PAYABLE</v>
      </c>
    </row>
    <row r="2180" spans="5:8" x14ac:dyDescent="0.25">
      <c r="E2180" t="str">
        <f>""</f>
        <v/>
      </c>
      <c r="F2180" t="str">
        <f>""</f>
        <v/>
      </c>
      <c r="H2180" t="str">
        <f t="shared" si="41"/>
        <v>BCBS PAYABLE</v>
      </c>
    </row>
    <row r="2181" spans="5:8" x14ac:dyDescent="0.25">
      <c r="E2181" t="str">
        <f>""</f>
        <v/>
      </c>
      <c r="F2181" t="str">
        <f>""</f>
        <v/>
      </c>
      <c r="H2181" t="str">
        <f t="shared" si="41"/>
        <v>BCBS PAYABLE</v>
      </c>
    </row>
    <row r="2182" spans="5:8" x14ac:dyDescent="0.25">
      <c r="E2182" t="str">
        <f>""</f>
        <v/>
      </c>
      <c r="F2182" t="str">
        <f>""</f>
        <v/>
      </c>
      <c r="H2182" t="str">
        <f t="shared" si="41"/>
        <v>BCBS PAYABLE</v>
      </c>
    </row>
    <row r="2183" spans="5:8" x14ac:dyDescent="0.25">
      <c r="E2183" t="str">
        <f>""</f>
        <v/>
      </c>
      <c r="F2183" t="str">
        <f>""</f>
        <v/>
      </c>
      <c r="H2183" t="str">
        <f t="shared" si="41"/>
        <v>BCBS PAYABLE</v>
      </c>
    </row>
    <row r="2184" spans="5:8" x14ac:dyDescent="0.25">
      <c r="E2184" t="str">
        <f>""</f>
        <v/>
      </c>
      <c r="F2184" t="str">
        <f>""</f>
        <v/>
      </c>
      <c r="H2184" t="str">
        <f t="shared" si="41"/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 t="shared" si="41"/>
        <v>BCBS PAYABLE</v>
      </c>
    </row>
    <row r="2186" spans="5:8" x14ac:dyDescent="0.25">
      <c r="E2186" t="str">
        <f>""</f>
        <v/>
      </c>
      <c r="F2186" t="str">
        <f>""</f>
        <v/>
      </c>
      <c r="H2186" t="str">
        <f t="shared" si="41"/>
        <v>BCBS PAYABLE</v>
      </c>
    </row>
    <row r="2187" spans="5:8" x14ac:dyDescent="0.25">
      <c r="E2187" t="str">
        <f>""</f>
        <v/>
      </c>
      <c r="F2187" t="str">
        <f>""</f>
        <v/>
      </c>
      <c r="H2187" t="str">
        <f t="shared" si="41"/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 t="shared" si="41"/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 t="shared" si="41"/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 t="shared" si="41"/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 t="shared" si="41"/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 t="shared" si="41"/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 t="shared" si="41"/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41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41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41"/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 t="shared" si="41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41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41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41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si="41"/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41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41"/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 t="shared" si="41"/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 t="shared" si="41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41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41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si="41"/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41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41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41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41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si="41"/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si="41"/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41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41"/>
        <v>BCBS PAYABLE</v>
      </c>
    </row>
    <row r="2217" spans="5:8" x14ac:dyDescent="0.25">
      <c r="E2217" t="str">
        <f>""</f>
        <v/>
      </c>
      <c r="F2217" t="str">
        <f>""</f>
        <v/>
      </c>
      <c r="H2217" t="str">
        <f t="shared" si="41"/>
        <v>BCBS PAYABLE</v>
      </c>
    </row>
    <row r="2218" spans="5:8" x14ac:dyDescent="0.25">
      <c r="E2218" t="str">
        <f>""</f>
        <v/>
      </c>
      <c r="F2218" t="str">
        <f>""</f>
        <v/>
      </c>
      <c r="H2218" t="str">
        <f t="shared" si="41"/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41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41"/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 t="shared" si="41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ref="H2222:H2285" si="42">"BCBS PAYABLE"</f>
        <v>BCBS PAYABLE</v>
      </c>
    </row>
    <row r="2223" spans="5:8" x14ac:dyDescent="0.25">
      <c r="E2223" t="str">
        <f>"2EO202105123161"</f>
        <v>2EO202105123161</v>
      </c>
      <c r="F2223" t="str">
        <f>"BCBS PAYABLE"</f>
        <v>BCBS PAYABLE</v>
      </c>
      <c r="G2223" s="2">
        <v>3760.13</v>
      </c>
      <c r="H2223" t="str">
        <f t="shared" si="42"/>
        <v>BCBS PAYABLE</v>
      </c>
    </row>
    <row r="2224" spans="5:8" x14ac:dyDescent="0.25">
      <c r="E2224" t="str">
        <f>"2EO202105263414"</f>
        <v>2EO202105263414</v>
      </c>
      <c r="F2224" t="str">
        <f>"BCBS PAYABLE"</f>
        <v>BCBS PAYABLE</v>
      </c>
      <c r="G2224" s="2">
        <v>105967.3</v>
      </c>
      <c r="H2224" t="str">
        <f t="shared" si="42"/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 t="shared" si="42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42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42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2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2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2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2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2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42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42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42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42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42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2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2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42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42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42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42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42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42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42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42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42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42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42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42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42"/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 t="shared" si="42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42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42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42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42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42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42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42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42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42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42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42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42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42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42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42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42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42"/>
        <v>BCBS PAYABLE</v>
      </c>
    </row>
    <row r="2271" spans="5:8" x14ac:dyDescent="0.25">
      <c r="E2271" t="str">
        <f>"2EO202105263415"</f>
        <v>2EO202105263415</v>
      </c>
      <c r="F2271" t="str">
        <f>"BCBS PAYABLE"</f>
        <v>BCBS PAYABLE</v>
      </c>
      <c r="G2271" s="2">
        <v>3760.13</v>
      </c>
      <c r="H2271" t="str">
        <f t="shared" si="42"/>
        <v>BCBS PAYABLE</v>
      </c>
    </row>
    <row r="2272" spans="5:8" x14ac:dyDescent="0.25">
      <c r="E2272" t="str">
        <f>"2ES202105123160"</f>
        <v>2ES202105123160</v>
      </c>
      <c r="F2272" t="str">
        <f>"BCBS PAYABLE"</f>
        <v>BCBS PAYABLE</v>
      </c>
      <c r="G2272" s="2">
        <v>17396.16</v>
      </c>
      <c r="H2272" t="str">
        <f t="shared" si="42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42"/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 t="shared" si="42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42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42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42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si="42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42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42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42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42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42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42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si="42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ref="H2286:H2307" si="43">"BCBS PAYABLE"</f>
        <v>BCBS PAYABLE</v>
      </c>
    </row>
    <row r="2287" spans="5:8" x14ac:dyDescent="0.25">
      <c r="E2287" t="str">
        <f>""</f>
        <v/>
      </c>
      <c r="F2287" t="str">
        <f>""</f>
        <v/>
      </c>
      <c r="H2287" t="str">
        <f t="shared" si="43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43"/>
        <v>BCBS PAYABLE</v>
      </c>
    </row>
    <row r="2289" spans="5:8" x14ac:dyDescent="0.25">
      <c r="E2289" t="str">
        <f>""</f>
        <v/>
      </c>
      <c r="F2289" t="str">
        <f>""</f>
        <v/>
      </c>
      <c r="H2289" t="str">
        <f t="shared" si="43"/>
        <v>BCBS PAYABLE</v>
      </c>
    </row>
    <row r="2290" spans="5:8" x14ac:dyDescent="0.25">
      <c r="E2290" t="str">
        <f>"2ES202105263414"</f>
        <v>2ES202105263414</v>
      </c>
      <c r="F2290" t="str">
        <f>"BCBS PAYABLE"</f>
        <v>BCBS PAYABLE</v>
      </c>
      <c r="G2290" s="2">
        <v>17396.16</v>
      </c>
      <c r="H2290" t="str">
        <f t="shared" si="43"/>
        <v>BCBS PAYABLE</v>
      </c>
    </row>
    <row r="2291" spans="5:8" x14ac:dyDescent="0.25">
      <c r="E2291" t="str">
        <f>""</f>
        <v/>
      </c>
      <c r="F2291" t="str">
        <f>""</f>
        <v/>
      </c>
      <c r="H2291" t="str">
        <f t="shared" si="43"/>
        <v>BCBS PAYABLE</v>
      </c>
    </row>
    <row r="2292" spans="5:8" x14ac:dyDescent="0.25">
      <c r="E2292" t="str">
        <f>""</f>
        <v/>
      </c>
      <c r="F2292" t="str">
        <f>""</f>
        <v/>
      </c>
      <c r="H2292" t="str">
        <f t="shared" si="43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43"/>
        <v>BCBS PAYABLE</v>
      </c>
    </row>
    <row r="2294" spans="5:8" x14ac:dyDescent="0.25">
      <c r="E2294" t="str">
        <f>""</f>
        <v/>
      </c>
      <c r="F2294" t="str">
        <f>""</f>
        <v/>
      </c>
      <c r="H2294" t="str">
        <f t="shared" si="43"/>
        <v>BCBS PAYABLE</v>
      </c>
    </row>
    <row r="2295" spans="5:8" x14ac:dyDescent="0.25">
      <c r="E2295" t="str">
        <f>""</f>
        <v/>
      </c>
      <c r="F2295" t="str">
        <f>""</f>
        <v/>
      </c>
      <c r="H2295" t="str">
        <f t="shared" si="43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43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si="43"/>
        <v>BCBS PAYABLE</v>
      </c>
    </row>
    <row r="2298" spans="5:8" x14ac:dyDescent="0.25">
      <c r="E2298" t="str">
        <f>""</f>
        <v/>
      </c>
      <c r="F2298" t="str">
        <f>""</f>
        <v/>
      </c>
      <c r="H2298" t="str">
        <f t="shared" si="43"/>
        <v>BCBS PAYABLE</v>
      </c>
    </row>
    <row r="2299" spans="5:8" x14ac:dyDescent="0.25">
      <c r="E2299" t="str">
        <f>""</f>
        <v/>
      </c>
      <c r="F2299" t="str">
        <f>""</f>
        <v/>
      </c>
      <c r="H2299" t="str">
        <f t="shared" si="43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si="43"/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43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43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43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43"/>
        <v>BCBS PAYABLE</v>
      </c>
    </row>
    <row r="2305" spans="1:8" x14ac:dyDescent="0.25">
      <c r="E2305" t="str">
        <f>""</f>
        <v/>
      </c>
      <c r="F2305" t="str">
        <f>""</f>
        <v/>
      </c>
      <c r="H2305" t="str">
        <f t="shared" si="43"/>
        <v>BCBS PAYABLE</v>
      </c>
    </row>
    <row r="2306" spans="1:8" x14ac:dyDescent="0.25">
      <c r="E2306" t="str">
        <f>""</f>
        <v/>
      </c>
      <c r="F2306" t="str">
        <f>""</f>
        <v/>
      </c>
      <c r="H2306" t="str">
        <f t="shared" si="43"/>
        <v>BCBS PAYABLE</v>
      </c>
    </row>
    <row r="2307" spans="1:8" x14ac:dyDescent="0.25">
      <c r="E2307" t="str">
        <f>""</f>
        <v/>
      </c>
      <c r="F2307" t="str">
        <f>""</f>
        <v/>
      </c>
      <c r="H2307" t="str">
        <f t="shared" si="43"/>
        <v>BCBS PAYABLE</v>
      </c>
    </row>
    <row r="2308" spans="1:8" x14ac:dyDescent="0.25">
      <c r="A2308" t="s">
        <v>365</v>
      </c>
      <c r="B2308">
        <v>1054</v>
      </c>
      <c r="C2308" s="2">
        <v>10127.76</v>
      </c>
      <c r="D2308" s="1">
        <v>44330</v>
      </c>
      <c r="E2308" t="str">
        <f>"FSA202105123160"</f>
        <v>FSA202105123160</v>
      </c>
      <c r="F2308" t="str">
        <f>"TASC FSA"</f>
        <v>TASC FSA</v>
      </c>
      <c r="G2308" s="2">
        <v>7140.1</v>
      </c>
      <c r="H2308" t="str">
        <f>"TASC FSA"</f>
        <v>TASC FSA</v>
      </c>
    </row>
    <row r="2309" spans="1:8" x14ac:dyDescent="0.25">
      <c r="E2309" t="str">
        <f>"FSA202105123161"</f>
        <v>FSA202105123161</v>
      </c>
      <c r="F2309" t="str">
        <f>"TASC FSA"</f>
        <v>TASC FSA</v>
      </c>
      <c r="G2309" s="2">
        <v>370.41</v>
      </c>
      <c r="H2309" t="str">
        <f>"TASC FSA"</f>
        <v>TASC FSA</v>
      </c>
    </row>
    <row r="2310" spans="1:8" x14ac:dyDescent="0.25">
      <c r="E2310" t="str">
        <f>"FSC202105123160"</f>
        <v>FSC202105123160</v>
      </c>
      <c r="F2310" t="str">
        <f>"TASC DEPENDENT CARE"</f>
        <v>TASC DEPENDENT CARE</v>
      </c>
      <c r="G2310" s="2">
        <v>50</v>
      </c>
      <c r="H2310" t="str">
        <f>"TASC DEPENDENT CARE"</f>
        <v>TASC DEPENDENT CARE</v>
      </c>
    </row>
    <row r="2311" spans="1:8" x14ac:dyDescent="0.25">
      <c r="E2311" t="str">
        <f>"FSF202105123160"</f>
        <v>FSF202105123160</v>
      </c>
      <c r="F2311" t="str">
        <f>"TASC - FSA  FEES"</f>
        <v>TASC - FSA  FEES</v>
      </c>
      <c r="G2311" s="2">
        <v>241.2</v>
      </c>
      <c r="H2311" t="str">
        <f t="shared" ref="H2311:H2350" si="44">"TASC - FSA  FEES"</f>
        <v>TASC - FSA  FEES</v>
      </c>
    </row>
    <row r="2312" spans="1:8" x14ac:dyDescent="0.25">
      <c r="E2312" t="str">
        <f>""</f>
        <v/>
      </c>
      <c r="F2312" t="str">
        <f>""</f>
        <v/>
      </c>
      <c r="H2312" t="str">
        <f t="shared" si="44"/>
        <v>TASC - FSA  FEES</v>
      </c>
    </row>
    <row r="2313" spans="1:8" x14ac:dyDescent="0.25">
      <c r="E2313" t="str">
        <f>""</f>
        <v/>
      </c>
      <c r="F2313" t="str">
        <f>""</f>
        <v/>
      </c>
      <c r="H2313" t="str">
        <f t="shared" si="44"/>
        <v>TASC - FSA  FEES</v>
      </c>
    </row>
    <row r="2314" spans="1:8" x14ac:dyDescent="0.25">
      <c r="E2314" t="str">
        <f>""</f>
        <v/>
      </c>
      <c r="F2314" t="str">
        <f>""</f>
        <v/>
      </c>
      <c r="H2314" t="str">
        <f t="shared" si="44"/>
        <v>TASC - FSA  FEES</v>
      </c>
    </row>
    <row r="2315" spans="1:8" x14ac:dyDescent="0.25">
      <c r="E2315" t="str">
        <f>""</f>
        <v/>
      </c>
      <c r="F2315" t="str">
        <f>""</f>
        <v/>
      </c>
      <c r="H2315" t="str">
        <f t="shared" si="44"/>
        <v>TASC - FSA  FEES</v>
      </c>
    </row>
    <row r="2316" spans="1:8" x14ac:dyDescent="0.25">
      <c r="E2316" t="str">
        <f>""</f>
        <v/>
      </c>
      <c r="F2316" t="str">
        <f>""</f>
        <v/>
      </c>
      <c r="H2316" t="str">
        <f t="shared" si="44"/>
        <v>TASC - FSA  FEES</v>
      </c>
    </row>
    <row r="2317" spans="1:8" x14ac:dyDescent="0.25">
      <c r="E2317" t="str">
        <f>""</f>
        <v/>
      </c>
      <c r="F2317" t="str">
        <f>""</f>
        <v/>
      </c>
      <c r="H2317" t="str">
        <f t="shared" si="44"/>
        <v>TASC - FSA  FEES</v>
      </c>
    </row>
    <row r="2318" spans="1:8" x14ac:dyDescent="0.25">
      <c r="E2318" t="str">
        <f>""</f>
        <v/>
      </c>
      <c r="F2318" t="str">
        <f>""</f>
        <v/>
      </c>
      <c r="H2318" t="str">
        <f t="shared" si="44"/>
        <v>TASC - FSA  FEES</v>
      </c>
    </row>
    <row r="2319" spans="1:8" x14ac:dyDescent="0.25">
      <c r="E2319" t="str">
        <f>""</f>
        <v/>
      </c>
      <c r="F2319" t="str">
        <f>""</f>
        <v/>
      </c>
      <c r="H2319" t="str">
        <f t="shared" si="44"/>
        <v>TASC - FSA  FEES</v>
      </c>
    </row>
    <row r="2320" spans="1:8" x14ac:dyDescent="0.25">
      <c r="E2320" t="str">
        <f>""</f>
        <v/>
      </c>
      <c r="F2320" t="str">
        <f>""</f>
        <v/>
      </c>
      <c r="H2320" t="str">
        <f t="shared" si="44"/>
        <v>TASC - FSA  FEES</v>
      </c>
    </row>
    <row r="2321" spans="5:8" x14ac:dyDescent="0.25">
      <c r="E2321" t="str">
        <f>""</f>
        <v/>
      </c>
      <c r="F2321" t="str">
        <f>""</f>
        <v/>
      </c>
      <c r="H2321" t="str">
        <f t="shared" si="44"/>
        <v>TASC - FSA  FEES</v>
      </c>
    </row>
    <row r="2322" spans="5:8" x14ac:dyDescent="0.25">
      <c r="E2322" t="str">
        <f>""</f>
        <v/>
      </c>
      <c r="F2322" t="str">
        <f>""</f>
        <v/>
      </c>
      <c r="H2322" t="str">
        <f t="shared" si="44"/>
        <v>TASC - FSA  FEES</v>
      </c>
    </row>
    <row r="2323" spans="5:8" x14ac:dyDescent="0.25">
      <c r="E2323" t="str">
        <f>""</f>
        <v/>
      </c>
      <c r="F2323" t="str">
        <f>""</f>
        <v/>
      </c>
      <c r="H2323" t="str">
        <f t="shared" si="44"/>
        <v>TASC - FSA  FEES</v>
      </c>
    </row>
    <row r="2324" spans="5:8" x14ac:dyDescent="0.25">
      <c r="E2324" t="str">
        <f>""</f>
        <v/>
      </c>
      <c r="F2324" t="str">
        <f>""</f>
        <v/>
      </c>
      <c r="H2324" t="str">
        <f t="shared" si="44"/>
        <v>TASC - FSA  FEES</v>
      </c>
    </row>
    <row r="2325" spans="5:8" x14ac:dyDescent="0.25">
      <c r="E2325" t="str">
        <f>""</f>
        <v/>
      </c>
      <c r="F2325" t="str">
        <f>""</f>
        <v/>
      </c>
      <c r="H2325" t="str">
        <f t="shared" si="44"/>
        <v>TASC - FSA  FEES</v>
      </c>
    </row>
    <row r="2326" spans="5:8" x14ac:dyDescent="0.25">
      <c r="E2326" t="str">
        <f>""</f>
        <v/>
      </c>
      <c r="F2326" t="str">
        <f>""</f>
        <v/>
      </c>
      <c r="H2326" t="str">
        <f t="shared" si="44"/>
        <v>TASC - FSA  FEES</v>
      </c>
    </row>
    <row r="2327" spans="5:8" x14ac:dyDescent="0.25">
      <c r="E2327" t="str">
        <f>""</f>
        <v/>
      </c>
      <c r="F2327" t="str">
        <f>""</f>
        <v/>
      </c>
      <c r="H2327" t="str">
        <f t="shared" si="44"/>
        <v>TASC - FSA  FEES</v>
      </c>
    </row>
    <row r="2328" spans="5:8" x14ac:dyDescent="0.25">
      <c r="E2328" t="str">
        <f>""</f>
        <v/>
      </c>
      <c r="F2328" t="str">
        <f>""</f>
        <v/>
      </c>
      <c r="H2328" t="str">
        <f t="shared" si="44"/>
        <v>TASC - FSA  FEES</v>
      </c>
    </row>
    <row r="2329" spans="5:8" x14ac:dyDescent="0.25">
      <c r="E2329" t="str">
        <f>""</f>
        <v/>
      </c>
      <c r="F2329" t="str">
        <f>""</f>
        <v/>
      </c>
      <c r="H2329" t="str">
        <f t="shared" si="44"/>
        <v>TASC - FSA  FEES</v>
      </c>
    </row>
    <row r="2330" spans="5:8" x14ac:dyDescent="0.25">
      <c r="E2330" t="str">
        <f>""</f>
        <v/>
      </c>
      <c r="F2330" t="str">
        <f>""</f>
        <v/>
      </c>
      <c r="H2330" t="str">
        <f t="shared" si="44"/>
        <v>TASC - FSA  FEES</v>
      </c>
    </row>
    <row r="2331" spans="5:8" x14ac:dyDescent="0.25">
      <c r="E2331" t="str">
        <f>""</f>
        <v/>
      </c>
      <c r="F2331" t="str">
        <f>""</f>
        <v/>
      </c>
      <c r="H2331" t="str">
        <f t="shared" si="44"/>
        <v>TASC - FSA  FEES</v>
      </c>
    </row>
    <row r="2332" spans="5:8" x14ac:dyDescent="0.25">
      <c r="E2332" t="str">
        <f>""</f>
        <v/>
      </c>
      <c r="F2332" t="str">
        <f>""</f>
        <v/>
      </c>
      <c r="H2332" t="str">
        <f t="shared" si="44"/>
        <v>TASC - FSA  FEES</v>
      </c>
    </row>
    <row r="2333" spans="5:8" x14ac:dyDescent="0.25">
      <c r="E2333" t="str">
        <f>""</f>
        <v/>
      </c>
      <c r="F2333" t="str">
        <f>""</f>
        <v/>
      </c>
      <c r="H2333" t="str">
        <f t="shared" si="44"/>
        <v>TASC - FSA  FEES</v>
      </c>
    </row>
    <row r="2334" spans="5:8" x14ac:dyDescent="0.25">
      <c r="E2334" t="str">
        <f>""</f>
        <v/>
      </c>
      <c r="F2334" t="str">
        <f>""</f>
        <v/>
      </c>
      <c r="H2334" t="str">
        <f t="shared" si="44"/>
        <v>TASC - FSA  FEES</v>
      </c>
    </row>
    <row r="2335" spans="5:8" x14ac:dyDescent="0.25">
      <c r="E2335" t="str">
        <f>""</f>
        <v/>
      </c>
      <c r="F2335" t="str">
        <f>""</f>
        <v/>
      </c>
      <c r="H2335" t="str">
        <f t="shared" si="44"/>
        <v>TASC - FSA  FEES</v>
      </c>
    </row>
    <row r="2336" spans="5:8" x14ac:dyDescent="0.25">
      <c r="E2336" t="str">
        <f>""</f>
        <v/>
      </c>
      <c r="F2336" t="str">
        <f>""</f>
        <v/>
      </c>
      <c r="H2336" t="str">
        <f t="shared" si="44"/>
        <v>TASC - FSA  FEES</v>
      </c>
    </row>
    <row r="2337" spans="5:8" x14ac:dyDescent="0.25">
      <c r="E2337" t="str">
        <f>""</f>
        <v/>
      </c>
      <c r="F2337" t="str">
        <f>""</f>
        <v/>
      </c>
      <c r="H2337" t="str">
        <f t="shared" si="44"/>
        <v>TASC - FSA  FEES</v>
      </c>
    </row>
    <row r="2338" spans="5:8" x14ac:dyDescent="0.25">
      <c r="E2338" t="str">
        <f>""</f>
        <v/>
      </c>
      <c r="F2338" t="str">
        <f>""</f>
        <v/>
      </c>
      <c r="H2338" t="str">
        <f t="shared" si="44"/>
        <v>TASC - FSA  FEES</v>
      </c>
    </row>
    <row r="2339" spans="5:8" x14ac:dyDescent="0.25">
      <c r="E2339" t="str">
        <f>""</f>
        <v/>
      </c>
      <c r="F2339" t="str">
        <f>""</f>
        <v/>
      </c>
      <c r="H2339" t="str">
        <f t="shared" si="44"/>
        <v>TASC - FSA  FEES</v>
      </c>
    </row>
    <row r="2340" spans="5:8" x14ac:dyDescent="0.25">
      <c r="E2340" t="str">
        <f>""</f>
        <v/>
      </c>
      <c r="F2340" t="str">
        <f>""</f>
        <v/>
      </c>
      <c r="H2340" t="str">
        <f t="shared" si="44"/>
        <v>TASC - FSA  FEES</v>
      </c>
    </row>
    <row r="2341" spans="5:8" x14ac:dyDescent="0.25">
      <c r="E2341" t="str">
        <f>""</f>
        <v/>
      </c>
      <c r="F2341" t="str">
        <f>""</f>
        <v/>
      </c>
      <c r="H2341" t="str">
        <f t="shared" si="44"/>
        <v>TASC - FSA  FEES</v>
      </c>
    </row>
    <row r="2342" spans="5:8" x14ac:dyDescent="0.25">
      <c r="E2342" t="str">
        <f>""</f>
        <v/>
      </c>
      <c r="F2342" t="str">
        <f>""</f>
        <v/>
      </c>
      <c r="H2342" t="str">
        <f t="shared" si="44"/>
        <v>TASC - FSA  FEES</v>
      </c>
    </row>
    <row r="2343" spans="5:8" x14ac:dyDescent="0.25">
      <c r="E2343" t="str">
        <f>""</f>
        <v/>
      </c>
      <c r="F2343" t="str">
        <f>""</f>
        <v/>
      </c>
      <c r="H2343" t="str">
        <f t="shared" si="44"/>
        <v>TASC - FSA  FEES</v>
      </c>
    </row>
    <row r="2344" spans="5:8" x14ac:dyDescent="0.25">
      <c r="E2344" t="str">
        <f>""</f>
        <v/>
      </c>
      <c r="F2344" t="str">
        <f>""</f>
        <v/>
      </c>
      <c r="H2344" t="str">
        <f t="shared" si="44"/>
        <v>TASC - FSA  FEES</v>
      </c>
    </row>
    <row r="2345" spans="5:8" x14ac:dyDescent="0.25">
      <c r="E2345" t="str">
        <f>""</f>
        <v/>
      </c>
      <c r="F2345" t="str">
        <f>""</f>
        <v/>
      </c>
      <c r="H2345" t="str">
        <f t="shared" si="44"/>
        <v>TASC - FSA  FEES</v>
      </c>
    </row>
    <row r="2346" spans="5:8" x14ac:dyDescent="0.25">
      <c r="E2346" t="str">
        <f>""</f>
        <v/>
      </c>
      <c r="F2346" t="str">
        <f>""</f>
        <v/>
      </c>
      <c r="H2346" t="str">
        <f t="shared" si="44"/>
        <v>TASC - FSA  FEES</v>
      </c>
    </row>
    <row r="2347" spans="5:8" x14ac:dyDescent="0.25">
      <c r="E2347" t="str">
        <f>""</f>
        <v/>
      </c>
      <c r="F2347" t="str">
        <f>""</f>
        <v/>
      </c>
      <c r="H2347" t="str">
        <f t="shared" si="44"/>
        <v>TASC - FSA  FEES</v>
      </c>
    </row>
    <row r="2348" spans="5:8" x14ac:dyDescent="0.25">
      <c r="E2348" t="str">
        <f>""</f>
        <v/>
      </c>
      <c r="F2348" t="str">
        <f>""</f>
        <v/>
      </c>
      <c r="H2348" t="str">
        <f t="shared" si="44"/>
        <v>TASC - FSA  FEES</v>
      </c>
    </row>
    <row r="2349" spans="5:8" x14ac:dyDescent="0.25">
      <c r="E2349" t="str">
        <f>""</f>
        <v/>
      </c>
      <c r="F2349" t="str">
        <f>""</f>
        <v/>
      </c>
      <c r="H2349" t="str">
        <f t="shared" si="44"/>
        <v>TASC - FSA  FEES</v>
      </c>
    </row>
    <row r="2350" spans="5:8" x14ac:dyDescent="0.25">
      <c r="E2350" t="str">
        <f>"FSF202105123161"</f>
        <v>FSF202105123161</v>
      </c>
      <c r="F2350" t="str">
        <f>"TASC - FSA  FEES"</f>
        <v>TASC - FSA  FEES</v>
      </c>
      <c r="G2350" s="2">
        <v>12.6</v>
      </c>
      <c r="H2350" t="str">
        <f t="shared" si="44"/>
        <v>TASC - FSA  FEES</v>
      </c>
    </row>
    <row r="2351" spans="5:8" x14ac:dyDescent="0.25">
      <c r="E2351" t="str">
        <f>"HRA202105123160"</f>
        <v>HRA202105123160</v>
      </c>
      <c r="F2351" t="str">
        <f>"TASC HRA"</f>
        <v>TASC HRA</v>
      </c>
      <c r="G2351" s="2">
        <v>1250.0999999999999</v>
      </c>
      <c r="H2351" t="str">
        <f>"TASC HRA"</f>
        <v>TASC HRA</v>
      </c>
    </row>
    <row r="2352" spans="5:8" x14ac:dyDescent="0.25">
      <c r="E2352" t="str">
        <f>""</f>
        <v/>
      </c>
      <c r="F2352" t="str">
        <f>""</f>
        <v/>
      </c>
      <c r="H2352" t="str">
        <f>"TASC HRA"</f>
        <v>TASC HRA</v>
      </c>
    </row>
    <row r="2353" spans="5:8" x14ac:dyDescent="0.25">
      <c r="E2353" t="str">
        <f>""</f>
        <v/>
      </c>
      <c r="F2353" t="str">
        <f>""</f>
        <v/>
      </c>
      <c r="H2353" t="str">
        <f>"TASC HRA"</f>
        <v>TASC HRA</v>
      </c>
    </row>
    <row r="2354" spans="5:8" x14ac:dyDescent="0.25">
      <c r="E2354" t="str">
        <f>""</f>
        <v/>
      </c>
      <c r="F2354" t="str">
        <f>""</f>
        <v/>
      </c>
      <c r="H2354" t="str">
        <f>"TASC HRA"</f>
        <v>TASC HRA</v>
      </c>
    </row>
    <row r="2355" spans="5:8" x14ac:dyDescent="0.25">
      <c r="E2355" t="str">
        <f>"HRA202105123161"</f>
        <v>HRA202105123161</v>
      </c>
      <c r="F2355" t="str">
        <f>"TASC HRA"</f>
        <v>TASC HRA</v>
      </c>
      <c r="G2355" s="2">
        <v>208.35</v>
      </c>
      <c r="H2355" t="str">
        <f>"TASC HRA"</f>
        <v>TASC HRA</v>
      </c>
    </row>
    <row r="2356" spans="5:8" x14ac:dyDescent="0.25">
      <c r="E2356" t="str">
        <f>"HRF202105123160"</f>
        <v>HRF202105123160</v>
      </c>
      <c r="F2356" t="str">
        <f>"TASC - HRA FEES"</f>
        <v>TASC - HRA FEES</v>
      </c>
      <c r="G2356" s="2">
        <v>826.2</v>
      </c>
      <c r="H2356" t="str">
        <f t="shared" ref="H2356:H2387" si="45">"TASC - HRA FEES"</f>
        <v>TASC - HRA FEES</v>
      </c>
    </row>
    <row r="2357" spans="5:8" x14ac:dyDescent="0.25">
      <c r="E2357" t="str">
        <f>""</f>
        <v/>
      </c>
      <c r="F2357" t="str">
        <f>""</f>
        <v/>
      </c>
      <c r="H2357" t="str">
        <f t="shared" si="45"/>
        <v>TASC - HRA FEES</v>
      </c>
    </row>
    <row r="2358" spans="5:8" x14ac:dyDescent="0.25">
      <c r="E2358" t="str">
        <f>""</f>
        <v/>
      </c>
      <c r="F2358" t="str">
        <f>""</f>
        <v/>
      </c>
      <c r="H2358" t="str">
        <f t="shared" si="45"/>
        <v>TASC - HRA FEES</v>
      </c>
    </row>
    <row r="2359" spans="5:8" x14ac:dyDescent="0.25">
      <c r="E2359" t="str">
        <f>""</f>
        <v/>
      </c>
      <c r="F2359" t="str">
        <f>""</f>
        <v/>
      </c>
      <c r="H2359" t="str">
        <f t="shared" si="45"/>
        <v>TASC - HRA FEES</v>
      </c>
    </row>
    <row r="2360" spans="5:8" x14ac:dyDescent="0.25">
      <c r="E2360" t="str">
        <f>""</f>
        <v/>
      </c>
      <c r="F2360" t="str">
        <f>""</f>
        <v/>
      </c>
      <c r="H2360" t="str">
        <f t="shared" si="45"/>
        <v>TASC - HRA FEES</v>
      </c>
    </row>
    <row r="2361" spans="5:8" x14ac:dyDescent="0.25">
      <c r="E2361" t="str">
        <f>""</f>
        <v/>
      </c>
      <c r="F2361" t="str">
        <f>""</f>
        <v/>
      </c>
      <c r="H2361" t="str">
        <f t="shared" si="45"/>
        <v>TASC - HRA FEES</v>
      </c>
    </row>
    <row r="2362" spans="5:8" x14ac:dyDescent="0.25">
      <c r="E2362" t="str">
        <f>""</f>
        <v/>
      </c>
      <c r="F2362" t="str">
        <f>""</f>
        <v/>
      </c>
      <c r="H2362" t="str">
        <f t="shared" si="45"/>
        <v>TASC - HRA FEES</v>
      </c>
    </row>
    <row r="2363" spans="5:8" x14ac:dyDescent="0.25">
      <c r="E2363" t="str">
        <f>""</f>
        <v/>
      </c>
      <c r="F2363" t="str">
        <f>""</f>
        <v/>
      </c>
      <c r="H2363" t="str">
        <f t="shared" si="45"/>
        <v>TASC - HRA FEES</v>
      </c>
    </row>
    <row r="2364" spans="5:8" x14ac:dyDescent="0.25">
      <c r="E2364" t="str">
        <f>""</f>
        <v/>
      </c>
      <c r="F2364" t="str">
        <f>""</f>
        <v/>
      </c>
      <c r="H2364" t="str">
        <f t="shared" si="45"/>
        <v>TASC - HRA FEES</v>
      </c>
    </row>
    <row r="2365" spans="5:8" x14ac:dyDescent="0.25">
      <c r="E2365" t="str">
        <f>""</f>
        <v/>
      </c>
      <c r="F2365" t="str">
        <f>""</f>
        <v/>
      </c>
      <c r="H2365" t="str">
        <f t="shared" si="45"/>
        <v>TASC - HRA FEES</v>
      </c>
    </row>
    <row r="2366" spans="5:8" x14ac:dyDescent="0.25">
      <c r="E2366" t="str">
        <f>""</f>
        <v/>
      </c>
      <c r="F2366" t="str">
        <f>""</f>
        <v/>
      </c>
      <c r="H2366" t="str">
        <f t="shared" si="45"/>
        <v>TASC - HRA FEES</v>
      </c>
    </row>
    <row r="2367" spans="5:8" x14ac:dyDescent="0.25">
      <c r="E2367" t="str">
        <f>""</f>
        <v/>
      </c>
      <c r="F2367" t="str">
        <f>""</f>
        <v/>
      </c>
      <c r="H2367" t="str">
        <f t="shared" si="45"/>
        <v>TASC - HRA FEES</v>
      </c>
    </row>
    <row r="2368" spans="5:8" x14ac:dyDescent="0.25">
      <c r="E2368" t="str">
        <f>""</f>
        <v/>
      </c>
      <c r="F2368" t="str">
        <f>""</f>
        <v/>
      </c>
      <c r="H2368" t="str">
        <f t="shared" si="45"/>
        <v>TASC - HRA FEES</v>
      </c>
    </row>
    <row r="2369" spans="5:8" x14ac:dyDescent="0.25">
      <c r="E2369" t="str">
        <f>""</f>
        <v/>
      </c>
      <c r="F2369" t="str">
        <f>""</f>
        <v/>
      </c>
      <c r="H2369" t="str">
        <f t="shared" si="45"/>
        <v>TASC - HRA FEES</v>
      </c>
    </row>
    <row r="2370" spans="5:8" x14ac:dyDescent="0.25">
      <c r="E2370" t="str">
        <f>""</f>
        <v/>
      </c>
      <c r="F2370" t="str">
        <f>""</f>
        <v/>
      </c>
      <c r="H2370" t="str">
        <f t="shared" si="45"/>
        <v>TASC - HRA FEES</v>
      </c>
    </row>
    <row r="2371" spans="5:8" x14ac:dyDescent="0.25">
      <c r="E2371" t="str">
        <f>""</f>
        <v/>
      </c>
      <c r="F2371" t="str">
        <f>""</f>
        <v/>
      </c>
      <c r="H2371" t="str">
        <f t="shared" si="45"/>
        <v>TASC - HRA FEES</v>
      </c>
    </row>
    <row r="2372" spans="5:8" x14ac:dyDescent="0.25">
      <c r="E2372" t="str">
        <f>""</f>
        <v/>
      </c>
      <c r="F2372" t="str">
        <f>""</f>
        <v/>
      </c>
      <c r="H2372" t="str">
        <f t="shared" si="45"/>
        <v>TASC - HRA FEES</v>
      </c>
    </row>
    <row r="2373" spans="5:8" x14ac:dyDescent="0.25">
      <c r="E2373" t="str">
        <f>""</f>
        <v/>
      </c>
      <c r="F2373" t="str">
        <f>""</f>
        <v/>
      </c>
      <c r="H2373" t="str">
        <f t="shared" si="45"/>
        <v>TASC - HRA FEES</v>
      </c>
    </row>
    <row r="2374" spans="5:8" x14ac:dyDescent="0.25">
      <c r="E2374" t="str">
        <f>""</f>
        <v/>
      </c>
      <c r="F2374" t="str">
        <f>""</f>
        <v/>
      </c>
      <c r="H2374" t="str">
        <f t="shared" si="45"/>
        <v>TASC - HRA FEES</v>
      </c>
    </row>
    <row r="2375" spans="5:8" x14ac:dyDescent="0.25">
      <c r="E2375" t="str">
        <f>""</f>
        <v/>
      </c>
      <c r="F2375" t="str">
        <f>""</f>
        <v/>
      </c>
      <c r="H2375" t="str">
        <f t="shared" si="45"/>
        <v>TASC - HRA FEES</v>
      </c>
    </row>
    <row r="2376" spans="5:8" x14ac:dyDescent="0.25">
      <c r="E2376" t="str">
        <f>""</f>
        <v/>
      </c>
      <c r="F2376" t="str">
        <f>""</f>
        <v/>
      </c>
      <c r="H2376" t="str">
        <f t="shared" si="45"/>
        <v>TASC - HRA FEES</v>
      </c>
    </row>
    <row r="2377" spans="5:8" x14ac:dyDescent="0.25">
      <c r="E2377" t="str">
        <f>""</f>
        <v/>
      </c>
      <c r="F2377" t="str">
        <f>""</f>
        <v/>
      </c>
      <c r="H2377" t="str">
        <f t="shared" si="45"/>
        <v>TASC - HRA FEES</v>
      </c>
    </row>
    <row r="2378" spans="5:8" x14ac:dyDescent="0.25">
      <c r="E2378" t="str">
        <f>""</f>
        <v/>
      </c>
      <c r="F2378" t="str">
        <f>""</f>
        <v/>
      </c>
      <c r="H2378" t="str">
        <f t="shared" si="45"/>
        <v>TASC - HRA FEES</v>
      </c>
    </row>
    <row r="2379" spans="5:8" x14ac:dyDescent="0.25">
      <c r="E2379" t="str">
        <f>""</f>
        <v/>
      </c>
      <c r="F2379" t="str">
        <f>""</f>
        <v/>
      </c>
      <c r="H2379" t="str">
        <f t="shared" si="45"/>
        <v>TASC - HRA FEES</v>
      </c>
    </row>
    <row r="2380" spans="5:8" x14ac:dyDescent="0.25">
      <c r="E2380" t="str">
        <f>""</f>
        <v/>
      </c>
      <c r="F2380" t="str">
        <f>""</f>
        <v/>
      </c>
      <c r="H2380" t="str">
        <f t="shared" si="45"/>
        <v>TASC - HRA FEES</v>
      </c>
    </row>
    <row r="2381" spans="5:8" x14ac:dyDescent="0.25">
      <c r="E2381" t="str">
        <f>""</f>
        <v/>
      </c>
      <c r="F2381" t="str">
        <f>""</f>
        <v/>
      </c>
      <c r="H2381" t="str">
        <f t="shared" si="45"/>
        <v>TASC - HRA FEES</v>
      </c>
    </row>
    <row r="2382" spans="5:8" x14ac:dyDescent="0.25">
      <c r="E2382" t="str">
        <f>""</f>
        <v/>
      </c>
      <c r="F2382" t="str">
        <f>""</f>
        <v/>
      </c>
      <c r="H2382" t="str">
        <f t="shared" si="45"/>
        <v>TASC - HRA FEES</v>
      </c>
    </row>
    <row r="2383" spans="5:8" x14ac:dyDescent="0.25">
      <c r="E2383" t="str">
        <f>""</f>
        <v/>
      </c>
      <c r="F2383" t="str">
        <f>""</f>
        <v/>
      </c>
      <c r="H2383" t="str">
        <f t="shared" si="45"/>
        <v>TASC - HRA FEES</v>
      </c>
    </row>
    <row r="2384" spans="5:8" x14ac:dyDescent="0.25">
      <c r="E2384" t="str">
        <f>""</f>
        <v/>
      </c>
      <c r="F2384" t="str">
        <f>""</f>
        <v/>
      </c>
      <c r="H2384" t="str">
        <f t="shared" si="45"/>
        <v>TASC - HRA FEES</v>
      </c>
    </row>
    <row r="2385" spans="5:8" x14ac:dyDescent="0.25">
      <c r="E2385" t="str">
        <f>""</f>
        <v/>
      </c>
      <c r="F2385" t="str">
        <f>""</f>
        <v/>
      </c>
      <c r="H2385" t="str">
        <f t="shared" si="45"/>
        <v>TASC - HRA FEES</v>
      </c>
    </row>
    <row r="2386" spans="5:8" x14ac:dyDescent="0.25">
      <c r="E2386" t="str">
        <f>""</f>
        <v/>
      </c>
      <c r="F2386" t="str">
        <f>""</f>
        <v/>
      </c>
      <c r="H2386" t="str">
        <f t="shared" si="45"/>
        <v>TASC - HRA FEES</v>
      </c>
    </row>
    <row r="2387" spans="5:8" x14ac:dyDescent="0.25">
      <c r="E2387" t="str">
        <f>""</f>
        <v/>
      </c>
      <c r="F2387" t="str">
        <f>""</f>
        <v/>
      </c>
      <c r="H2387" t="str">
        <f t="shared" si="45"/>
        <v>TASC - HRA FEES</v>
      </c>
    </row>
    <row r="2388" spans="5:8" x14ac:dyDescent="0.25">
      <c r="E2388" t="str">
        <f>""</f>
        <v/>
      </c>
      <c r="F2388" t="str">
        <f>""</f>
        <v/>
      </c>
      <c r="H2388" t="str">
        <f t="shared" ref="H2388:H2407" si="46">"TASC - HRA FEES"</f>
        <v>TASC - HRA FEES</v>
      </c>
    </row>
    <row r="2389" spans="5:8" x14ac:dyDescent="0.25">
      <c r="E2389" t="str">
        <f>""</f>
        <v/>
      </c>
      <c r="F2389" t="str">
        <f>""</f>
        <v/>
      </c>
      <c r="H2389" t="str">
        <f t="shared" si="46"/>
        <v>TASC - HRA FEES</v>
      </c>
    </row>
    <row r="2390" spans="5:8" x14ac:dyDescent="0.25">
      <c r="E2390" t="str">
        <f>""</f>
        <v/>
      </c>
      <c r="F2390" t="str">
        <f>""</f>
        <v/>
      </c>
      <c r="H2390" t="str">
        <f t="shared" si="46"/>
        <v>TASC - HRA FEES</v>
      </c>
    </row>
    <row r="2391" spans="5:8" x14ac:dyDescent="0.25">
      <c r="E2391" t="str">
        <f>""</f>
        <v/>
      </c>
      <c r="F2391" t="str">
        <f>""</f>
        <v/>
      </c>
      <c r="H2391" t="str">
        <f t="shared" si="46"/>
        <v>TASC - HRA FEES</v>
      </c>
    </row>
    <row r="2392" spans="5:8" x14ac:dyDescent="0.25">
      <c r="E2392" t="str">
        <f>""</f>
        <v/>
      </c>
      <c r="F2392" t="str">
        <f>""</f>
        <v/>
      </c>
      <c r="H2392" t="str">
        <f t="shared" si="46"/>
        <v>TASC - HRA FEES</v>
      </c>
    </row>
    <row r="2393" spans="5:8" x14ac:dyDescent="0.25">
      <c r="E2393" t="str">
        <f>""</f>
        <v/>
      </c>
      <c r="F2393" t="str">
        <f>""</f>
        <v/>
      </c>
      <c r="H2393" t="str">
        <f t="shared" si="46"/>
        <v>TASC - HRA FEES</v>
      </c>
    </row>
    <row r="2394" spans="5:8" x14ac:dyDescent="0.25">
      <c r="E2394" t="str">
        <f>""</f>
        <v/>
      </c>
      <c r="F2394" t="str">
        <f>""</f>
        <v/>
      </c>
      <c r="H2394" t="str">
        <f t="shared" si="46"/>
        <v>TASC - HRA FEES</v>
      </c>
    </row>
    <row r="2395" spans="5:8" x14ac:dyDescent="0.25">
      <c r="E2395" t="str">
        <f>""</f>
        <v/>
      </c>
      <c r="F2395" t="str">
        <f>""</f>
        <v/>
      </c>
      <c r="H2395" t="str">
        <f t="shared" si="46"/>
        <v>TASC - HRA FEES</v>
      </c>
    </row>
    <row r="2396" spans="5:8" x14ac:dyDescent="0.25">
      <c r="E2396" t="str">
        <f>""</f>
        <v/>
      </c>
      <c r="F2396" t="str">
        <f>""</f>
        <v/>
      </c>
      <c r="H2396" t="str">
        <f t="shared" si="46"/>
        <v>TASC - HRA FEES</v>
      </c>
    </row>
    <row r="2397" spans="5:8" x14ac:dyDescent="0.25">
      <c r="E2397" t="str">
        <f>""</f>
        <v/>
      </c>
      <c r="F2397" t="str">
        <f>""</f>
        <v/>
      </c>
      <c r="H2397" t="str">
        <f t="shared" si="46"/>
        <v>TASC - HRA FEES</v>
      </c>
    </row>
    <row r="2398" spans="5:8" x14ac:dyDescent="0.25">
      <c r="E2398" t="str">
        <f>""</f>
        <v/>
      </c>
      <c r="F2398" t="str">
        <f>""</f>
        <v/>
      </c>
      <c r="H2398" t="str">
        <f t="shared" si="46"/>
        <v>TASC - HRA FEES</v>
      </c>
    </row>
    <row r="2399" spans="5:8" x14ac:dyDescent="0.25">
      <c r="E2399" t="str">
        <f>""</f>
        <v/>
      </c>
      <c r="F2399" t="str">
        <f>""</f>
        <v/>
      </c>
      <c r="H2399" t="str">
        <f t="shared" si="46"/>
        <v>TASC - HRA FEES</v>
      </c>
    </row>
    <row r="2400" spans="5:8" x14ac:dyDescent="0.25">
      <c r="E2400" t="str">
        <f>""</f>
        <v/>
      </c>
      <c r="F2400" t="str">
        <f>""</f>
        <v/>
      </c>
      <c r="H2400" t="str">
        <f t="shared" si="46"/>
        <v>TASC - HRA FEES</v>
      </c>
    </row>
    <row r="2401" spans="1:8" x14ac:dyDescent="0.25">
      <c r="E2401" t="str">
        <f>""</f>
        <v/>
      </c>
      <c r="F2401" t="str">
        <f>""</f>
        <v/>
      </c>
      <c r="H2401" t="str">
        <f t="shared" si="46"/>
        <v>TASC - HRA FEES</v>
      </c>
    </row>
    <row r="2402" spans="1:8" x14ac:dyDescent="0.25">
      <c r="E2402" t="str">
        <f>""</f>
        <v/>
      </c>
      <c r="F2402" t="str">
        <f>""</f>
        <v/>
      </c>
      <c r="H2402" t="str">
        <f t="shared" si="46"/>
        <v>TASC - HRA FEES</v>
      </c>
    </row>
    <row r="2403" spans="1:8" x14ac:dyDescent="0.25">
      <c r="E2403" t="str">
        <f>""</f>
        <v/>
      </c>
      <c r="F2403" t="str">
        <f>""</f>
        <v/>
      </c>
      <c r="H2403" t="str">
        <f t="shared" si="46"/>
        <v>TASC - HRA FEES</v>
      </c>
    </row>
    <row r="2404" spans="1:8" x14ac:dyDescent="0.25">
      <c r="E2404" t="str">
        <f>""</f>
        <v/>
      </c>
      <c r="F2404" t="str">
        <f>""</f>
        <v/>
      </c>
      <c r="H2404" t="str">
        <f t="shared" si="46"/>
        <v>TASC - HRA FEES</v>
      </c>
    </row>
    <row r="2405" spans="1:8" x14ac:dyDescent="0.25">
      <c r="E2405" t="str">
        <f>""</f>
        <v/>
      </c>
      <c r="F2405" t="str">
        <f>""</f>
        <v/>
      </c>
      <c r="H2405" t="str">
        <f t="shared" si="46"/>
        <v>TASC - HRA FEES</v>
      </c>
    </row>
    <row r="2406" spans="1:8" x14ac:dyDescent="0.25">
      <c r="E2406" t="str">
        <f>""</f>
        <v/>
      </c>
      <c r="F2406" t="str">
        <f>""</f>
        <v/>
      </c>
      <c r="H2406" t="str">
        <f t="shared" si="46"/>
        <v>TASC - HRA FEES</v>
      </c>
    </row>
    <row r="2407" spans="1:8" x14ac:dyDescent="0.25">
      <c r="E2407" t="str">
        <f>"HRF202105123161"</f>
        <v>HRF202105123161</v>
      </c>
      <c r="F2407" t="str">
        <f>"TASC - HRA FEES"</f>
        <v>TASC - HRA FEES</v>
      </c>
      <c r="G2407" s="2">
        <v>28.8</v>
      </c>
      <c r="H2407" t="str">
        <f t="shared" si="46"/>
        <v>TASC - HRA FEES</v>
      </c>
    </row>
    <row r="2408" spans="1:8" x14ac:dyDescent="0.25">
      <c r="A2408" t="s">
        <v>365</v>
      </c>
      <c r="B2408">
        <v>1082</v>
      </c>
      <c r="C2408" s="2">
        <v>8658.51</v>
      </c>
      <c r="D2408" s="1">
        <v>44344</v>
      </c>
      <c r="E2408" t="str">
        <f>"FSA202105263414"</f>
        <v>FSA202105263414</v>
      </c>
      <c r="F2408" t="str">
        <f>"TASC FSA"</f>
        <v>TASC FSA</v>
      </c>
      <c r="G2408" s="2">
        <v>7140.1</v>
      </c>
      <c r="H2408" t="str">
        <f>"TASC FSA"</f>
        <v>TASC FSA</v>
      </c>
    </row>
    <row r="2409" spans="1:8" x14ac:dyDescent="0.25">
      <c r="E2409" t="str">
        <f>"FSA202105263415"</f>
        <v>FSA202105263415</v>
      </c>
      <c r="F2409" t="str">
        <f>"TASC FSA"</f>
        <v>TASC FSA</v>
      </c>
      <c r="G2409" s="2">
        <v>370.41</v>
      </c>
      <c r="H2409" t="str">
        <f>"TASC FSA"</f>
        <v>TASC FSA</v>
      </c>
    </row>
    <row r="2410" spans="1:8" x14ac:dyDescent="0.25">
      <c r="E2410" t="str">
        <f>"FSC202105263414"</f>
        <v>FSC202105263414</v>
      </c>
      <c r="F2410" t="str">
        <f>"TASC DEPENDENT CARE"</f>
        <v>TASC DEPENDENT CARE</v>
      </c>
      <c r="G2410" s="2">
        <v>50</v>
      </c>
      <c r="H2410" t="str">
        <f>"TASC DEPENDENT CARE"</f>
        <v>TASC DEPENDENT CARE</v>
      </c>
    </row>
    <row r="2411" spans="1:8" x14ac:dyDescent="0.25">
      <c r="E2411" t="str">
        <f>"FSF202105263414"</f>
        <v>FSF202105263414</v>
      </c>
      <c r="F2411" t="str">
        <f>"TASC - FSA  FEES"</f>
        <v>TASC - FSA  FEES</v>
      </c>
      <c r="G2411" s="2">
        <v>241.2</v>
      </c>
      <c r="H2411" t="str">
        <f t="shared" ref="H2411:H2450" si="47">"TASC - FSA  FEES"</f>
        <v>TASC - FSA  FEES</v>
      </c>
    </row>
    <row r="2412" spans="1:8" x14ac:dyDescent="0.25">
      <c r="E2412" t="str">
        <f>""</f>
        <v/>
      </c>
      <c r="F2412" t="str">
        <f>""</f>
        <v/>
      </c>
      <c r="H2412" t="str">
        <f t="shared" si="47"/>
        <v>TASC - FSA  FEES</v>
      </c>
    </row>
    <row r="2413" spans="1:8" x14ac:dyDescent="0.25">
      <c r="E2413" t="str">
        <f>""</f>
        <v/>
      </c>
      <c r="F2413" t="str">
        <f>""</f>
        <v/>
      </c>
      <c r="H2413" t="str">
        <f t="shared" si="47"/>
        <v>TASC - FSA  FEES</v>
      </c>
    </row>
    <row r="2414" spans="1:8" x14ac:dyDescent="0.25">
      <c r="E2414" t="str">
        <f>""</f>
        <v/>
      </c>
      <c r="F2414" t="str">
        <f>""</f>
        <v/>
      </c>
      <c r="H2414" t="str">
        <f t="shared" si="47"/>
        <v>TASC - FSA  FEES</v>
      </c>
    </row>
    <row r="2415" spans="1:8" x14ac:dyDescent="0.25">
      <c r="E2415" t="str">
        <f>""</f>
        <v/>
      </c>
      <c r="F2415" t="str">
        <f>""</f>
        <v/>
      </c>
      <c r="H2415" t="str">
        <f t="shared" si="47"/>
        <v>TASC - FSA  FEES</v>
      </c>
    </row>
    <row r="2416" spans="1:8" x14ac:dyDescent="0.25">
      <c r="E2416" t="str">
        <f>""</f>
        <v/>
      </c>
      <c r="F2416" t="str">
        <f>""</f>
        <v/>
      </c>
      <c r="H2416" t="str">
        <f t="shared" si="47"/>
        <v>TASC - FSA 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47"/>
        <v>TASC - FSA 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47"/>
        <v>TASC - FSA 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47"/>
        <v>TASC - FSA 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47"/>
        <v>TASC - FSA 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47"/>
        <v>TASC - FSA 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47"/>
        <v>TASC - FSA 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47"/>
        <v>TASC - FSA 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47"/>
        <v>TASC - FSA 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47"/>
        <v>TASC - FSA 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47"/>
        <v>TASC - FSA 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47"/>
        <v>TASC - FSA 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47"/>
        <v>TASC - FSA 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47"/>
        <v>TASC - FSA 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47"/>
        <v>TASC - FSA 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47"/>
        <v>TASC - FSA 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47"/>
        <v>TASC - FSA 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47"/>
        <v>TASC - FSA 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47"/>
        <v>TASC - FSA 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47"/>
        <v>TASC - FSA 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47"/>
        <v>TASC - FSA 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47"/>
        <v>TASC - FSA 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47"/>
        <v>TASC - FSA 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47"/>
        <v>TASC - FSA 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47"/>
        <v>TASC - FSA 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47"/>
        <v>TASC - FSA 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47"/>
        <v>TASC - FSA 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47"/>
        <v>TASC - FSA 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47"/>
        <v>TASC - FSA 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47"/>
        <v>TASC - FSA 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47"/>
        <v>TASC - FSA  FEES</v>
      </c>
    </row>
    <row r="2447" spans="5:8" x14ac:dyDescent="0.25">
      <c r="E2447" t="str">
        <f>""</f>
        <v/>
      </c>
      <c r="F2447" t="str">
        <f>""</f>
        <v/>
      </c>
      <c r="H2447" t="str">
        <f t="shared" si="47"/>
        <v>TASC - FSA 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47"/>
        <v>TASC - FSA 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47"/>
        <v>TASC - FSA  FEES</v>
      </c>
    </row>
    <row r="2450" spans="5:8" x14ac:dyDescent="0.25">
      <c r="E2450" t="str">
        <f>"FSF202105263415"</f>
        <v>FSF202105263415</v>
      </c>
      <c r="F2450" t="str">
        <f>"TASC - FSA  FEES"</f>
        <v>TASC - FSA  FEES</v>
      </c>
      <c r="G2450" s="2">
        <v>12.6</v>
      </c>
      <c r="H2450" t="str">
        <f t="shared" si="47"/>
        <v>TASC - FSA  FEES</v>
      </c>
    </row>
    <row r="2451" spans="5:8" x14ac:dyDescent="0.25">
      <c r="E2451" t="str">
        <f>"HRF202105263414"</f>
        <v>HRF202105263414</v>
      </c>
      <c r="F2451" t="str">
        <f>"TASC - HRA FEES"</f>
        <v>TASC - HRA FEES</v>
      </c>
      <c r="G2451" s="2">
        <v>815.4</v>
      </c>
      <c r="H2451" t="str">
        <f t="shared" ref="H2451:H2482" si="48">"TASC - HRA FEES"</f>
        <v>TASC - HRA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48"/>
        <v>TASC - HRA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48"/>
        <v>TASC - HRA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48"/>
        <v>TASC - HRA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48"/>
        <v>TASC - HRA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48"/>
        <v>TASC - HRA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48"/>
        <v>TASC - HRA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48"/>
        <v>TASC - HRA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48"/>
        <v>TASC - HRA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48"/>
        <v>TASC - HRA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48"/>
        <v>TASC - HRA FEES</v>
      </c>
    </row>
    <row r="2462" spans="5:8" x14ac:dyDescent="0.25">
      <c r="E2462" t="str">
        <f>""</f>
        <v/>
      </c>
      <c r="F2462" t="str">
        <f>""</f>
        <v/>
      </c>
      <c r="H2462" t="str">
        <f t="shared" si="48"/>
        <v>TASC - HRA FEES</v>
      </c>
    </row>
    <row r="2463" spans="5:8" x14ac:dyDescent="0.25">
      <c r="E2463" t="str">
        <f>""</f>
        <v/>
      </c>
      <c r="F2463" t="str">
        <f>""</f>
        <v/>
      </c>
      <c r="H2463" t="str">
        <f t="shared" si="48"/>
        <v>TASC - HRA FEES</v>
      </c>
    </row>
    <row r="2464" spans="5:8" x14ac:dyDescent="0.25">
      <c r="E2464" t="str">
        <f>""</f>
        <v/>
      </c>
      <c r="F2464" t="str">
        <f>""</f>
        <v/>
      </c>
      <c r="H2464" t="str">
        <f t="shared" si="48"/>
        <v>TASC - HRA FEES</v>
      </c>
    </row>
    <row r="2465" spans="5:8" x14ac:dyDescent="0.25">
      <c r="E2465" t="str">
        <f>""</f>
        <v/>
      </c>
      <c r="F2465" t="str">
        <f>""</f>
        <v/>
      </c>
      <c r="H2465" t="str">
        <f t="shared" si="48"/>
        <v>TASC - HRA FEES</v>
      </c>
    </row>
    <row r="2466" spans="5:8" x14ac:dyDescent="0.25">
      <c r="E2466" t="str">
        <f>""</f>
        <v/>
      </c>
      <c r="F2466" t="str">
        <f>""</f>
        <v/>
      </c>
      <c r="H2466" t="str">
        <f t="shared" si="48"/>
        <v>TASC - HRA FEES</v>
      </c>
    </row>
    <row r="2467" spans="5:8" x14ac:dyDescent="0.25">
      <c r="E2467" t="str">
        <f>""</f>
        <v/>
      </c>
      <c r="F2467" t="str">
        <f>""</f>
        <v/>
      </c>
      <c r="H2467" t="str">
        <f t="shared" si="48"/>
        <v>TASC - HRA FEES</v>
      </c>
    </row>
    <row r="2468" spans="5:8" x14ac:dyDescent="0.25">
      <c r="E2468" t="str">
        <f>""</f>
        <v/>
      </c>
      <c r="F2468" t="str">
        <f>""</f>
        <v/>
      </c>
      <c r="H2468" t="str">
        <f t="shared" si="48"/>
        <v>TASC - HRA FEES</v>
      </c>
    </row>
    <row r="2469" spans="5:8" x14ac:dyDescent="0.25">
      <c r="E2469" t="str">
        <f>""</f>
        <v/>
      </c>
      <c r="F2469" t="str">
        <f>""</f>
        <v/>
      </c>
      <c r="H2469" t="str">
        <f t="shared" si="48"/>
        <v>TASC - HRA FEES</v>
      </c>
    </row>
    <row r="2470" spans="5:8" x14ac:dyDescent="0.25">
      <c r="E2470" t="str">
        <f>""</f>
        <v/>
      </c>
      <c r="F2470" t="str">
        <f>""</f>
        <v/>
      </c>
      <c r="H2470" t="str">
        <f t="shared" si="48"/>
        <v>TASC - HRA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48"/>
        <v>TASC - HRA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48"/>
        <v>TASC - HRA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48"/>
        <v>TASC - HRA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48"/>
        <v>TASC - HRA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48"/>
        <v>TASC - HRA FEES</v>
      </c>
    </row>
    <row r="2476" spans="5:8" x14ac:dyDescent="0.25">
      <c r="E2476" t="str">
        <f>""</f>
        <v/>
      </c>
      <c r="F2476" t="str">
        <f>""</f>
        <v/>
      </c>
      <c r="H2476" t="str">
        <f t="shared" si="48"/>
        <v>TASC - HRA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48"/>
        <v>TASC - HRA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48"/>
        <v>TASC - HRA FEES</v>
      </c>
    </row>
    <row r="2479" spans="5:8" x14ac:dyDescent="0.25">
      <c r="E2479" t="str">
        <f>""</f>
        <v/>
      </c>
      <c r="F2479" t="str">
        <f>""</f>
        <v/>
      </c>
      <c r="H2479" t="str">
        <f t="shared" si="48"/>
        <v>TASC - HRA FEES</v>
      </c>
    </row>
    <row r="2480" spans="5:8" x14ac:dyDescent="0.25">
      <c r="E2480" t="str">
        <f>""</f>
        <v/>
      </c>
      <c r="F2480" t="str">
        <f>""</f>
        <v/>
      </c>
      <c r="H2480" t="str">
        <f t="shared" si="48"/>
        <v>TASC - HRA FEES</v>
      </c>
    </row>
    <row r="2481" spans="5:8" x14ac:dyDescent="0.25">
      <c r="E2481" t="str">
        <f>""</f>
        <v/>
      </c>
      <c r="F2481" t="str">
        <f>""</f>
        <v/>
      </c>
      <c r="H2481" t="str">
        <f t="shared" si="48"/>
        <v>TASC - HRA FEES</v>
      </c>
    </row>
    <row r="2482" spans="5:8" x14ac:dyDescent="0.25">
      <c r="E2482" t="str">
        <f>""</f>
        <v/>
      </c>
      <c r="F2482" t="str">
        <f>""</f>
        <v/>
      </c>
      <c r="H2482" t="str">
        <f t="shared" si="48"/>
        <v>TASC - HRA FEES</v>
      </c>
    </row>
    <row r="2483" spans="5:8" x14ac:dyDescent="0.25">
      <c r="E2483" t="str">
        <f>""</f>
        <v/>
      </c>
      <c r="F2483" t="str">
        <f>""</f>
        <v/>
      </c>
      <c r="H2483" t="str">
        <f t="shared" ref="H2483:H2502" si="49">"TASC - HRA FEES"</f>
        <v>TASC - HRA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49"/>
        <v>TASC - HRA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49"/>
        <v>TASC - HRA FEES</v>
      </c>
    </row>
    <row r="2486" spans="5:8" x14ac:dyDescent="0.25">
      <c r="E2486" t="str">
        <f>""</f>
        <v/>
      </c>
      <c r="F2486" t="str">
        <f>""</f>
        <v/>
      </c>
      <c r="H2486" t="str">
        <f t="shared" si="49"/>
        <v>TASC - HRA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49"/>
        <v>TASC - HRA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49"/>
        <v>TASC - HRA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49"/>
        <v>TASC - HRA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49"/>
        <v>TASC - HRA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49"/>
        <v>TASC - HRA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49"/>
        <v>TASC - HRA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49"/>
        <v>TASC - HRA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49"/>
        <v>TASC - HRA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49"/>
        <v>TASC - HRA FEES</v>
      </c>
    </row>
    <row r="2496" spans="5:8" x14ac:dyDescent="0.25">
      <c r="E2496" t="str">
        <f>""</f>
        <v/>
      </c>
      <c r="F2496" t="str">
        <f>""</f>
        <v/>
      </c>
      <c r="H2496" t="str">
        <f t="shared" si="49"/>
        <v>TASC - HRA FEES</v>
      </c>
    </row>
    <row r="2497" spans="1:8" x14ac:dyDescent="0.25">
      <c r="E2497" t="str">
        <f>""</f>
        <v/>
      </c>
      <c r="F2497" t="str">
        <f>""</f>
        <v/>
      </c>
      <c r="H2497" t="str">
        <f t="shared" si="49"/>
        <v>TASC - HRA FEES</v>
      </c>
    </row>
    <row r="2498" spans="1:8" x14ac:dyDescent="0.25">
      <c r="E2498" t="str">
        <f>""</f>
        <v/>
      </c>
      <c r="F2498" t="str">
        <f>""</f>
        <v/>
      </c>
      <c r="H2498" t="str">
        <f t="shared" si="49"/>
        <v>TASC - HRA FEES</v>
      </c>
    </row>
    <row r="2499" spans="1:8" x14ac:dyDescent="0.25">
      <c r="E2499" t="str">
        <f>""</f>
        <v/>
      </c>
      <c r="F2499" t="str">
        <f>""</f>
        <v/>
      </c>
      <c r="H2499" t="str">
        <f t="shared" si="49"/>
        <v>TASC - HRA FEES</v>
      </c>
    </row>
    <row r="2500" spans="1:8" x14ac:dyDescent="0.25">
      <c r="E2500" t="str">
        <f>""</f>
        <v/>
      </c>
      <c r="F2500" t="str">
        <f>""</f>
        <v/>
      </c>
      <c r="H2500" t="str">
        <f t="shared" si="49"/>
        <v>TASC - HRA FEES</v>
      </c>
    </row>
    <row r="2501" spans="1:8" x14ac:dyDescent="0.25">
      <c r="E2501" t="str">
        <f>""</f>
        <v/>
      </c>
      <c r="F2501" t="str">
        <f>""</f>
        <v/>
      </c>
      <c r="H2501" t="str">
        <f t="shared" si="49"/>
        <v>TASC - HRA FEES</v>
      </c>
    </row>
    <row r="2502" spans="1:8" x14ac:dyDescent="0.25">
      <c r="E2502" t="str">
        <f>"HRF202105263415"</f>
        <v>HRF202105263415</v>
      </c>
      <c r="F2502" t="str">
        <f>"TASC - HRA FEES"</f>
        <v>TASC - HRA FEES</v>
      </c>
      <c r="G2502" s="2">
        <v>28.8</v>
      </c>
      <c r="H2502" t="str">
        <f t="shared" si="49"/>
        <v>TASC - HRA FEES</v>
      </c>
    </row>
    <row r="2503" spans="1:8" x14ac:dyDescent="0.25">
      <c r="A2503" t="s">
        <v>366</v>
      </c>
      <c r="B2503">
        <v>1053</v>
      </c>
      <c r="C2503" s="2">
        <v>4555.0200000000004</v>
      </c>
      <c r="D2503" s="1">
        <v>44330</v>
      </c>
      <c r="E2503" t="str">
        <f>"C2 202105123161"</f>
        <v>C2 202105123161</v>
      </c>
      <c r="F2503" t="str">
        <f>"0012982132CCL7445"</f>
        <v>0012982132CCL7445</v>
      </c>
      <c r="G2503" s="2">
        <v>692.31</v>
      </c>
      <c r="H2503" t="str">
        <f>"0012982132CCL7445"</f>
        <v>0012982132CCL7445</v>
      </c>
    </row>
    <row r="2504" spans="1:8" x14ac:dyDescent="0.25">
      <c r="E2504" t="str">
        <f>"C20202105123160"</f>
        <v>C20202105123160</v>
      </c>
      <c r="F2504" t="str">
        <f>"001003981107-12252"</f>
        <v>001003981107-12252</v>
      </c>
      <c r="G2504" s="2">
        <v>115.39</v>
      </c>
      <c r="H2504" t="str">
        <f>"001003981107-12252"</f>
        <v>001003981107-12252</v>
      </c>
    </row>
    <row r="2505" spans="1:8" x14ac:dyDescent="0.25">
      <c r="E2505" t="str">
        <f>"C42202105123160"</f>
        <v>C42202105123160</v>
      </c>
      <c r="F2505" t="str">
        <f>"001236769211-14410"</f>
        <v>001236769211-14410</v>
      </c>
      <c r="G2505" s="2">
        <v>230.31</v>
      </c>
      <c r="H2505" t="str">
        <f>"001236769211-14410"</f>
        <v>001236769211-14410</v>
      </c>
    </row>
    <row r="2506" spans="1:8" x14ac:dyDescent="0.25">
      <c r="E2506" t="str">
        <f>"C46202105123160"</f>
        <v>C46202105123160</v>
      </c>
      <c r="F2506" t="str">
        <f>"CAUSE# 11-14911"</f>
        <v>CAUSE# 11-14911</v>
      </c>
      <c r="G2506" s="2">
        <v>238.62</v>
      </c>
      <c r="H2506" t="str">
        <f>"CAUSE# 11-14911"</f>
        <v>CAUSE# 11-14911</v>
      </c>
    </row>
    <row r="2507" spans="1:8" x14ac:dyDescent="0.25">
      <c r="E2507" t="str">
        <f>"C60202105123160"</f>
        <v>C60202105123160</v>
      </c>
      <c r="F2507" t="str">
        <f>"00130730762012V300"</f>
        <v>00130730762012V300</v>
      </c>
      <c r="G2507" s="2">
        <v>399.32</v>
      </c>
      <c r="H2507" t="str">
        <f>"00130730762012V300"</f>
        <v>00130730762012V300</v>
      </c>
    </row>
    <row r="2508" spans="1:8" x14ac:dyDescent="0.25">
      <c r="E2508" t="str">
        <f>"C62202105123160"</f>
        <v>C62202105123160</v>
      </c>
      <c r="F2508" t="str">
        <f>"# 0012128865"</f>
        <v># 0012128865</v>
      </c>
      <c r="G2508" s="2">
        <v>243.23</v>
      </c>
      <c r="H2508" t="str">
        <f>"# 0012128865"</f>
        <v># 0012128865</v>
      </c>
    </row>
    <row r="2509" spans="1:8" x14ac:dyDescent="0.25">
      <c r="E2509" t="str">
        <f>"C66202105123160"</f>
        <v>C66202105123160</v>
      </c>
      <c r="F2509" t="str">
        <f>"# 0012871801"</f>
        <v># 0012871801</v>
      </c>
      <c r="G2509" s="2">
        <v>90</v>
      </c>
      <c r="H2509" t="str">
        <f>"# 0012871801"</f>
        <v># 0012871801</v>
      </c>
    </row>
    <row r="2510" spans="1:8" x14ac:dyDescent="0.25">
      <c r="E2510" t="str">
        <f>"C67202105123160"</f>
        <v>C67202105123160</v>
      </c>
      <c r="F2510" t="str">
        <f>"13154657"</f>
        <v>13154657</v>
      </c>
      <c r="G2510" s="2">
        <v>101.99</v>
      </c>
      <c r="H2510" t="str">
        <f>"13154657"</f>
        <v>13154657</v>
      </c>
    </row>
    <row r="2511" spans="1:8" x14ac:dyDescent="0.25">
      <c r="E2511" t="str">
        <f>"C69202105123160"</f>
        <v>C69202105123160</v>
      </c>
      <c r="F2511" t="str">
        <f>"0012046911423672"</f>
        <v>0012046911423672</v>
      </c>
      <c r="G2511" s="2">
        <v>187.38</v>
      </c>
      <c r="H2511" t="str">
        <f>"0012046911423672"</f>
        <v>0012046911423672</v>
      </c>
    </row>
    <row r="2512" spans="1:8" x14ac:dyDescent="0.25">
      <c r="E2512" t="str">
        <f>"C71202105123160"</f>
        <v>C71202105123160</v>
      </c>
      <c r="F2512" t="str">
        <f>"00137390532018V215"</f>
        <v>00137390532018V215</v>
      </c>
      <c r="G2512" s="2">
        <v>264</v>
      </c>
      <c r="H2512" t="str">
        <f>"00137390532018V215"</f>
        <v>00137390532018V215</v>
      </c>
    </row>
    <row r="2513" spans="1:8" x14ac:dyDescent="0.25">
      <c r="E2513" t="str">
        <f>"C72202105123160"</f>
        <v>C72202105123160</v>
      </c>
      <c r="F2513" t="str">
        <f>"0012797601C20130529B"</f>
        <v>0012797601C20130529B</v>
      </c>
      <c r="G2513" s="2">
        <v>241.85</v>
      </c>
      <c r="H2513" t="str">
        <f>"0012797601C20130529B"</f>
        <v>0012797601C20130529B</v>
      </c>
    </row>
    <row r="2514" spans="1:8" x14ac:dyDescent="0.25">
      <c r="E2514" t="str">
        <f>"C78202105123160"</f>
        <v>C78202105123160</v>
      </c>
      <c r="F2514" t="str">
        <f>"00105115972005106221"</f>
        <v>00105115972005106221</v>
      </c>
      <c r="G2514" s="2">
        <v>245.08</v>
      </c>
      <c r="H2514" t="str">
        <f>"00105115972005106221"</f>
        <v>00105115972005106221</v>
      </c>
    </row>
    <row r="2515" spans="1:8" x14ac:dyDescent="0.25">
      <c r="E2515" t="str">
        <f>"C83202105123160"</f>
        <v>C83202105123160</v>
      </c>
      <c r="F2515" t="str">
        <f>"0013096953150533"</f>
        <v>0013096953150533</v>
      </c>
      <c r="G2515" s="2">
        <v>346.15</v>
      </c>
      <c r="H2515" t="str">
        <f>"0013096953150533"</f>
        <v>0013096953150533</v>
      </c>
    </row>
    <row r="2516" spans="1:8" x14ac:dyDescent="0.25">
      <c r="E2516" t="str">
        <f>"C85202105123160"</f>
        <v>C85202105123160</v>
      </c>
      <c r="F2516" t="str">
        <f>"0012469425201770874"</f>
        <v>0012469425201770874</v>
      </c>
      <c r="G2516" s="2">
        <v>138.46</v>
      </c>
      <c r="H2516" t="str">
        <f>"0012469425201770874"</f>
        <v>0012469425201770874</v>
      </c>
    </row>
    <row r="2517" spans="1:8" x14ac:dyDescent="0.25">
      <c r="E2517" t="str">
        <f>"C86202105123160"</f>
        <v>C86202105123160</v>
      </c>
      <c r="F2517" t="str">
        <f>"0013854015101285F"</f>
        <v>0013854015101285F</v>
      </c>
      <c r="G2517" s="2">
        <v>241.85</v>
      </c>
      <c r="H2517" t="str">
        <f>"0013854015101285F"</f>
        <v>0013854015101285F</v>
      </c>
    </row>
    <row r="2518" spans="1:8" x14ac:dyDescent="0.25">
      <c r="E2518" t="str">
        <f>"C87202105123160"</f>
        <v>C87202105123160</v>
      </c>
      <c r="F2518" t="str">
        <f>"0012963634L130019CVB"</f>
        <v>0012963634L130019CVB</v>
      </c>
      <c r="G2518" s="2">
        <v>249.23</v>
      </c>
      <c r="H2518" t="str">
        <f>"0012963634L130019CVB"</f>
        <v>0012963634L130019CVB</v>
      </c>
    </row>
    <row r="2519" spans="1:8" x14ac:dyDescent="0.25">
      <c r="E2519" t="str">
        <f>"C89202105123160"</f>
        <v>C89202105123160</v>
      </c>
      <c r="F2519" t="str">
        <f>"00127760434232477"</f>
        <v>00127760434232477</v>
      </c>
      <c r="G2519" s="2">
        <v>129.69</v>
      </c>
      <c r="H2519" t="str">
        <f>"00127760434232477"</f>
        <v>00127760434232477</v>
      </c>
    </row>
    <row r="2520" spans="1:8" x14ac:dyDescent="0.25">
      <c r="E2520" t="str">
        <f>"C91202105123160"</f>
        <v>C91202105123160</v>
      </c>
      <c r="F2520" t="str">
        <f>"001149031107486F425"</f>
        <v>001149031107486F425</v>
      </c>
      <c r="G2520" s="2">
        <v>238.62</v>
      </c>
      <c r="H2520" t="str">
        <f>"001149031107486F425"</f>
        <v>001149031107486F425</v>
      </c>
    </row>
    <row r="2521" spans="1:8" x14ac:dyDescent="0.25">
      <c r="E2521" t="str">
        <f>"C93202105123160"</f>
        <v>C93202105123160</v>
      </c>
      <c r="F2521" t="str">
        <f>"0012702664120040"</f>
        <v>0012702664120040</v>
      </c>
      <c r="G2521" s="2">
        <v>161.54</v>
      </c>
      <c r="H2521" t="str">
        <f>"0012702664120040"</f>
        <v>0012702664120040</v>
      </c>
    </row>
    <row r="2522" spans="1:8" x14ac:dyDescent="0.25">
      <c r="A2522" t="s">
        <v>366</v>
      </c>
      <c r="B2522">
        <v>1081</v>
      </c>
      <c r="C2522" s="2">
        <v>4208.87</v>
      </c>
      <c r="D2522" s="1">
        <v>44344</v>
      </c>
      <c r="E2522" t="str">
        <f>"C2 202105263415"</f>
        <v>C2 202105263415</v>
      </c>
      <c r="F2522" t="str">
        <f>"0012982132CCL7445"</f>
        <v>0012982132CCL7445</v>
      </c>
      <c r="G2522" s="2">
        <v>692.31</v>
      </c>
      <c r="H2522" t="str">
        <f>"0012982132CCL7445"</f>
        <v>0012982132CCL7445</v>
      </c>
    </row>
    <row r="2523" spans="1:8" x14ac:dyDescent="0.25">
      <c r="E2523" t="str">
        <f>"C20202105263414"</f>
        <v>C20202105263414</v>
      </c>
      <c r="F2523" t="str">
        <f>"001003981107-12252"</f>
        <v>001003981107-12252</v>
      </c>
      <c r="G2523" s="2">
        <v>115.39</v>
      </c>
      <c r="H2523" t="str">
        <f>"001003981107-12252"</f>
        <v>001003981107-12252</v>
      </c>
    </row>
    <row r="2524" spans="1:8" x14ac:dyDescent="0.25">
      <c r="E2524" t="str">
        <f>"C42202105263414"</f>
        <v>C42202105263414</v>
      </c>
      <c r="F2524" t="str">
        <f>"001236769211-14410"</f>
        <v>001236769211-14410</v>
      </c>
      <c r="G2524" s="2">
        <v>230.31</v>
      </c>
      <c r="H2524" t="str">
        <f>"001236769211-14410"</f>
        <v>001236769211-14410</v>
      </c>
    </row>
    <row r="2525" spans="1:8" x14ac:dyDescent="0.25">
      <c r="E2525" t="str">
        <f>"C46202105263414"</f>
        <v>C46202105263414</v>
      </c>
      <c r="F2525" t="str">
        <f>"CAUSE# 11-14911"</f>
        <v>CAUSE# 11-14911</v>
      </c>
      <c r="G2525" s="2">
        <v>238.62</v>
      </c>
      <c r="H2525" t="str">
        <f>"CAUSE# 11-14911"</f>
        <v>CAUSE# 11-14911</v>
      </c>
    </row>
    <row r="2526" spans="1:8" x14ac:dyDescent="0.25">
      <c r="E2526" t="str">
        <f>"C60202105263414"</f>
        <v>C60202105263414</v>
      </c>
      <c r="F2526" t="str">
        <f>"00130730762012V300"</f>
        <v>00130730762012V300</v>
      </c>
      <c r="G2526" s="2">
        <v>399.32</v>
      </c>
      <c r="H2526" t="str">
        <f>"00130730762012V300"</f>
        <v>00130730762012V300</v>
      </c>
    </row>
    <row r="2527" spans="1:8" x14ac:dyDescent="0.25">
      <c r="E2527" t="str">
        <f>"C62202105263414"</f>
        <v>C62202105263414</v>
      </c>
      <c r="F2527" t="str">
        <f>"# 0012128865"</f>
        <v># 0012128865</v>
      </c>
      <c r="G2527" s="2">
        <v>243.23</v>
      </c>
      <c r="H2527" t="str">
        <f>"# 0012128865"</f>
        <v># 0012128865</v>
      </c>
    </row>
    <row r="2528" spans="1:8" x14ac:dyDescent="0.25">
      <c r="E2528" t="str">
        <f>"C66202105263414"</f>
        <v>C66202105263414</v>
      </c>
      <c r="F2528" t="str">
        <f>"# 0012871801"</f>
        <v># 0012871801</v>
      </c>
      <c r="G2528" s="2">
        <v>90</v>
      </c>
      <c r="H2528" t="str">
        <f>"# 0012871801"</f>
        <v># 0012871801</v>
      </c>
    </row>
    <row r="2529" spans="1:8" x14ac:dyDescent="0.25">
      <c r="E2529" t="str">
        <f>"C67202105263414"</f>
        <v>C67202105263414</v>
      </c>
      <c r="F2529" t="str">
        <f>"13154657"</f>
        <v>13154657</v>
      </c>
      <c r="G2529" s="2">
        <v>101.99</v>
      </c>
      <c r="H2529" t="str">
        <f>"13154657"</f>
        <v>13154657</v>
      </c>
    </row>
    <row r="2530" spans="1:8" x14ac:dyDescent="0.25">
      <c r="E2530" t="str">
        <f>"C69202105263414"</f>
        <v>C69202105263414</v>
      </c>
      <c r="F2530" t="str">
        <f>"0012046911423672"</f>
        <v>0012046911423672</v>
      </c>
      <c r="G2530" s="2">
        <v>187.38</v>
      </c>
      <c r="H2530" t="str">
        <f>"0012046911423672"</f>
        <v>0012046911423672</v>
      </c>
    </row>
    <row r="2531" spans="1:8" x14ac:dyDescent="0.25">
      <c r="E2531" t="str">
        <f>"C71202105263414"</f>
        <v>C71202105263414</v>
      </c>
      <c r="F2531" t="str">
        <f>"00137390532018V215"</f>
        <v>00137390532018V215</v>
      </c>
      <c r="G2531" s="2">
        <v>264</v>
      </c>
      <c r="H2531" t="str">
        <f>"00137390532018V215"</f>
        <v>00137390532018V215</v>
      </c>
    </row>
    <row r="2532" spans="1:8" x14ac:dyDescent="0.25">
      <c r="E2532" t="str">
        <f>"C72202105263414"</f>
        <v>C72202105263414</v>
      </c>
      <c r="F2532" t="str">
        <f>"0012797601C20130529B"</f>
        <v>0012797601C20130529B</v>
      </c>
      <c r="G2532" s="2">
        <v>241.85</v>
      </c>
      <c r="H2532" t="str">
        <f>"0012797601C20130529B"</f>
        <v>0012797601C20130529B</v>
      </c>
    </row>
    <row r="2533" spans="1:8" x14ac:dyDescent="0.25">
      <c r="E2533" t="str">
        <f>"C78202105263414"</f>
        <v>C78202105263414</v>
      </c>
      <c r="F2533" t="str">
        <f>"00105115972005106221"</f>
        <v>00105115972005106221</v>
      </c>
      <c r="G2533" s="2">
        <v>245.08</v>
      </c>
      <c r="H2533" t="str">
        <f>"00105115972005106221"</f>
        <v>00105115972005106221</v>
      </c>
    </row>
    <row r="2534" spans="1:8" x14ac:dyDescent="0.25">
      <c r="E2534" t="str">
        <f>"C85202105263414"</f>
        <v>C85202105263414</v>
      </c>
      <c r="F2534" t="str">
        <f>"0012469425201770874"</f>
        <v>0012469425201770874</v>
      </c>
      <c r="G2534" s="2">
        <v>138.46</v>
      </c>
      <c r="H2534" t="str">
        <f>"0012469425201770874"</f>
        <v>0012469425201770874</v>
      </c>
    </row>
    <row r="2535" spans="1:8" x14ac:dyDescent="0.25">
      <c r="E2535" t="str">
        <f>"C86202105263414"</f>
        <v>C86202105263414</v>
      </c>
      <c r="F2535" t="str">
        <f>"0013854015101285F"</f>
        <v>0013854015101285F</v>
      </c>
      <c r="G2535" s="2">
        <v>241.85</v>
      </c>
      <c r="H2535" t="str">
        <f>"0013854015101285F"</f>
        <v>0013854015101285F</v>
      </c>
    </row>
    <row r="2536" spans="1:8" x14ac:dyDescent="0.25">
      <c r="E2536" t="str">
        <f>"C87202105263414"</f>
        <v>C87202105263414</v>
      </c>
      <c r="F2536" t="str">
        <f>"0012963634L130019CVB"</f>
        <v>0012963634L130019CVB</v>
      </c>
      <c r="G2536" s="2">
        <v>249.23</v>
      </c>
      <c r="H2536" t="str">
        <f>"0012963634L130019CVB"</f>
        <v>0012963634L130019CVB</v>
      </c>
    </row>
    <row r="2537" spans="1:8" x14ac:dyDescent="0.25">
      <c r="E2537" t="str">
        <f>"C89202105263414"</f>
        <v>C89202105263414</v>
      </c>
      <c r="F2537" t="str">
        <f>"00127760434232477"</f>
        <v>00127760434232477</v>
      </c>
      <c r="G2537" s="2">
        <v>129.69</v>
      </c>
      <c r="H2537" t="str">
        <f>"00127760434232477"</f>
        <v>00127760434232477</v>
      </c>
    </row>
    <row r="2538" spans="1:8" x14ac:dyDescent="0.25">
      <c r="E2538" t="str">
        <f>"C91202105263414"</f>
        <v>C91202105263414</v>
      </c>
      <c r="F2538" t="str">
        <f>"001149031107486F425"</f>
        <v>001149031107486F425</v>
      </c>
      <c r="G2538" s="2">
        <v>238.62</v>
      </c>
      <c r="H2538" t="str">
        <f>"001149031107486F425"</f>
        <v>001149031107486F425</v>
      </c>
    </row>
    <row r="2539" spans="1:8" x14ac:dyDescent="0.25">
      <c r="E2539" t="str">
        <f>"C93202105263414"</f>
        <v>C93202105263414</v>
      </c>
      <c r="F2539" t="str">
        <f>"0012702664120040"</f>
        <v>0012702664120040</v>
      </c>
      <c r="G2539" s="2">
        <v>161.54</v>
      </c>
      <c r="H2539" t="str">
        <f>"0012702664120040"</f>
        <v>0012702664120040</v>
      </c>
    </row>
    <row r="2540" spans="1:8" x14ac:dyDescent="0.25">
      <c r="A2540" t="s">
        <v>367</v>
      </c>
      <c r="B2540">
        <v>1083</v>
      </c>
      <c r="C2540" s="2">
        <v>392639.66</v>
      </c>
      <c r="D2540" s="1">
        <v>44344</v>
      </c>
      <c r="E2540" t="str">
        <f>"RET202105123160"</f>
        <v>RET202105123160</v>
      </c>
      <c r="F2540" t="str">
        <f>"TEXAS COUNTY &amp; DISTRICT RET"</f>
        <v>TEXAS COUNTY &amp; DISTRICT RET</v>
      </c>
      <c r="G2540" s="2">
        <v>179013.3</v>
      </c>
      <c r="H2540" t="str">
        <f t="shared" ref="H2540:H2571" si="50">"TEXAS COUNTY &amp; DISTRICT RET"</f>
        <v>TEXAS COUNTY &amp; DISTRICT RET</v>
      </c>
    </row>
    <row r="2541" spans="1:8" x14ac:dyDescent="0.25">
      <c r="E2541" t="str">
        <f>""</f>
        <v/>
      </c>
      <c r="F2541" t="str">
        <f>""</f>
        <v/>
      </c>
      <c r="H2541" t="str">
        <f t="shared" si="50"/>
        <v>TEXAS COUNTY &amp; DISTRICT RET</v>
      </c>
    </row>
    <row r="2542" spans="1:8" x14ac:dyDescent="0.25">
      <c r="E2542" t="str">
        <f>""</f>
        <v/>
      </c>
      <c r="F2542" t="str">
        <f>""</f>
        <v/>
      </c>
      <c r="H2542" t="str">
        <f t="shared" si="50"/>
        <v>TEXAS COUNTY &amp; DISTRICT RET</v>
      </c>
    </row>
    <row r="2543" spans="1:8" x14ac:dyDescent="0.25">
      <c r="E2543" t="str">
        <f>""</f>
        <v/>
      </c>
      <c r="F2543" t="str">
        <f>""</f>
        <v/>
      </c>
      <c r="H2543" t="str">
        <f t="shared" si="50"/>
        <v>TEXAS COUNTY &amp; DISTRICT RET</v>
      </c>
    </row>
    <row r="2544" spans="1:8" x14ac:dyDescent="0.25">
      <c r="E2544" t="str">
        <f>""</f>
        <v/>
      </c>
      <c r="F2544" t="str">
        <f>""</f>
        <v/>
      </c>
      <c r="H2544" t="str">
        <f t="shared" si="50"/>
        <v>TEXAS COUNTY &amp; DISTRICT RET</v>
      </c>
    </row>
    <row r="2545" spans="5:8" x14ac:dyDescent="0.25">
      <c r="E2545" t="str">
        <f>""</f>
        <v/>
      </c>
      <c r="F2545" t="str">
        <f>""</f>
        <v/>
      </c>
      <c r="H2545" t="str">
        <f t="shared" si="50"/>
        <v>TEXAS COUNTY &amp; DISTRICT RET</v>
      </c>
    </row>
    <row r="2546" spans="5:8" x14ac:dyDescent="0.25">
      <c r="E2546" t="str">
        <f>""</f>
        <v/>
      </c>
      <c r="F2546" t="str">
        <f>""</f>
        <v/>
      </c>
      <c r="H2546" t="str">
        <f t="shared" si="50"/>
        <v>TEXAS COUNTY &amp; DISTRICT RET</v>
      </c>
    </row>
    <row r="2547" spans="5:8" x14ac:dyDescent="0.25">
      <c r="E2547" t="str">
        <f>""</f>
        <v/>
      </c>
      <c r="F2547" t="str">
        <f>""</f>
        <v/>
      </c>
      <c r="H2547" t="str">
        <f t="shared" si="50"/>
        <v>TEXAS COUNTY &amp; DISTRICT RET</v>
      </c>
    </row>
    <row r="2548" spans="5:8" x14ac:dyDescent="0.25">
      <c r="E2548" t="str">
        <f>""</f>
        <v/>
      </c>
      <c r="F2548" t="str">
        <f>""</f>
        <v/>
      </c>
      <c r="H2548" t="str">
        <f t="shared" si="50"/>
        <v>TEXAS COUNTY &amp; DISTRICT RET</v>
      </c>
    </row>
    <row r="2549" spans="5:8" x14ac:dyDescent="0.25">
      <c r="E2549" t="str">
        <f>""</f>
        <v/>
      </c>
      <c r="F2549" t="str">
        <f>""</f>
        <v/>
      </c>
      <c r="H2549" t="str">
        <f t="shared" si="50"/>
        <v>TEXAS COUNTY &amp; DISTRICT RET</v>
      </c>
    </row>
    <row r="2550" spans="5:8" x14ac:dyDescent="0.25">
      <c r="E2550" t="str">
        <f>""</f>
        <v/>
      </c>
      <c r="F2550" t="str">
        <f>""</f>
        <v/>
      </c>
      <c r="H2550" t="str">
        <f t="shared" si="50"/>
        <v>TEXAS COUNTY &amp; DISTRICT RET</v>
      </c>
    </row>
    <row r="2551" spans="5:8" x14ac:dyDescent="0.25">
      <c r="E2551" t="str">
        <f>""</f>
        <v/>
      </c>
      <c r="F2551" t="str">
        <f>""</f>
        <v/>
      </c>
      <c r="H2551" t="str">
        <f t="shared" si="50"/>
        <v>TEXAS COUNTY &amp; DISTRICT RET</v>
      </c>
    </row>
    <row r="2552" spans="5:8" x14ac:dyDescent="0.25">
      <c r="E2552" t="str">
        <f>""</f>
        <v/>
      </c>
      <c r="F2552" t="str">
        <f>""</f>
        <v/>
      </c>
      <c r="H2552" t="str">
        <f t="shared" si="50"/>
        <v>TEXAS COUNTY &amp; DISTRICT RET</v>
      </c>
    </row>
    <row r="2553" spans="5:8" x14ac:dyDescent="0.25">
      <c r="E2553" t="str">
        <f>""</f>
        <v/>
      </c>
      <c r="F2553" t="str">
        <f>""</f>
        <v/>
      </c>
      <c r="H2553" t="str">
        <f t="shared" si="50"/>
        <v>TEXAS COUNTY &amp; DISTRICT RET</v>
      </c>
    </row>
    <row r="2554" spans="5:8" x14ac:dyDescent="0.25">
      <c r="E2554" t="str">
        <f>""</f>
        <v/>
      </c>
      <c r="F2554" t="str">
        <f>""</f>
        <v/>
      </c>
      <c r="H2554" t="str">
        <f t="shared" si="50"/>
        <v>TEXAS COUNTY &amp; DISTRICT RET</v>
      </c>
    </row>
    <row r="2555" spans="5:8" x14ac:dyDescent="0.25">
      <c r="E2555" t="str">
        <f>""</f>
        <v/>
      </c>
      <c r="F2555" t="str">
        <f>""</f>
        <v/>
      </c>
      <c r="H2555" t="str">
        <f t="shared" si="50"/>
        <v>TEXAS COUNTY &amp; DISTRICT RET</v>
      </c>
    </row>
    <row r="2556" spans="5:8" x14ac:dyDescent="0.25">
      <c r="E2556" t="str">
        <f>""</f>
        <v/>
      </c>
      <c r="F2556" t="str">
        <f>""</f>
        <v/>
      </c>
      <c r="H2556" t="str">
        <f t="shared" si="50"/>
        <v>TEXAS COUNTY &amp; DISTRICT RET</v>
      </c>
    </row>
    <row r="2557" spans="5:8" x14ac:dyDescent="0.25">
      <c r="E2557" t="str">
        <f>""</f>
        <v/>
      </c>
      <c r="F2557" t="str">
        <f>""</f>
        <v/>
      </c>
      <c r="H2557" t="str">
        <f t="shared" si="50"/>
        <v>TEXAS COUNTY &amp; DISTRICT RET</v>
      </c>
    </row>
    <row r="2558" spans="5:8" x14ac:dyDescent="0.25">
      <c r="E2558" t="str">
        <f>""</f>
        <v/>
      </c>
      <c r="F2558" t="str">
        <f>""</f>
        <v/>
      </c>
      <c r="H2558" t="str">
        <f t="shared" si="50"/>
        <v>TEXAS COUNTY &amp; DISTRICT RET</v>
      </c>
    </row>
    <row r="2559" spans="5:8" x14ac:dyDescent="0.25">
      <c r="E2559" t="str">
        <f>""</f>
        <v/>
      </c>
      <c r="F2559" t="str">
        <f>""</f>
        <v/>
      </c>
      <c r="H2559" t="str">
        <f t="shared" si="50"/>
        <v>TEXAS COUNTY &amp; DISTRICT RET</v>
      </c>
    </row>
    <row r="2560" spans="5:8" x14ac:dyDescent="0.25">
      <c r="E2560" t="str">
        <f>""</f>
        <v/>
      </c>
      <c r="F2560" t="str">
        <f>""</f>
        <v/>
      </c>
      <c r="H2560" t="str">
        <f t="shared" si="50"/>
        <v>TEXAS COUNTY &amp; DISTRICT RET</v>
      </c>
    </row>
    <row r="2561" spans="5:8" x14ac:dyDescent="0.25">
      <c r="E2561" t="str">
        <f>""</f>
        <v/>
      </c>
      <c r="F2561" t="str">
        <f>""</f>
        <v/>
      </c>
      <c r="H2561" t="str">
        <f t="shared" si="50"/>
        <v>TEXAS COUNTY &amp; DISTRICT RET</v>
      </c>
    </row>
    <row r="2562" spans="5:8" x14ac:dyDescent="0.25">
      <c r="E2562" t="str">
        <f>""</f>
        <v/>
      </c>
      <c r="F2562" t="str">
        <f>""</f>
        <v/>
      </c>
      <c r="H2562" t="str">
        <f t="shared" si="50"/>
        <v>TEXAS COUNTY &amp; DISTRICT RET</v>
      </c>
    </row>
    <row r="2563" spans="5:8" x14ac:dyDescent="0.25">
      <c r="E2563" t="str">
        <f>""</f>
        <v/>
      </c>
      <c r="F2563" t="str">
        <f>""</f>
        <v/>
      </c>
      <c r="H2563" t="str">
        <f t="shared" si="50"/>
        <v>TEXAS COUNTY &amp; DISTRICT RET</v>
      </c>
    </row>
    <row r="2564" spans="5:8" x14ac:dyDescent="0.25">
      <c r="E2564" t="str">
        <f>""</f>
        <v/>
      </c>
      <c r="F2564" t="str">
        <f>""</f>
        <v/>
      </c>
      <c r="H2564" t="str">
        <f t="shared" si="50"/>
        <v>TEXAS COUNTY &amp; DISTRICT RET</v>
      </c>
    </row>
    <row r="2565" spans="5:8" x14ac:dyDescent="0.25">
      <c r="E2565" t="str">
        <f>""</f>
        <v/>
      </c>
      <c r="F2565" t="str">
        <f>""</f>
        <v/>
      </c>
      <c r="H2565" t="str">
        <f t="shared" si="50"/>
        <v>TEXAS COUNTY &amp; DISTRICT RET</v>
      </c>
    </row>
    <row r="2566" spans="5:8" x14ac:dyDescent="0.25">
      <c r="E2566" t="str">
        <f>""</f>
        <v/>
      </c>
      <c r="F2566" t="str">
        <f>""</f>
        <v/>
      </c>
      <c r="H2566" t="str">
        <f t="shared" si="50"/>
        <v>TEXAS COUNTY &amp; DISTRICT RET</v>
      </c>
    </row>
    <row r="2567" spans="5:8" x14ac:dyDescent="0.25">
      <c r="E2567" t="str">
        <f>""</f>
        <v/>
      </c>
      <c r="F2567" t="str">
        <f>""</f>
        <v/>
      </c>
      <c r="H2567" t="str">
        <f t="shared" si="50"/>
        <v>TEXAS COUNTY &amp; DISTRICT RET</v>
      </c>
    </row>
    <row r="2568" spans="5:8" x14ac:dyDescent="0.25">
      <c r="E2568" t="str">
        <f>""</f>
        <v/>
      </c>
      <c r="F2568" t="str">
        <f>""</f>
        <v/>
      </c>
      <c r="H2568" t="str">
        <f t="shared" si="50"/>
        <v>TEXAS COUNTY &amp; DISTRICT RET</v>
      </c>
    </row>
    <row r="2569" spans="5:8" x14ac:dyDescent="0.25">
      <c r="E2569" t="str">
        <f>""</f>
        <v/>
      </c>
      <c r="F2569" t="str">
        <f>""</f>
        <v/>
      </c>
      <c r="H2569" t="str">
        <f t="shared" si="50"/>
        <v>TEXAS COUNTY &amp; DISTRICT RET</v>
      </c>
    </row>
    <row r="2570" spans="5:8" x14ac:dyDescent="0.25">
      <c r="E2570" t="str">
        <f>""</f>
        <v/>
      </c>
      <c r="F2570" t="str">
        <f>""</f>
        <v/>
      </c>
      <c r="H2570" t="str">
        <f t="shared" si="50"/>
        <v>TEXAS COUNTY &amp; DISTRICT RET</v>
      </c>
    </row>
    <row r="2571" spans="5:8" x14ac:dyDescent="0.25">
      <c r="E2571" t="str">
        <f>""</f>
        <v/>
      </c>
      <c r="F2571" t="str">
        <f>""</f>
        <v/>
      </c>
      <c r="H2571" t="str">
        <f t="shared" si="50"/>
        <v>TEXAS COUNTY &amp; DISTRICT RET</v>
      </c>
    </row>
    <row r="2572" spans="5:8" x14ac:dyDescent="0.25">
      <c r="E2572" t="str">
        <f>""</f>
        <v/>
      </c>
      <c r="F2572" t="str">
        <f>""</f>
        <v/>
      </c>
      <c r="H2572" t="str">
        <f t="shared" ref="H2572:H2591" si="51">"TEXAS COUNTY &amp; DISTRICT RET"</f>
        <v>TEXAS COUNTY &amp; DISTRICT RET</v>
      </c>
    </row>
    <row r="2573" spans="5:8" x14ac:dyDescent="0.25">
      <c r="E2573" t="str">
        <f>""</f>
        <v/>
      </c>
      <c r="F2573" t="str">
        <f>""</f>
        <v/>
      </c>
      <c r="H2573" t="str">
        <f t="shared" si="51"/>
        <v>TEXAS COUNTY &amp; DISTRICT RET</v>
      </c>
    </row>
    <row r="2574" spans="5:8" x14ac:dyDescent="0.25">
      <c r="E2574" t="str">
        <f>""</f>
        <v/>
      </c>
      <c r="F2574" t="str">
        <f>""</f>
        <v/>
      </c>
      <c r="H2574" t="str">
        <f t="shared" si="51"/>
        <v>TEXAS COUNTY &amp; DISTRICT RET</v>
      </c>
    </row>
    <row r="2575" spans="5:8" x14ac:dyDescent="0.25">
      <c r="E2575" t="str">
        <f>""</f>
        <v/>
      </c>
      <c r="F2575" t="str">
        <f>""</f>
        <v/>
      </c>
      <c r="H2575" t="str">
        <f t="shared" si="51"/>
        <v>TEXAS COUNTY &amp; DISTRICT RET</v>
      </c>
    </row>
    <row r="2576" spans="5:8" x14ac:dyDescent="0.25">
      <c r="E2576" t="str">
        <f>""</f>
        <v/>
      </c>
      <c r="F2576" t="str">
        <f>""</f>
        <v/>
      </c>
      <c r="H2576" t="str">
        <f t="shared" si="51"/>
        <v>TEXAS COUNTY &amp; DISTRICT RET</v>
      </c>
    </row>
    <row r="2577" spans="5:8" x14ac:dyDescent="0.25">
      <c r="E2577" t="str">
        <f>""</f>
        <v/>
      </c>
      <c r="F2577" t="str">
        <f>""</f>
        <v/>
      </c>
      <c r="H2577" t="str">
        <f t="shared" si="51"/>
        <v>TEXAS COUNTY &amp; DISTRICT RET</v>
      </c>
    </row>
    <row r="2578" spans="5:8" x14ac:dyDescent="0.25">
      <c r="E2578" t="str">
        <f>""</f>
        <v/>
      </c>
      <c r="F2578" t="str">
        <f>""</f>
        <v/>
      </c>
      <c r="H2578" t="str">
        <f t="shared" si="51"/>
        <v>TEXAS COUNTY &amp; DISTRICT RET</v>
      </c>
    </row>
    <row r="2579" spans="5:8" x14ac:dyDescent="0.25">
      <c r="E2579" t="str">
        <f>""</f>
        <v/>
      </c>
      <c r="F2579" t="str">
        <f>""</f>
        <v/>
      </c>
      <c r="H2579" t="str">
        <f t="shared" si="51"/>
        <v>TEXAS COUNTY &amp; DISTRICT RET</v>
      </c>
    </row>
    <row r="2580" spans="5:8" x14ac:dyDescent="0.25">
      <c r="E2580" t="str">
        <f>""</f>
        <v/>
      </c>
      <c r="F2580" t="str">
        <f>""</f>
        <v/>
      </c>
      <c r="H2580" t="str">
        <f t="shared" si="51"/>
        <v>TEXAS COUNTY &amp; DISTRICT RET</v>
      </c>
    </row>
    <row r="2581" spans="5:8" x14ac:dyDescent="0.25">
      <c r="E2581" t="str">
        <f>""</f>
        <v/>
      </c>
      <c r="F2581" t="str">
        <f>""</f>
        <v/>
      </c>
      <c r="H2581" t="str">
        <f t="shared" si="51"/>
        <v>TEXAS COUNTY &amp; DISTRICT RET</v>
      </c>
    </row>
    <row r="2582" spans="5:8" x14ac:dyDescent="0.25">
      <c r="E2582" t="str">
        <f>""</f>
        <v/>
      </c>
      <c r="F2582" t="str">
        <f>""</f>
        <v/>
      </c>
      <c r="H2582" t="str">
        <f t="shared" si="51"/>
        <v>TEXAS COUNTY &amp; DISTRICT RET</v>
      </c>
    </row>
    <row r="2583" spans="5:8" x14ac:dyDescent="0.25">
      <c r="E2583" t="str">
        <f>""</f>
        <v/>
      </c>
      <c r="F2583" t="str">
        <f>""</f>
        <v/>
      </c>
      <c r="H2583" t="str">
        <f t="shared" si="51"/>
        <v>TEXAS COUNTY &amp; DISTRICT RET</v>
      </c>
    </row>
    <row r="2584" spans="5:8" x14ac:dyDescent="0.25">
      <c r="E2584" t="str">
        <f>""</f>
        <v/>
      </c>
      <c r="F2584" t="str">
        <f>""</f>
        <v/>
      </c>
      <c r="H2584" t="str">
        <f t="shared" si="51"/>
        <v>TEXAS COUNTY &amp; DISTRICT RET</v>
      </c>
    </row>
    <row r="2585" spans="5:8" x14ac:dyDescent="0.25">
      <c r="E2585" t="str">
        <f>""</f>
        <v/>
      </c>
      <c r="F2585" t="str">
        <f>""</f>
        <v/>
      </c>
      <c r="H2585" t="str">
        <f t="shared" si="51"/>
        <v>TEXAS COUNTY &amp; DISTRICT RET</v>
      </c>
    </row>
    <row r="2586" spans="5:8" x14ac:dyDescent="0.25">
      <c r="E2586" t="str">
        <f>""</f>
        <v/>
      </c>
      <c r="F2586" t="str">
        <f>""</f>
        <v/>
      </c>
      <c r="H2586" t="str">
        <f t="shared" si="51"/>
        <v>TEXAS COUNTY &amp; DISTRICT RET</v>
      </c>
    </row>
    <row r="2587" spans="5:8" x14ac:dyDescent="0.25">
      <c r="E2587" t="str">
        <f>""</f>
        <v/>
      </c>
      <c r="F2587" t="str">
        <f>""</f>
        <v/>
      </c>
      <c r="H2587" t="str">
        <f t="shared" si="51"/>
        <v>TEXAS COUNTY &amp; DISTRICT RET</v>
      </c>
    </row>
    <row r="2588" spans="5:8" x14ac:dyDescent="0.25">
      <c r="E2588" t="str">
        <f>""</f>
        <v/>
      </c>
      <c r="F2588" t="str">
        <f>""</f>
        <v/>
      </c>
      <c r="H2588" t="str">
        <f t="shared" si="51"/>
        <v>TEXAS COUNTY &amp; DISTRICT RET</v>
      </c>
    </row>
    <row r="2589" spans="5:8" x14ac:dyDescent="0.25">
      <c r="E2589" t="str">
        <f>""</f>
        <v/>
      </c>
      <c r="F2589" t="str">
        <f>""</f>
        <v/>
      </c>
      <c r="H2589" t="str">
        <f t="shared" si="51"/>
        <v>TEXAS COUNTY &amp; DISTRICT RET</v>
      </c>
    </row>
    <row r="2590" spans="5:8" x14ac:dyDescent="0.25">
      <c r="E2590" t="str">
        <f>""</f>
        <v/>
      </c>
      <c r="F2590" t="str">
        <f>""</f>
        <v/>
      </c>
      <c r="H2590" t="str">
        <f t="shared" si="51"/>
        <v>TEXAS COUNTY &amp; DISTRICT RET</v>
      </c>
    </row>
    <row r="2591" spans="5:8" x14ac:dyDescent="0.25">
      <c r="E2591" t="str">
        <f>""</f>
        <v/>
      </c>
      <c r="F2591" t="str">
        <f>""</f>
        <v/>
      </c>
      <c r="H2591" t="str">
        <f t="shared" si="51"/>
        <v>TEXAS COUNTY &amp; DISTRICT RET</v>
      </c>
    </row>
    <row r="2592" spans="5:8" x14ac:dyDescent="0.25">
      <c r="E2592" t="str">
        <f>"RET202105123161"</f>
        <v>RET202105123161</v>
      </c>
      <c r="F2592" t="str">
        <f>"TEXAS COUNTY  DISTRICT RET"</f>
        <v>TEXAS COUNTY  DISTRICT RET</v>
      </c>
      <c r="G2592" s="2">
        <v>6273.54</v>
      </c>
      <c r="H2592" t="str">
        <f>"TEXAS COUNTY  DISTRICT RET"</f>
        <v>TEXAS COUNTY  DISTRICT RET</v>
      </c>
    </row>
    <row r="2593" spans="5:8" x14ac:dyDescent="0.25">
      <c r="E2593" t="str">
        <f>""</f>
        <v/>
      </c>
      <c r="F2593" t="str">
        <f>""</f>
        <v/>
      </c>
      <c r="H2593" t="str">
        <f>"TEXAS COUNTY  DISTRICT RET"</f>
        <v>TEXAS COUNTY  DISTRICT RET</v>
      </c>
    </row>
    <row r="2594" spans="5:8" x14ac:dyDescent="0.25">
      <c r="E2594" t="str">
        <f>"RET202105123162"</f>
        <v>RET202105123162</v>
      </c>
      <c r="F2594" t="str">
        <f>"TEXAS COUNTY &amp; DISTRICT RET"</f>
        <v>TEXAS COUNTY &amp; DISTRICT RET</v>
      </c>
      <c r="G2594" s="2">
        <v>7639.11</v>
      </c>
      <c r="H2594" t="str">
        <f t="shared" ref="H2594:H2625" si="52">"TEXAS COUNTY &amp; DISTRICT RET"</f>
        <v>TEXAS COUNTY &amp; DISTRICT RET</v>
      </c>
    </row>
    <row r="2595" spans="5:8" x14ac:dyDescent="0.25">
      <c r="E2595" t="str">
        <f>""</f>
        <v/>
      </c>
      <c r="F2595" t="str">
        <f>""</f>
        <v/>
      </c>
      <c r="H2595" t="str">
        <f t="shared" si="52"/>
        <v>TEXAS COUNTY &amp; DISTRICT RET</v>
      </c>
    </row>
    <row r="2596" spans="5:8" x14ac:dyDescent="0.25">
      <c r="E2596" t="str">
        <f>"RET202105193366"</f>
        <v>RET202105193366</v>
      </c>
      <c r="F2596" t="str">
        <f>"TEXAS COUNTY &amp; DISTRICT RET"</f>
        <v>TEXAS COUNTY &amp; DISTRICT RET</v>
      </c>
      <c r="G2596" s="2">
        <v>6618.07</v>
      </c>
      <c r="H2596" t="str">
        <f t="shared" si="52"/>
        <v>TEXAS COUNTY &amp; DISTRICT RET</v>
      </c>
    </row>
    <row r="2597" spans="5:8" x14ac:dyDescent="0.25">
      <c r="E2597" t="str">
        <f>""</f>
        <v/>
      </c>
      <c r="F2597" t="str">
        <f>""</f>
        <v/>
      </c>
      <c r="H2597" t="str">
        <f t="shared" si="52"/>
        <v>TEXAS COUNTY &amp; DISTRICT RET</v>
      </c>
    </row>
    <row r="2598" spans="5:8" x14ac:dyDescent="0.25">
      <c r="E2598" t="str">
        <f>""</f>
        <v/>
      </c>
      <c r="F2598" t="str">
        <f>""</f>
        <v/>
      </c>
      <c r="H2598" t="str">
        <f t="shared" si="52"/>
        <v>TEXAS COUNTY &amp; DISTRICT RET</v>
      </c>
    </row>
    <row r="2599" spans="5:8" x14ac:dyDescent="0.25">
      <c r="E2599" t="str">
        <f>""</f>
        <v/>
      </c>
      <c r="F2599" t="str">
        <f>""</f>
        <v/>
      </c>
      <c r="H2599" t="str">
        <f t="shared" si="52"/>
        <v>TEXAS COUNTY &amp; DISTRICT RET</v>
      </c>
    </row>
    <row r="2600" spans="5:8" x14ac:dyDescent="0.25">
      <c r="E2600" t="str">
        <f>""</f>
        <v/>
      </c>
      <c r="F2600" t="str">
        <f>""</f>
        <v/>
      </c>
      <c r="H2600" t="str">
        <f t="shared" si="52"/>
        <v>TEXAS COUNTY &amp; DISTRICT RET</v>
      </c>
    </row>
    <row r="2601" spans="5:8" x14ac:dyDescent="0.25">
      <c r="E2601" t="str">
        <f>""</f>
        <v/>
      </c>
      <c r="F2601" t="str">
        <f>""</f>
        <v/>
      </c>
      <c r="H2601" t="str">
        <f t="shared" si="52"/>
        <v>TEXAS COUNTY &amp; DISTRICT RET</v>
      </c>
    </row>
    <row r="2602" spans="5:8" x14ac:dyDescent="0.25">
      <c r="E2602" t="str">
        <f>""</f>
        <v/>
      </c>
      <c r="F2602" t="str">
        <f>""</f>
        <v/>
      </c>
      <c r="H2602" t="str">
        <f t="shared" si="52"/>
        <v>TEXAS COUNTY &amp; DISTRICT RET</v>
      </c>
    </row>
    <row r="2603" spans="5:8" x14ac:dyDescent="0.25">
      <c r="E2603" t="str">
        <f>""</f>
        <v/>
      </c>
      <c r="F2603" t="str">
        <f>""</f>
        <v/>
      </c>
      <c r="H2603" t="str">
        <f t="shared" si="52"/>
        <v>TEXAS COUNTY &amp; DISTRICT RET</v>
      </c>
    </row>
    <row r="2604" spans="5:8" x14ac:dyDescent="0.25">
      <c r="E2604" t="str">
        <f>""</f>
        <v/>
      </c>
      <c r="F2604" t="str">
        <f>""</f>
        <v/>
      </c>
      <c r="H2604" t="str">
        <f t="shared" si="52"/>
        <v>TEXAS COUNTY &amp; DISTRICT RET</v>
      </c>
    </row>
    <row r="2605" spans="5:8" x14ac:dyDescent="0.25">
      <c r="E2605" t="str">
        <f>"RET202105263414"</f>
        <v>RET202105263414</v>
      </c>
      <c r="F2605" t="str">
        <f>"TEXAS COUNTY &amp; DISTRICT RET"</f>
        <v>TEXAS COUNTY &amp; DISTRICT RET</v>
      </c>
      <c r="G2605" s="2">
        <v>179494.91</v>
      </c>
      <c r="H2605" t="str">
        <f t="shared" si="52"/>
        <v>TEXAS COUNTY &amp; DISTRICT RET</v>
      </c>
    </row>
    <row r="2606" spans="5:8" x14ac:dyDescent="0.25">
      <c r="E2606" t="str">
        <f>""</f>
        <v/>
      </c>
      <c r="F2606" t="str">
        <f>""</f>
        <v/>
      </c>
      <c r="H2606" t="str">
        <f t="shared" si="52"/>
        <v>TEXAS COUNTY &amp; DISTRICT RET</v>
      </c>
    </row>
    <row r="2607" spans="5:8" x14ac:dyDescent="0.25">
      <c r="E2607" t="str">
        <f>""</f>
        <v/>
      </c>
      <c r="F2607" t="str">
        <f>""</f>
        <v/>
      </c>
      <c r="H2607" t="str">
        <f t="shared" si="52"/>
        <v>TEXAS COUNTY &amp; DISTRICT RET</v>
      </c>
    </row>
    <row r="2608" spans="5:8" x14ac:dyDescent="0.25">
      <c r="E2608" t="str">
        <f>""</f>
        <v/>
      </c>
      <c r="F2608" t="str">
        <f>""</f>
        <v/>
      </c>
      <c r="H2608" t="str">
        <f t="shared" si="52"/>
        <v>TEXAS COUNTY &amp; DISTRICT RET</v>
      </c>
    </row>
    <row r="2609" spans="5:8" x14ac:dyDescent="0.25">
      <c r="E2609" t="str">
        <f>""</f>
        <v/>
      </c>
      <c r="F2609" t="str">
        <f>""</f>
        <v/>
      </c>
      <c r="H2609" t="str">
        <f t="shared" si="52"/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 t="shared" si="52"/>
        <v>TEXAS COUNTY &amp; DISTRICT RET</v>
      </c>
    </row>
    <row r="2611" spans="5:8" x14ac:dyDescent="0.25">
      <c r="E2611" t="str">
        <f>""</f>
        <v/>
      </c>
      <c r="F2611" t="str">
        <f>""</f>
        <v/>
      </c>
      <c r="H2611" t="str">
        <f t="shared" si="52"/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 t="shared" si="52"/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 t="shared" si="52"/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 t="shared" si="52"/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 t="shared" si="52"/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 t="shared" si="52"/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 t="shared" si="52"/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 t="shared" si="52"/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 t="shared" si="52"/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 t="shared" si="52"/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 t="shared" si="52"/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 t="shared" si="52"/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 t="shared" si="52"/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 t="shared" si="52"/>
        <v>TEXAS COUNTY &amp; DISTRICT RET</v>
      </c>
    </row>
    <row r="2625" spans="5:8" x14ac:dyDescent="0.25">
      <c r="E2625" t="str">
        <f>""</f>
        <v/>
      </c>
      <c r="F2625" t="str">
        <f>""</f>
        <v/>
      </c>
      <c r="H2625" t="str">
        <f t="shared" si="52"/>
        <v>TEXAS COUNTY &amp; DISTRICT RET</v>
      </c>
    </row>
    <row r="2626" spans="5:8" x14ac:dyDescent="0.25">
      <c r="E2626" t="str">
        <f>""</f>
        <v/>
      </c>
      <c r="F2626" t="str">
        <f>""</f>
        <v/>
      </c>
      <c r="H2626" t="str">
        <f t="shared" ref="H2626:H2656" si="53">"TEXAS COUNTY &amp; DISTRICT RET"</f>
        <v>TEXAS COUNTY &amp; DISTRICT RET</v>
      </c>
    </row>
    <row r="2627" spans="5:8" x14ac:dyDescent="0.25">
      <c r="E2627" t="str">
        <f>""</f>
        <v/>
      </c>
      <c r="F2627" t="str">
        <f>""</f>
        <v/>
      </c>
      <c r="H2627" t="str">
        <f t="shared" si="53"/>
        <v>TEXAS COUNTY &amp; DISTRICT RET</v>
      </c>
    </row>
    <row r="2628" spans="5:8" x14ac:dyDescent="0.25">
      <c r="E2628" t="str">
        <f>""</f>
        <v/>
      </c>
      <c r="F2628" t="str">
        <f>""</f>
        <v/>
      </c>
      <c r="H2628" t="str">
        <f t="shared" si="53"/>
        <v>TEXAS COUNTY &amp; DISTRICT RET</v>
      </c>
    </row>
    <row r="2629" spans="5:8" x14ac:dyDescent="0.25">
      <c r="E2629" t="str">
        <f>""</f>
        <v/>
      </c>
      <c r="F2629" t="str">
        <f>""</f>
        <v/>
      </c>
      <c r="H2629" t="str">
        <f t="shared" si="53"/>
        <v>TEXAS COUNTY &amp; DISTRICT RET</v>
      </c>
    </row>
    <row r="2630" spans="5:8" x14ac:dyDescent="0.25">
      <c r="E2630" t="str">
        <f>""</f>
        <v/>
      </c>
      <c r="F2630" t="str">
        <f>""</f>
        <v/>
      </c>
      <c r="H2630" t="str">
        <f t="shared" si="53"/>
        <v>TEXAS COUNTY &amp; DISTRICT RET</v>
      </c>
    </row>
    <row r="2631" spans="5:8" x14ac:dyDescent="0.25">
      <c r="E2631" t="str">
        <f>""</f>
        <v/>
      </c>
      <c r="F2631" t="str">
        <f>""</f>
        <v/>
      </c>
      <c r="H2631" t="str">
        <f t="shared" si="53"/>
        <v>TEXAS COUNTY &amp; DISTRICT RET</v>
      </c>
    </row>
    <row r="2632" spans="5:8" x14ac:dyDescent="0.25">
      <c r="E2632" t="str">
        <f>""</f>
        <v/>
      </c>
      <c r="F2632" t="str">
        <f>""</f>
        <v/>
      </c>
      <c r="H2632" t="str">
        <f t="shared" si="53"/>
        <v>TEXAS COUNTY &amp; DISTRICT RET</v>
      </c>
    </row>
    <row r="2633" spans="5:8" x14ac:dyDescent="0.25">
      <c r="E2633" t="str">
        <f>""</f>
        <v/>
      </c>
      <c r="F2633" t="str">
        <f>""</f>
        <v/>
      </c>
      <c r="H2633" t="str">
        <f t="shared" si="53"/>
        <v>TEXAS COUNTY &amp; DISTRICT RET</v>
      </c>
    </row>
    <row r="2634" spans="5:8" x14ac:dyDescent="0.25">
      <c r="E2634" t="str">
        <f>""</f>
        <v/>
      </c>
      <c r="F2634" t="str">
        <f>""</f>
        <v/>
      </c>
      <c r="H2634" t="str">
        <f t="shared" si="53"/>
        <v>TEXAS COUNTY &amp; DISTRICT RET</v>
      </c>
    </row>
    <row r="2635" spans="5:8" x14ac:dyDescent="0.25">
      <c r="E2635" t="str">
        <f>""</f>
        <v/>
      </c>
      <c r="F2635" t="str">
        <f>""</f>
        <v/>
      </c>
      <c r="H2635" t="str">
        <f t="shared" si="53"/>
        <v>TEXAS COUNTY &amp; DISTRICT RET</v>
      </c>
    </row>
    <row r="2636" spans="5:8" x14ac:dyDescent="0.25">
      <c r="E2636" t="str">
        <f>""</f>
        <v/>
      </c>
      <c r="F2636" t="str">
        <f>""</f>
        <v/>
      </c>
      <c r="H2636" t="str">
        <f t="shared" si="53"/>
        <v>TEXAS COUNTY &amp; DISTRICT RET</v>
      </c>
    </row>
    <row r="2637" spans="5:8" x14ac:dyDescent="0.25">
      <c r="E2637" t="str">
        <f>""</f>
        <v/>
      </c>
      <c r="F2637" t="str">
        <f>""</f>
        <v/>
      </c>
      <c r="H2637" t="str">
        <f t="shared" si="53"/>
        <v>TEXAS COUNTY &amp; DISTRICT RET</v>
      </c>
    </row>
    <row r="2638" spans="5:8" x14ac:dyDescent="0.25">
      <c r="E2638" t="str">
        <f>""</f>
        <v/>
      </c>
      <c r="F2638" t="str">
        <f>""</f>
        <v/>
      </c>
      <c r="H2638" t="str">
        <f t="shared" si="53"/>
        <v>TEXAS COUNTY &amp; DISTRICT RET</v>
      </c>
    </row>
    <row r="2639" spans="5:8" x14ac:dyDescent="0.25">
      <c r="E2639" t="str">
        <f>""</f>
        <v/>
      </c>
      <c r="F2639" t="str">
        <f>""</f>
        <v/>
      </c>
      <c r="H2639" t="str">
        <f t="shared" si="53"/>
        <v>TEXAS COUNTY &amp; DISTRICT RET</v>
      </c>
    </row>
    <row r="2640" spans="5:8" x14ac:dyDescent="0.25">
      <c r="E2640" t="str">
        <f>""</f>
        <v/>
      </c>
      <c r="F2640" t="str">
        <f>""</f>
        <v/>
      </c>
      <c r="H2640" t="str">
        <f t="shared" si="53"/>
        <v>TEXAS COUNTY &amp; DISTRICT RET</v>
      </c>
    </row>
    <row r="2641" spans="5:8" x14ac:dyDescent="0.25">
      <c r="E2641" t="str">
        <f>""</f>
        <v/>
      </c>
      <c r="F2641" t="str">
        <f>""</f>
        <v/>
      </c>
      <c r="H2641" t="str">
        <f t="shared" si="53"/>
        <v>TEXAS COUNTY &amp; DISTRICT RET</v>
      </c>
    </row>
    <row r="2642" spans="5:8" x14ac:dyDescent="0.25">
      <c r="E2642" t="str">
        <f>""</f>
        <v/>
      </c>
      <c r="F2642" t="str">
        <f>""</f>
        <v/>
      </c>
      <c r="H2642" t="str">
        <f t="shared" si="53"/>
        <v>TEXAS COUNTY &amp; DISTRICT RET</v>
      </c>
    </row>
    <row r="2643" spans="5:8" x14ac:dyDescent="0.25">
      <c r="E2643" t="str">
        <f>""</f>
        <v/>
      </c>
      <c r="F2643" t="str">
        <f>""</f>
        <v/>
      </c>
      <c r="H2643" t="str">
        <f t="shared" si="53"/>
        <v>TEXAS COUNTY &amp; DISTRICT RET</v>
      </c>
    </row>
    <row r="2644" spans="5:8" x14ac:dyDescent="0.25">
      <c r="E2644" t="str">
        <f>""</f>
        <v/>
      </c>
      <c r="F2644" t="str">
        <f>""</f>
        <v/>
      </c>
      <c r="H2644" t="str">
        <f t="shared" si="53"/>
        <v>TEXAS COUNTY &amp; DISTRICT RET</v>
      </c>
    </row>
    <row r="2645" spans="5:8" x14ac:dyDescent="0.25">
      <c r="E2645" t="str">
        <f>""</f>
        <v/>
      </c>
      <c r="F2645" t="str">
        <f>""</f>
        <v/>
      </c>
      <c r="H2645" t="str">
        <f t="shared" si="53"/>
        <v>TEXAS COUNTY &amp; DISTRICT RET</v>
      </c>
    </row>
    <row r="2646" spans="5:8" x14ac:dyDescent="0.25">
      <c r="E2646" t="str">
        <f>""</f>
        <v/>
      </c>
      <c r="F2646" t="str">
        <f>""</f>
        <v/>
      </c>
      <c r="H2646" t="str">
        <f t="shared" si="53"/>
        <v>TEXAS COUNTY &amp; DISTRICT RET</v>
      </c>
    </row>
    <row r="2647" spans="5:8" x14ac:dyDescent="0.25">
      <c r="E2647" t="str">
        <f>""</f>
        <v/>
      </c>
      <c r="F2647" t="str">
        <f>""</f>
        <v/>
      </c>
      <c r="H2647" t="str">
        <f t="shared" si="53"/>
        <v>TEXAS COUNTY &amp; DISTRICT RET</v>
      </c>
    </row>
    <row r="2648" spans="5:8" x14ac:dyDescent="0.25">
      <c r="E2648" t="str">
        <f>""</f>
        <v/>
      </c>
      <c r="F2648" t="str">
        <f>""</f>
        <v/>
      </c>
      <c r="H2648" t="str">
        <f t="shared" si="53"/>
        <v>TEXAS COUNTY &amp; DISTRICT RET</v>
      </c>
    </row>
    <row r="2649" spans="5:8" x14ac:dyDescent="0.25">
      <c r="E2649" t="str">
        <f>""</f>
        <v/>
      </c>
      <c r="F2649" t="str">
        <f>""</f>
        <v/>
      </c>
      <c r="H2649" t="str">
        <f t="shared" si="53"/>
        <v>TEXAS COUNTY &amp; DISTRICT RET</v>
      </c>
    </row>
    <row r="2650" spans="5:8" x14ac:dyDescent="0.25">
      <c r="E2650" t="str">
        <f>""</f>
        <v/>
      </c>
      <c r="F2650" t="str">
        <f>""</f>
        <v/>
      </c>
      <c r="H2650" t="str">
        <f t="shared" si="53"/>
        <v>TEXAS COUNTY &amp; DISTRICT RET</v>
      </c>
    </row>
    <row r="2651" spans="5:8" x14ac:dyDescent="0.25">
      <c r="E2651" t="str">
        <f>""</f>
        <v/>
      </c>
      <c r="F2651" t="str">
        <f>""</f>
        <v/>
      </c>
      <c r="H2651" t="str">
        <f t="shared" si="53"/>
        <v>TEXAS COUNTY &amp; DISTRICT RET</v>
      </c>
    </row>
    <row r="2652" spans="5:8" x14ac:dyDescent="0.25">
      <c r="E2652" t="str">
        <f>""</f>
        <v/>
      </c>
      <c r="F2652" t="str">
        <f>""</f>
        <v/>
      </c>
      <c r="H2652" t="str">
        <f t="shared" si="53"/>
        <v>TEXAS COUNTY &amp; DISTRICT RET</v>
      </c>
    </row>
    <row r="2653" spans="5:8" x14ac:dyDescent="0.25">
      <c r="E2653" t="str">
        <f>""</f>
        <v/>
      </c>
      <c r="F2653" t="str">
        <f>""</f>
        <v/>
      </c>
      <c r="H2653" t="str">
        <f t="shared" si="53"/>
        <v>TEXAS COUNTY &amp; DISTRICT RET</v>
      </c>
    </row>
    <row r="2654" spans="5:8" x14ac:dyDescent="0.25">
      <c r="E2654" t="str">
        <f>""</f>
        <v/>
      </c>
      <c r="F2654" t="str">
        <f>""</f>
        <v/>
      </c>
      <c r="H2654" t="str">
        <f t="shared" si="53"/>
        <v>TEXAS COUNTY &amp; DISTRICT RET</v>
      </c>
    </row>
    <row r="2655" spans="5:8" x14ac:dyDescent="0.25">
      <c r="E2655" t="str">
        <f>""</f>
        <v/>
      </c>
      <c r="F2655" t="str">
        <f>""</f>
        <v/>
      </c>
      <c r="H2655" t="str">
        <f t="shared" si="53"/>
        <v>TEXAS COUNTY &amp; DISTRICT RET</v>
      </c>
    </row>
    <row r="2656" spans="5:8" x14ac:dyDescent="0.25">
      <c r="E2656" t="str">
        <f>""</f>
        <v/>
      </c>
      <c r="F2656" t="str">
        <f>""</f>
        <v/>
      </c>
      <c r="H2656" t="str">
        <f t="shared" si="53"/>
        <v>TEXAS COUNTY &amp; DISTRICT RET</v>
      </c>
    </row>
    <row r="2657" spans="1:8" x14ac:dyDescent="0.25">
      <c r="E2657" t="str">
        <f>"RET202105263415"</f>
        <v>RET202105263415</v>
      </c>
      <c r="F2657" t="str">
        <f>"TEXAS COUNTY  DISTRICT RET"</f>
        <v>TEXAS COUNTY  DISTRICT RET</v>
      </c>
      <c r="G2657" s="2">
        <v>6638.98</v>
      </c>
      <c r="H2657" t="str">
        <f>"TEXAS COUNTY  DISTRICT RET"</f>
        <v>TEXAS COUNTY  DISTRICT RET</v>
      </c>
    </row>
    <row r="2658" spans="1:8" x14ac:dyDescent="0.25">
      <c r="E2658" t="str">
        <f>""</f>
        <v/>
      </c>
      <c r="F2658" t="str">
        <f>""</f>
        <v/>
      </c>
      <c r="H2658" t="str">
        <f>"TEXAS COUNTY  DISTRICT RET"</f>
        <v>TEXAS COUNTY  DISTRICT RET</v>
      </c>
    </row>
    <row r="2659" spans="1:8" x14ac:dyDescent="0.25">
      <c r="E2659" t="str">
        <f>"RET202105263416"</f>
        <v>RET202105263416</v>
      </c>
      <c r="F2659" t="str">
        <f>"TEXAS COUNTY &amp; DISTRICT RET"</f>
        <v>TEXAS COUNTY &amp; DISTRICT RET</v>
      </c>
      <c r="G2659" s="2">
        <v>6961.75</v>
      </c>
      <c r="H2659" t="str">
        <f>"TEXAS COUNTY &amp; DISTRICT RET"</f>
        <v>TEXAS COUNTY &amp; DISTRICT RET</v>
      </c>
    </row>
    <row r="2660" spans="1:8" x14ac:dyDescent="0.25">
      <c r="E2660" t="str">
        <f>""</f>
        <v/>
      </c>
      <c r="F2660" t="str">
        <f>""</f>
        <v/>
      </c>
      <c r="H2660" t="str">
        <f>"TEXAS COUNTY &amp; DISTRICT RET"</f>
        <v>TEXAS COUNTY &amp; DISTRICT RET</v>
      </c>
    </row>
    <row r="2661" spans="1:8" x14ac:dyDescent="0.25">
      <c r="A2661" t="s">
        <v>368</v>
      </c>
      <c r="B2661">
        <v>48386</v>
      </c>
      <c r="C2661" s="2">
        <v>1724</v>
      </c>
      <c r="D2661" s="1">
        <v>44344</v>
      </c>
      <c r="E2661" t="str">
        <f>"LEG202105123160"</f>
        <v>LEG202105123160</v>
      </c>
      <c r="F2661" t="str">
        <f t="shared" ref="F2661:F2666" si="54">"TEXAS LEGAL PROTECTION PLAN"</f>
        <v>TEXAS LEGAL PROTECTION PLAN</v>
      </c>
      <c r="G2661" s="2">
        <v>348</v>
      </c>
      <c r="H2661" t="str">
        <f t="shared" ref="H2661:H2666" si="55">"TEXAS LEGAL PROTECTION PLAN"</f>
        <v>TEXAS LEGAL PROTECTION PLAN</v>
      </c>
    </row>
    <row r="2662" spans="1:8" x14ac:dyDescent="0.25">
      <c r="E2662" t="str">
        <f>"LEG202105123161"</f>
        <v>LEG202105123161</v>
      </c>
      <c r="F2662" t="str">
        <f t="shared" si="54"/>
        <v>TEXAS LEGAL PROTECTION PLAN</v>
      </c>
      <c r="G2662" s="2">
        <v>6</v>
      </c>
      <c r="H2662" t="str">
        <f t="shared" si="55"/>
        <v>TEXAS LEGAL PROTECTION PLAN</v>
      </c>
    </row>
    <row r="2663" spans="1:8" x14ac:dyDescent="0.25">
      <c r="E2663" t="str">
        <f>"LEG202105263414"</f>
        <v>LEG202105263414</v>
      </c>
      <c r="F2663" t="str">
        <f t="shared" si="54"/>
        <v>TEXAS LEGAL PROTECTION PLAN</v>
      </c>
      <c r="G2663" s="2">
        <v>324</v>
      </c>
      <c r="H2663" t="str">
        <f t="shared" si="55"/>
        <v>TEXAS LEGAL PROTECTION PLAN</v>
      </c>
    </row>
    <row r="2664" spans="1:8" x14ac:dyDescent="0.25">
      <c r="E2664" t="str">
        <f>"LEG202105263415"</f>
        <v>LEG202105263415</v>
      </c>
      <c r="F2664" t="str">
        <f t="shared" si="54"/>
        <v>TEXAS LEGAL PROTECTION PLAN</v>
      </c>
      <c r="G2664" s="2">
        <v>6</v>
      </c>
      <c r="H2664" t="str">
        <f t="shared" si="55"/>
        <v>TEXAS LEGAL PROTECTION PLAN</v>
      </c>
    </row>
    <row r="2665" spans="1:8" x14ac:dyDescent="0.25">
      <c r="E2665" t="str">
        <f>"LGF202105123160"</f>
        <v>LGF202105123160</v>
      </c>
      <c r="F2665" t="str">
        <f t="shared" si="54"/>
        <v>TEXAS LEGAL PROTECTION PLAN</v>
      </c>
      <c r="G2665" s="2">
        <v>520</v>
      </c>
      <c r="H2665" t="str">
        <f t="shared" si="55"/>
        <v>TEXAS LEGAL PROTECTION PLAN</v>
      </c>
    </row>
    <row r="2666" spans="1:8" x14ac:dyDescent="0.25">
      <c r="E2666" t="str">
        <f>"LGF202105263414"</f>
        <v>LGF202105263414</v>
      </c>
      <c r="F2666" t="str">
        <f t="shared" si="54"/>
        <v>TEXAS LEGAL PROTECTION PLAN</v>
      </c>
      <c r="G2666" s="2">
        <v>520</v>
      </c>
      <c r="H2666" t="str">
        <f t="shared" si="55"/>
        <v>TEXAS LEGAL PROTECTION PLAN</v>
      </c>
    </row>
    <row r="2667" spans="1:8" x14ac:dyDescent="0.25">
      <c r="A2667" t="s">
        <v>369</v>
      </c>
      <c r="B2667">
        <v>1062</v>
      </c>
      <c r="C2667" s="2">
        <v>235</v>
      </c>
      <c r="D2667" s="1">
        <v>44334</v>
      </c>
      <c r="E2667" t="str">
        <f>"202105173264"</f>
        <v>202105173264</v>
      </c>
      <c r="F2667" t="str">
        <f>"ACCT#72-5613/05032021"</f>
        <v>ACCT#72-5613/05032021</v>
      </c>
      <c r="G2667" s="2">
        <v>235</v>
      </c>
      <c r="H2667" t="str">
        <f t="shared" ref="H2667:H2688" si="56">"ACCT#72-5613/05032021"</f>
        <v>ACCT#72-5613/05032021</v>
      </c>
    </row>
    <row r="2668" spans="1:8" x14ac:dyDescent="0.25">
      <c r="A2668" t="s">
        <v>38</v>
      </c>
      <c r="B2668">
        <v>1059</v>
      </c>
      <c r="C2668" s="2">
        <v>10.99</v>
      </c>
      <c r="D2668" s="1">
        <v>44334</v>
      </c>
      <c r="E2668" t="str">
        <f>"202105173261"</f>
        <v>202105173261</v>
      </c>
      <c r="F2668" t="str">
        <f>"ACCT#72-5613/05032021"</f>
        <v>ACCT#72-5613/05032021</v>
      </c>
      <c r="G2668" s="2">
        <v>10.99</v>
      </c>
      <c r="H2668" t="str">
        <f t="shared" si="56"/>
        <v>ACCT#72-5613/05032021</v>
      </c>
    </row>
    <row r="2669" spans="1:8" x14ac:dyDescent="0.25">
      <c r="A2669" t="s">
        <v>370</v>
      </c>
      <c r="B2669">
        <v>1061</v>
      </c>
      <c r="C2669" s="2">
        <v>92.99</v>
      </c>
      <c r="D2669" s="1">
        <v>44334</v>
      </c>
      <c r="E2669" t="str">
        <f>"202105173263"</f>
        <v>202105173263</v>
      </c>
      <c r="F2669" t="str">
        <f>"ACCT#72-5613/05032021"</f>
        <v>ACCT#72-5613/05032021</v>
      </c>
      <c r="G2669" s="2">
        <v>92.99</v>
      </c>
      <c r="H2669" t="str">
        <f t="shared" si="56"/>
        <v>ACCT#72-5613/05032021</v>
      </c>
    </row>
    <row r="2670" spans="1:8" x14ac:dyDescent="0.25">
      <c r="A2670" t="s">
        <v>41</v>
      </c>
      <c r="B2670">
        <v>1068</v>
      </c>
      <c r="C2670" s="2">
        <v>1040.83</v>
      </c>
      <c r="D2670" s="1">
        <v>44334</v>
      </c>
      <c r="E2670" t="str">
        <f>"202105173270"</f>
        <v>202105173270</v>
      </c>
      <c r="F2670" t="str">
        <f>"ACCT#72-5613/05032021"</f>
        <v>ACCT#72-5613/05032021</v>
      </c>
      <c r="G2670" s="2">
        <v>1040.83</v>
      </c>
      <c r="H2670" t="str">
        <f t="shared" si="56"/>
        <v>ACCT#72-5613/05032021</v>
      </c>
    </row>
    <row r="2671" spans="1:8" x14ac:dyDescent="0.25">
      <c r="E2671" t="str">
        <f>""</f>
        <v/>
      </c>
      <c r="F2671" t="str">
        <f>""</f>
        <v/>
      </c>
      <c r="H2671" t="str">
        <f t="shared" si="56"/>
        <v>ACCT#72-5613/05032021</v>
      </c>
    </row>
    <row r="2672" spans="1:8" x14ac:dyDescent="0.25">
      <c r="E2672" t="str">
        <f>""</f>
        <v/>
      </c>
      <c r="F2672" t="str">
        <f>""</f>
        <v/>
      </c>
      <c r="H2672" t="str">
        <f t="shared" si="56"/>
        <v>ACCT#72-5613/05032021</v>
      </c>
    </row>
    <row r="2673" spans="1:8" x14ac:dyDescent="0.25">
      <c r="E2673" t="str">
        <f>""</f>
        <v/>
      </c>
      <c r="F2673" t="str">
        <f>""</f>
        <v/>
      </c>
      <c r="H2673" t="str">
        <f t="shared" si="56"/>
        <v>ACCT#72-5613/05032021</v>
      </c>
    </row>
    <row r="2674" spans="1:8" x14ac:dyDescent="0.25">
      <c r="A2674" t="s">
        <v>371</v>
      </c>
      <c r="B2674">
        <v>1060</v>
      </c>
      <c r="C2674" s="2">
        <v>527.73</v>
      </c>
      <c r="D2674" s="1">
        <v>44334</v>
      </c>
      <c r="E2674" t="str">
        <f>"202105173262"</f>
        <v>202105173262</v>
      </c>
      <c r="F2674" t="str">
        <f>"ACCT#72-5613/05032021"</f>
        <v>ACCT#72-5613/05032021</v>
      </c>
      <c r="G2674" s="2">
        <v>527.73</v>
      </c>
      <c r="H2674" t="str">
        <f t="shared" si="56"/>
        <v>ACCT#72-5613/05032021</v>
      </c>
    </row>
    <row r="2675" spans="1:8" x14ac:dyDescent="0.25">
      <c r="E2675" t="str">
        <f>""</f>
        <v/>
      </c>
      <c r="F2675" t="str">
        <f>""</f>
        <v/>
      </c>
      <c r="H2675" t="str">
        <f t="shared" si="56"/>
        <v>ACCT#72-5613/05032021</v>
      </c>
    </row>
    <row r="2676" spans="1:8" x14ac:dyDescent="0.25">
      <c r="A2676" t="s">
        <v>372</v>
      </c>
      <c r="B2676">
        <v>1066</v>
      </c>
      <c r="C2676" s="2">
        <v>253.78</v>
      </c>
      <c r="D2676" s="1">
        <v>44334</v>
      </c>
      <c r="E2676" t="str">
        <f>"202105173268"</f>
        <v>202105173268</v>
      </c>
      <c r="F2676" t="str">
        <f>"ACCT#72-5613/05032021"</f>
        <v>ACCT#72-5613/05032021</v>
      </c>
      <c r="G2676" s="2">
        <v>253.78</v>
      </c>
      <c r="H2676" t="str">
        <f t="shared" si="56"/>
        <v>ACCT#72-5613/05032021</v>
      </c>
    </row>
    <row r="2677" spans="1:8" x14ac:dyDescent="0.25">
      <c r="A2677" t="s">
        <v>373</v>
      </c>
      <c r="B2677">
        <v>1063</v>
      </c>
      <c r="C2677" s="2">
        <v>1640</v>
      </c>
      <c r="D2677" s="1">
        <v>44334</v>
      </c>
      <c r="E2677" t="str">
        <f>"202105173265"</f>
        <v>202105173265</v>
      </c>
      <c r="F2677" t="str">
        <f>"ACCT#72-5613/05032021"</f>
        <v>ACCT#72-5613/05032021</v>
      </c>
      <c r="G2677" s="2">
        <v>1640</v>
      </c>
      <c r="H2677" t="str">
        <f t="shared" si="56"/>
        <v>ACCT#72-5613/05032021</v>
      </c>
    </row>
    <row r="2678" spans="1:8" x14ac:dyDescent="0.25">
      <c r="A2678" t="s">
        <v>374</v>
      </c>
      <c r="B2678">
        <v>1070</v>
      </c>
      <c r="C2678" s="2">
        <v>149.47999999999999</v>
      </c>
      <c r="D2678" s="1">
        <v>44334</v>
      </c>
      <c r="E2678" t="str">
        <f>"202105173272"</f>
        <v>202105173272</v>
      </c>
      <c r="F2678" t="str">
        <f>"ACCT#72-5613/05032021"</f>
        <v>ACCT#72-5613/05032021</v>
      </c>
      <c r="G2678" s="2">
        <v>149.47999999999999</v>
      </c>
      <c r="H2678" t="str">
        <f t="shared" si="56"/>
        <v>ACCT#72-5613/05032021</v>
      </c>
    </row>
    <row r="2679" spans="1:8" x14ac:dyDescent="0.25">
      <c r="A2679" t="s">
        <v>133</v>
      </c>
      <c r="B2679">
        <v>1071</v>
      </c>
      <c r="C2679" s="2">
        <v>91.33</v>
      </c>
      <c r="D2679" s="1">
        <v>44334</v>
      </c>
      <c r="E2679" t="str">
        <f>"202105173273"</f>
        <v>202105173273</v>
      </c>
      <c r="F2679" t="str">
        <f>"ACCT#72-5613/05032021"</f>
        <v>ACCT#72-5613/05032021</v>
      </c>
      <c r="G2679" s="2">
        <v>91.33</v>
      </c>
      <c r="H2679" t="str">
        <f t="shared" si="56"/>
        <v>ACCT#72-5613/05032021</v>
      </c>
    </row>
    <row r="2680" spans="1:8" x14ac:dyDescent="0.25">
      <c r="A2680" t="s">
        <v>147</v>
      </c>
      <c r="B2680">
        <v>1056</v>
      </c>
      <c r="C2680" s="2">
        <v>647.9</v>
      </c>
      <c r="D2680" s="1">
        <v>44334</v>
      </c>
      <c r="E2680" t="str">
        <f>"202105173259"</f>
        <v>202105173259</v>
      </c>
      <c r="F2680" t="str">
        <f>"ACCT#72-5613/05032021"</f>
        <v>ACCT#72-5613/05032021</v>
      </c>
      <c r="G2680" s="2">
        <v>647.9</v>
      </c>
      <c r="H2680" t="str">
        <f t="shared" si="56"/>
        <v>ACCT#72-5613/05032021</v>
      </c>
    </row>
    <row r="2681" spans="1:8" x14ac:dyDescent="0.25">
      <c r="E2681" t="str">
        <f>""</f>
        <v/>
      </c>
      <c r="F2681" t="str">
        <f>""</f>
        <v/>
      </c>
      <c r="H2681" t="str">
        <f t="shared" si="56"/>
        <v>ACCT#72-5613/05032021</v>
      </c>
    </row>
    <row r="2682" spans="1:8" x14ac:dyDescent="0.25">
      <c r="A2682" t="s">
        <v>375</v>
      </c>
      <c r="B2682">
        <v>1065</v>
      </c>
      <c r="C2682" s="2">
        <v>201.04</v>
      </c>
      <c r="D2682" s="1">
        <v>44334</v>
      </c>
      <c r="E2682" t="str">
        <f>"202105173267"</f>
        <v>202105173267</v>
      </c>
      <c r="F2682" t="str">
        <f t="shared" ref="F2682:F2688" si="57">"ACCT#72-5613/05032021"</f>
        <v>ACCT#72-5613/05032021</v>
      </c>
      <c r="G2682" s="2">
        <v>201.04</v>
      </c>
      <c r="H2682" t="str">
        <f t="shared" si="56"/>
        <v>ACCT#72-5613/05032021</v>
      </c>
    </row>
    <row r="2683" spans="1:8" x14ac:dyDescent="0.25">
      <c r="A2683" t="s">
        <v>376</v>
      </c>
      <c r="B2683">
        <v>1057</v>
      </c>
      <c r="C2683" s="2">
        <v>92.97</v>
      </c>
      <c r="D2683" s="1">
        <v>44334</v>
      </c>
      <c r="E2683" t="str">
        <f>"202105173260"</f>
        <v>202105173260</v>
      </c>
      <c r="F2683" t="str">
        <f t="shared" si="57"/>
        <v>ACCT#72-5613/05032021</v>
      </c>
      <c r="G2683" s="2">
        <v>92.97</v>
      </c>
      <c r="H2683" t="str">
        <f t="shared" si="56"/>
        <v>ACCT#72-5613/05032021</v>
      </c>
    </row>
    <row r="2684" spans="1:8" x14ac:dyDescent="0.25">
      <c r="A2684" t="s">
        <v>377</v>
      </c>
      <c r="B2684">
        <v>1055</v>
      </c>
      <c r="C2684" s="2">
        <v>325</v>
      </c>
      <c r="D2684" s="1">
        <v>44334</v>
      </c>
      <c r="E2684" t="str">
        <f>"202105173257"</f>
        <v>202105173257</v>
      </c>
      <c r="F2684" t="str">
        <f t="shared" si="57"/>
        <v>ACCT#72-5613/05032021</v>
      </c>
      <c r="G2684" s="2">
        <v>325</v>
      </c>
      <c r="H2684" t="str">
        <f t="shared" si="56"/>
        <v>ACCT#72-5613/05032021</v>
      </c>
    </row>
    <row r="2685" spans="1:8" x14ac:dyDescent="0.25">
      <c r="A2685" t="s">
        <v>254</v>
      </c>
      <c r="B2685">
        <v>1069</v>
      </c>
      <c r="C2685" s="2">
        <v>127.58</v>
      </c>
      <c r="D2685" s="1">
        <v>44334</v>
      </c>
      <c r="E2685" t="str">
        <f>"202105173271"</f>
        <v>202105173271</v>
      </c>
      <c r="F2685" t="str">
        <f t="shared" si="57"/>
        <v>ACCT#72-5613/05032021</v>
      </c>
      <c r="G2685" s="2">
        <v>127.58</v>
      </c>
      <c r="H2685" t="str">
        <f t="shared" si="56"/>
        <v>ACCT#72-5613/05032021</v>
      </c>
    </row>
    <row r="2686" spans="1:8" x14ac:dyDescent="0.25">
      <c r="A2686" t="s">
        <v>268</v>
      </c>
      <c r="B2686">
        <v>1058</v>
      </c>
      <c r="C2686" s="2">
        <v>82.66</v>
      </c>
      <c r="D2686" s="1">
        <v>44334</v>
      </c>
      <c r="E2686" t="str">
        <f>"202105173274"</f>
        <v>202105173274</v>
      </c>
      <c r="F2686" t="str">
        <f t="shared" si="57"/>
        <v>ACCT#72-5613/05032021</v>
      </c>
      <c r="G2686" s="2">
        <v>82.66</v>
      </c>
      <c r="H2686" t="str">
        <f t="shared" si="56"/>
        <v>ACCT#72-5613/05032021</v>
      </c>
    </row>
    <row r="2687" spans="1:8" x14ac:dyDescent="0.25">
      <c r="A2687" t="s">
        <v>378</v>
      </c>
      <c r="B2687">
        <v>1064</v>
      </c>
      <c r="C2687" s="2">
        <v>2670.52</v>
      </c>
      <c r="D2687" s="1">
        <v>44334</v>
      </c>
      <c r="E2687" t="str">
        <f>"202105173266"</f>
        <v>202105173266</v>
      </c>
      <c r="F2687" t="str">
        <f t="shared" si="57"/>
        <v>ACCT#72-5613/05032021</v>
      </c>
      <c r="G2687" s="2">
        <v>2670.52</v>
      </c>
      <c r="H2687" t="str">
        <f t="shared" si="56"/>
        <v>ACCT#72-5613/05032021</v>
      </c>
    </row>
    <row r="2688" spans="1:8" x14ac:dyDescent="0.25">
      <c r="A2688" t="s">
        <v>379</v>
      </c>
      <c r="B2688">
        <v>1067</v>
      </c>
      <c r="C2688" s="2">
        <v>124.28</v>
      </c>
      <c r="D2688" s="1">
        <v>44334</v>
      </c>
      <c r="E2688" t="str">
        <f>"202105173269"</f>
        <v>202105173269</v>
      </c>
      <c r="F2688" t="str">
        <f t="shared" si="57"/>
        <v>ACCT#72-5613/05032021</v>
      </c>
      <c r="G2688" s="2">
        <v>124.28</v>
      </c>
      <c r="H2688" t="str">
        <f t="shared" si="56"/>
        <v>ACCT#72-5613/05032021</v>
      </c>
    </row>
    <row r="2689" spans="3:7" ht="15.75" thickBot="1" x14ac:dyDescent="0.3">
      <c r="C2689" s="5">
        <f>SUM(C2:C2688)</f>
        <v>5387123.0100000016</v>
      </c>
      <c r="G2689" s="5">
        <f>SUM(G2:G2688)</f>
        <v>5387123.0100000035</v>
      </c>
    </row>
    <row r="2690" spans="3:7" ht="15.75" thickTop="1" x14ac:dyDescent="0.25"/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2021-06-09T16:50:38Z</dcterms:created>
  <dcterms:modified xsi:type="dcterms:W3CDTF">2021-06-09T16:56:01Z</dcterms:modified>
</cp:coreProperties>
</file>