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0205" windowHeight="11430"/>
  </bookViews>
  <sheets>
    <sheet name="March 2021" sheetId="1" r:id="rId1"/>
  </sheets>
  <definedNames>
    <definedName name="_xlnm._FilterDatabase" localSheetId="0" hidden="1">'March 2021'!$A$1:$H$1</definedName>
  </definedNames>
  <calcPr calcId="0"/>
</workbook>
</file>

<file path=xl/calcChain.xml><?xml version="1.0" encoding="utf-8"?>
<calcChain xmlns="http://schemas.openxmlformats.org/spreadsheetml/2006/main">
  <c r="G2510" i="1" l="1"/>
  <c r="C2510" i="1"/>
  <c r="E2" i="1" l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E572" i="1"/>
  <c r="F572" i="1"/>
  <c r="H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E712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E834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E1024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</calcChain>
</file>

<file path=xl/sharedStrings.xml><?xml version="1.0" encoding="utf-8"?>
<sst xmlns="http://schemas.openxmlformats.org/spreadsheetml/2006/main" count="486" uniqueCount="371">
  <si>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</si>
  <si>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</si>
  <si>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</si>
  <si>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</si>
  <si>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</si>
  <si>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</si>
  <si>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</si>
  <si>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</si>
  <si>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MICHAEL TAMEZ</t>
  </si>
  <si>
    <t>973 MATERIALS  LLC</t>
  </si>
  <si>
    <t>ARNOLD OIL COMPANY OF AUSTIN LP</t>
  </si>
  <si>
    <t>ACADIAN AMBULANCE SERVICE INC</t>
  </si>
  <si>
    <t>ADAM DAKOTA ROWINS</t>
  </si>
  <si>
    <t>ALBERT NEAL PFEIFFER</t>
  </si>
  <si>
    <t>ALEXANDER YOUNG</t>
  </si>
  <si>
    <t>TIMOTHY HALL</t>
  </si>
  <si>
    <t>AMAZON CAPITAL SERVICES INC</t>
  </si>
  <si>
    <t>AMERICAN ASSN OF NOTARIES</t>
  </si>
  <si>
    <t>AMG PRINTING &amp; MAILING  LLC</t>
  </si>
  <si>
    <t>ANDERSON &amp; ANDERSON LAW FIRM PC</t>
  </si>
  <si>
    <t>ANDREW MARTINEZ</t>
  </si>
  <si>
    <t>C APPLEMAN ENT INC</t>
  </si>
  <si>
    <t>APPRISS INC</t>
  </si>
  <si>
    <t>AQUA BEVERAGE COMPANY/OZARKA</t>
  </si>
  <si>
    <t>AQUA WATER SUPPLY CORPORATION</t>
  </si>
  <si>
    <t>ARA / ST.DAVID'S IMAGING  LP</t>
  </si>
  <si>
    <t>ARISE HEALTHCARE SYSTEMS LLC</t>
  </si>
  <si>
    <t>ASCENSION SETON</t>
  </si>
  <si>
    <t>ASHLEY EADES</t>
  </si>
  <si>
    <t>ASHLEY HERMANS</t>
  </si>
  <si>
    <t>AT&amp;T</t>
  </si>
  <si>
    <t>AT&amp;T MOBILITY</t>
  </si>
  <si>
    <t>ATLAS PHARMACEUTICALS  LLC</t>
  </si>
  <si>
    <t>THE AUBAINE SUPPLY COMPANY  INC</t>
  </si>
  <si>
    <t>AUGUST FORADORY</t>
  </si>
  <si>
    <t>AUSTIN CRITICAL CARE SPECIALISTS  PA</t>
  </si>
  <si>
    <t>AUSTIN GENERATOR SERVICE</t>
  </si>
  <si>
    <t>AUSTIN PATHOLOGY ASSOCIATES</t>
  </si>
  <si>
    <t>AUTUMN J SMITH</t>
  </si>
  <si>
    <t>JIM ATTRA INC</t>
  </si>
  <si>
    <t>MICHAEL OLDHAM TIRE INC</t>
  </si>
  <si>
    <t>EDUARDO BARRIENTOS</t>
  </si>
  <si>
    <t>BASTROP CENTRAL APPRAISAL DIST.</t>
  </si>
  <si>
    <t>BASTROP COUNTY SHERIFF'S DEPT</t>
  </si>
  <si>
    <t>DANIEL L HEPKER</t>
  </si>
  <si>
    <t>BASTROP COUNTY CARES</t>
  </si>
  <si>
    <t>BASTROP COUNTY TAX-ASSESSOR</t>
  </si>
  <si>
    <t>BASTROP COUNTY TAX ASSESSOR</t>
  </si>
  <si>
    <t>BASTROP MEDICAL CLINIC</t>
  </si>
  <si>
    <t>BASTROP VETERINARY HOSPITAL  INC.</t>
  </si>
  <si>
    <t>BELL COUNTY</t>
  </si>
  <si>
    <t>BELL COUNTY CONSTABLE 4</t>
  </si>
  <si>
    <t>BEN E KEITH CO.</t>
  </si>
  <si>
    <t>B C FOOD GROUP  LLC</t>
  </si>
  <si>
    <t>BIG WRENCH ROAD SERVICE INC</t>
  </si>
  <si>
    <t>BIMBO FOODS INC</t>
  </si>
  <si>
    <t>BLUEBONNET AREA CRIME STOPPERS PROGRAM</t>
  </si>
  <si>
    <t>BLUEBONNET ELECTRIC COOPERATIVE  INC.</t>
  </si>
  <si>
    <t>BLUEBONNET TRAILS MHMR</t>
  </si>
  <si>
    <t>BOB BARKER COMPANY  INC.</t>
  </si>
  <si>
    <t>BOBBY BROWN</t>
  </si>
  <si>
    <t>BOEHRINGER INGELHEIM ANIMAL HEALTH USA INC.</t>
  </si>
  <si>
    <t>BRAUNTEX MATERIALS INC</t>
  </si>
  <si>
    <t>LAW OFFICE OF BRYAN W. MCDANIEL  P.C.</t>
  </si>
  <si>
    <t>BUREAU OF VITAL STATISTICS</t>
  </si>
  <si>
    <t>BURLESON COUNTY SHERIFFS</t>
  </si>
  <si>
    <t>CAMPBELL PET COMPANY</t>
  </si>
  <si>
    <t>CAPITAL AREA COUNCIL OF GOVERNMENTS</t>
  </si>
  <si>
    <t>CAPITAL PUMPING LP</t>
  </si>
  <si>
    <t>CAPITOL BEARING SERVICE OF AUSTIN  INC.</t>
  </si>
  <si>
    <t>TIB-THE INDEPENDENT BANKERS BANK</t>
  </si>
  <si>
    <t>CAROLINE McCLIMON</t>
  </si>
  <si>
    <t>CELLEBRITE USA INC</t>
  </si>
  <si>
    <t>CENTERPOINT ENERGY</t>
  </si>
  <si>
    <t>TIMOTHY LYLE HENNING</t>
  </si>
  <si>
    <t>CHARLES W CARVER</t>
  </si>
  <si>
    <t>CHRIS MATT DILLON</t>
  </si>
  <si>
    <t>CINTAS</t>
  </si>
  <si>
    <t>CINTAS CORPORATION</t>
  </si>
  <si>
    <t>CITIBANK</t>
  </si>
  <si>
    <t>CITY OF AUSTIN</t>
  </si>
  <si>
    <t>CITY OF BASTROP</t>
  </si>
  <si>
    <t>CITY OF SMITHVILLE</t>
  </si>
  <si>
    <t>CLIFFORD POWER SYSTEMS INC</t>
  </si>
  <si>
    <t>CLINICAL PATHOLOGY LABORATORIES INC</t>
  </si>
  <si>
    <t>CLINICAL PATHOLOGY ASSOC. OF AUSTIN</t>
  </si>
  <si>
    <t>COMMUNITY COFFEE COMPANY LLC</t>
  </si>
  <si>
    <t>COMMUNITY HEALTH CENTERS</t>
  </si>
  <si>
    <t>CONTECH ENGINEERED SOLUTIONS INC</t>
  </si>
  <si>
    <t>CITY OF GRAPEVINE</t>
  </si>
  <si>
    <t>COOPER EQUIPMENT CO.</t>
  </si>
  <si>
    <t>CORCORAN PRINTING</t>
  </si>
  <si>
    <t>COUNTY JUDGES &amp; COMMISSIONERS ASSOC OF TEXAS</t>
  </si>
  <si>
    <t>COUNTY OF BEXAR - SHERIFF</t>
  </si>
  <si>
    <t>COVERT CHEVROLET-OLDS</t>
  </si>
  <si>
    <t>BUTLER ANIMAL HEALTH HOLDING COMPANY  LLC</t>
  </si>
  <si>
    <t>CRAIG WINTER</t>
  </si>
  <si>
    <t>CRESSIDA EVELYN KWOLEK  Ph.D.</t>
  </si>
  <si>
    <t>CENTRAL TEXAS JPCA</t>
  </si>
  <si>
    <t>CUMMINS-ALLISON CORP</t>
  </si>
  <si>
    <t>CURTIS OLTMANN</t>
  </si>
  <si>
    <t>DALLAS COUNTY CONSTABLE PCT 1</t>
  </si>
  <si>
    <t>DATA PROJECTIONS  INC.</t>
  </si>
  <si>
    <t>DATASPEC INC</t>
  </si>
  <si>
    <t>DAVID B BROOKS</t>
  </si>
  <si>
    <t>DAVID M COLLINS</t>
  </si>
  <si>
    <t>DAVIS &amp; STANTON  INC.</t>
  </si>
  <si>
    <t>DEAN DAIRY CORPORATE  LLC</t>
  </si>
  <si>
    <t>DEENA THOMAS</t>
  </si>
  <si>
    <t>DELL</t>
  </si>
  <si>
    <t>DICKENS LOCKSMITH INC</t>
  </si>
  <si>
    <t>TEXAS DEPARTMENT OF INFORMATION RESOURCES</t>
  </si>
  <si>
    <t>WEBBERVILLE PROPANE</t>
  </si>
  <si>
    <t>DISCOUNT FEEDS &amp; SUPPLIES</t>
  </si>
  <si>
    <t>THE REINALT - THOMAS CORPORATION</t>
  </si>
  <si>
    <t>DORA HERNANDEZ</t>
  </si>
  <si>
    <t>DOUBLE D INTERNATIONAL FOOD CO.  INC.</t>
  </si>
  <si>
    <t>DOUGLAS BERRYANN - BERRYANN ENTERPRISES</t>
  </si>
  <si>
    <t>DUNNE &amp; JUAREZ L.L.C.</t>
  </si>
  <si>
    <t>DAVID MCMULLEN</t>
  </si>
  <si>
    <t>ECOLAB INC</t>
  </si>
  <si>
    <t>ELECTION SYSTEMS &amp; SOFTWARE INC</t>
  </si>
  <si>
    <t>CITY OF ELGIN UTILITIES</t>
  </si>
  <si>
    <t>ELLEN OWENS</t>
  </si>
  <si>
    <t>ELLIOTT ELECTRIC SUPPLY INC</t>
  </si>
  <si>
    <t>ERIC W GOERTZ</t>
  </si>
  <si>
    <t>ESMERALDA OSORIO</t>
  </si>
  <si>
    <t>EVERYTHING BUT STROMBOLI LLC</t>
  </si>
  <si>
    <t>EWALD KUBOTA  INC.</t>
  </si>
  <si>
    <t>BASTROP COUNTY WOMEN'S SHELTER</t>
  </si>
  <si>
    <t>FAMILY HEALTH CENTER OF BASTROP PLLC</t>
  </si>
  <si>
    <t>FAYETTE COUNTY SHERIFF</t>
  </si>
  <si>
    <t>FEDERAL EXPRESS</t>
  </si>
  <si>
    <t>FIRST NATIONAL BANK BASTROP</t>
  </si>
  <si>
    <t>FLEETPRIDE</t>
  </si>
  <si>
    <t>FORREST L. SANDERSON</t>
  </si>
  <si>
    <t>FORT BEND COUNTY CONSTABLE PCT 4</t>
  </si>
  <si>
    <t>AUSTIN TRUCK AND EQUIPMENT  LTD</t>
  </si>
  <si>
    <t>FRONTIER BANK</t>
  </si>
  <si>
    <t>EUGENE W BRIGGS JR</t>
  </si>
  <si>
    <t>GALLS PARENT HOLDINGS LLC</t>
  </si>
  <si>
    <t>GARMENTS TO GO  INC</t>
  </si>
  <si>
    <t>GIPSON PENDERGRASS PEOPLE'S MORTUARY LLC</t>
  </si>
  <si>
    <t>GREG E NORMAN</t>
  </si>
  <si>
    <t>GT DISTRIBUTORS  INC.</t>
  </si>
  <si>
    <t>GTS TECHNOLOGY SOLUTIONS  INC.</t>
  </si>
  <si>
    <t>GULF COAST PAPER CO. INC.</t>
  </si>
  <si>
    <t>H&amp;H OIL  L.P.</t>
  </si>
  <si>
    <t>H.A. GRAY &amp; ASSOCIATES</t>
  </si>
  <si>
    <t>HALFF ASSOCIATES</t>
  </si>
  <si>
    <t>HAMILTON ELECTRIC WORKS  INC.</t>
  </si>
  <si>
    <t>BUCKSTAFF PUBLIC SAFETY  INC.</t>
  </si>
  <si>
    <t>HARRIS COUNTY CONSTABLE PCT 1</t>
  </si>
  <si>
    <t>HIDALGO COUNTY SHERIFF</t>
  </si>
  <si>
    <t>BASCOM L HODGES JR</t>
  </si>
  <si>
    <t>HODGSON G ECKEL</t>
  </si>
  <si>
    <t>BD HOLT CO</t>
  </si>
  <si>
    <t>NORTHWEST CASCADE INC</t>
  </si>
  <si>
    <t>RS EQUIPMENT CO</t>
  </si>
  <si>
    <t>GREGORY LUCAS</t>
  </si>
  <si>
    <t>HEAT TRANSFER SOLUTIONS  INC.</t>
  </si>
  <si>
    <t>HUMANE EDUCATORS OF TEXAS  LLC</t>
  </si>
  <si>
    <t>HYDRAULIC HOUSE INC</t>
  </si>
  <si>
    <t>INDUSTRIAL LAMINATES CORPORATION</t>
  </si>
  <si>
    <t>INDIGENT HEALTHCARE SOLUTIONS</t>
  </si>
  <si>
    <t>INLAND TRUCK PARTS COMPANY</t>
  </si>
  <si>
    <t>IRON MOUNTAIN RECORDS MGMT INC</t>
  </si>
  <si>
    <t>JAN LANGER  DVM</t>
  </si>
  <si>
    <t>JENKINS &amp; JENKINS LLP</t>
  </si>
  <si>
    <t>JAMES MORGAN</t>
  </si>
  <si>
    <t>JOEY DZIENOWSKI</t>
  </si>
  <si>
    <t>JOSEPH K REGIER</t>
  </si>
  <si>
    <t>JUSTIN MATTHEW FOHN</t>
  </si>
  <si>
    <t>KAREN STARKS</t>
  </si>
  <si>
    <t>KAYCI SCHULTZ WATSON</t>
  </si>
  <si>
    <t>KENNETH E. LIMUEL JR</t>
  </si>
  <si>
    <t>KENT BROUSSARD TOWER RENTAL INC</t>
  </si>
  <si>
    <t>KEVIN M KINGSBURY</t>
  </si>
  <si>
    <t>KLEIBER FORD TRACTOR  INC.</t>
  </si>
  <si>
    <t>KRISTIN L MILES</t>
  </si>
  <si>
    <t>LONGHORN INTERNATIONAL TRUCKS LTD</t>
  </si>
  <si>
    <t>THE LA GRANGE PARTS HOUSE INC</t>
  </si>
  <si>
    <t>LABATT INSTITUTIONAL SUPPLY CO</t>
  </si>
  <si>
    <t>LAURA ROBERTSON</t>
  </si>
  <si>
    <t>LAUREN CONCRETE  INC</t>
  </si>
  <si>
    <t>LUCIO LEAL</t>
  </si>
  <si>
    <t>LEE COUNTY WATER SUPPLY CORP</t>
  </si>
  <si>
    <t>LEXISNEXIS RISK DATA MGMT INC</t>
  </si>
  <si>
    <t>LEE CONSTRUCTION &amp; MAINTENANCE COMPANY</t>
  </si>
  <si>
    <t>LONE STAR CIRCLE OF CARE</t>
  </si>
  <si>
    <t>UNITED KWB COLLABORATIONS LLC</t>
  </si>
  <si>
    <t>LONNIE LAWRENCE DAVIS JR</t>
  </si>
  <si>
    <t>SCOTT BRYANT</t>
  </si>
  <si>
    <t>MAIN STOP STORE</t>
  </si>
  <si>
    <t>MARIA ANFOSSO</t>
  </si>
  <si>
    <t>MARK T. MALONE  M.D. P.A</t>
  </si>
  <si>
    <t>JOHN W GASPARINI INC</t>
  </si>
  <si>
    <t>MARY BETH SCOTT</t>
  </si>
  <si>
    <t>MATHESON TRI-GAS INC</t>
  </si>
  <si>
    <t>MAUREEN S BURROWS MD MPH</t>
  </si>
  <si>
    <t>McCOY'S BUILDING SUPPLY CENTER</t>
  </si>
  <si>
    <t>McCREARY  VESELKA  BRAGG &amp; ALLEN P</t>
  </si>
  <si>
    <t>JAMES CHRISTOPHER MCDOWELL</t>
  </si>
  <si>
    <t>McKESSON MEDICAL-SURGICAL GOVERNMENT SOLUTIONS LLC</t>
  </si>
  <si>
    <t>MEDIMPACT HEALTHCARE SYSTEMS INC</t>
  </si>
  <si>
    <t>MEGAN WELCH</t>
  </si>
  <si>
    <t>MIDTEX MATERIALS</t>
  </si>
  <si>
    <t>GREGORY N BICKWERMERT</t>
  </si>
  <si>
    <t>GAIL BELLAH MCDONALD</t>
  </si>
  <si>
    <t>JEANNIE MARIE RICHTER</t>
  </si>
  <si>
    <t>BRAD MARTIN LINDGREN</t>
  </si>
  <si>
    <t>CINDY LEE VASQUEZ</t>
  </si>
  <si>
    <t>RONALD DWAYNE DANIELS</t>
  </si>
  <si>
    <t>RONALD DALE BLACKMORE</t>
  </si>
  <si>
    <t>THOMAS EDWARD WHITE</t>
  </si>
  <si>
    <t>RONA MICHELLE SHEERAN</t>
  </si>
  <si>
    <t>SAMELLA THOMPSON WILLIAMS</t>
  </si>
  <si>
    <t>STEVE RAY CHAMBERLAIN</t>
  </si>
  <si>
    <t>ADAM HAROLD STAGMAN</t>
  </si>
  <si>
    <t>MOTOROLA SOLUTIONS  IN.C</t>
  </si>
  <si>
    <t>MOUNTAIN WEST DERM-AUSTIN PLLC</t>
  </si>
  <si>
    <t>MUSTANG MACHINERY COMPANY LTD</t>
  </si>
  <si>
    <t>NALCO COMPANY LLC</t>
  </si>
  <si>
    <t>NATIONAL FOOD GROUP INC</t>
  </si>
  <si>
    <t>O'REILLY AUTOMOTIVE  INC.</t>
  </si>
  <si>
    <t>OFFICE DEPOT</t>
  </si>
  <si>
    <t>OMNIBASE SERVICES OF TEXAS LP</t>
  </si>
  <si>
    <t>PAPER RETRIEVER OF TEXAS</t>
  </si>
  <si>
    <t>SL PARKER PARTNERSHIP LLC</t>
  </si>
  <si>
    <t>PATRICK ELECTRIC SERVICE</t>
  </si>
  <si>
    <t>PATSY MCMANUS-MIRELES</t>
  </si>
  <si>
    <t>PATTERSON  VETERINARY SUPPLY INC</t>
  </si>
  <si>
    <t>PAUL GRANADO</t>
  </si>
  <si>
    <t>CLEVELAND MACK SALES INC</t>
  </si>
  <si>
    <t>PHILIP R DUCLOUX</t>
  </si>
  <si>
    <t>PITNEY BOWES GLOBAL FINANCIAL SERVICES</t>
  </si>
  <si>
    <t>POST OAK HARDWARE  INC.</t>
  </si>
  <si>
    <t>PROGRESSIVE - RESTITUTION ACCT</t>
  </si>
  <si>
    <t>ELGIN PROVIDENCE LLC</t>
  </si>
  <si>
    <t>PYE-BARKER FIRE &amp; SAFETY LLC</t>
  </si>
  <si>
    <t>QUEST DIAGNOSTICS CLINICAL LABORATORIES</t>
  </si>
  <si>
    <t>NESTLE WATERS N AMERICA INC</t>
  </si>
  <si>
    <t>REBECCA STRNAD</t>
  </si>
  <si>
    <t>RED ROCK GROCERY</t>
  </si>
  <si>
    <t>RED WING BUSINESS ADVANTAGE ACCOUNT</t>
  </si>
  <si>
    <t>NRG ENERGY INC</t>
  </si>
  <si>
    <t>RICHARD ALLAN DICKMAN JR</t>
  </si>
  <si>
    <t>CIT TECHNOLOGY FINANCE</t>
  </si>
  <si>
    <t>ROSE PIETSCH</t>
  </si>
  <si>
    <t>ROSE PIETSCH COUNTY CLERK</t>
  </si>
  <si>
    <t>RUSH CHEVROLET LLC</t>
  </si>
  <si>
    <t>SAMMY LERMA III MD</t>
  </si>
  <si>
    <t>SARAH STRONG</t>
  </si>
  <si>
    <t>SCOTT &amp; WHITE CLINIC</t>
  </si>
  <si>
    <t>SCOTT &amp; WHITE COMMUNITY HOSPITAL CORP</t>
  </si>
  <si>
    <t>SCOTT &amp; WHITE HOSPITAL - TAYLOR</t>
  </si>
  <si>
    <t>SCOTT OWENS</t>
  </si>
  <si>
    <t>SETON NORTHWEST HOSPITAL</t>
  </si>
  <si>
    <t>SETON HEALTHCARE SPONSORED PROJECTS</t>
  </si>
  <si>
    <t>SHARON HANCOCK</t>
  </si>
  <si>
    <t>FERRELLGAS  LP</t>
  </si>
  <si>
    <t>SHI GOVERNMENT SOLUTIONS INC.</t>
  </si>
  <si>
    <t>SHRED-IT US HOLDCO  INC</t>
  </si>
  <si>
    <t>RONALD JOHN CALDWELL JR</t>
  </si>
  <si>
    <t>SINGLETON ASSOCIATES  PA</t>
  </si>
  <si>
    <t>SIRCHIE FINGER PRINT LABORATORIES</t>
  </si>
  <si>
    <t>SMITH STORES  INC.</t>
  </si>
  <si>
    <t>SMITHVILLE AUTO PARTS  INC</t>
  </si>
  <si>
    <t>CAPITAL AREA SURGEONS  PLLC</t>
  </si>
  <si>
    <t>SOUTH CENTRAL PLANNING AND DEVELOPMENT COMMISSION</t>
  </si>
  <si>
    <t>SOUTH TX CO JUDGES' ASSN.</t>
  </si>
  <si>
    <t>SOUTHERN TIRE MART LLC</t>
  </si>
  <si>
    <t>SPECIALTY VETERINARY PHARMACY INC</t>
  </si>
  <si>
    <t>TACTICAL SPRINGS LLC</t>
  </si>
  <si>
    <t>SRIDHAR P REDDY MD PA</t>
  </si>
  <si>
    <t>ST. DAVIDS HEART &amp; VASCULAR  PLLC</t>
  </si>
  <si>
    <t>STAPLES  INC.</t>
  </si>
  <si>
    <t>STATE OF TEXAS</t>
  </si>
  <si>
    <t>STERICYCLE  INC.</t>
  </si>
  <si>
    <t>STEVE GRANADO</t>
  </si>
  <si>
    <t>MATTHEW LEE SULLINS</t>
  </si>
  <si>
    <t>SUN COAST RESOURCES</t>
  </si>
  <si>
    <t>T-MOBILE USA</t>
  </si>
  <si>
    <t>TACTIX CONSULTING GROUP  INC</t>
  </si>
  <si>
    <t>TAVCO SERVICES INC</t>
  </si>
  <si>
    <t>TEXAS COMMISSION ON LAW ENFORCEMENT</t>
  </si>
  <si>
    <t>TEJAS ELEVATOR COMPANY</t>
  </si>
  <si>
    <t>TERRILL L FLENNIKEN</t>
  </si>
  <si>
    <t>TEX-CON OIL CO</t>
  </si>
  <si>
    <t>TEXAS AGGREGATES  LLC</t>
  </si>
  <si>
    <t>TEXAS ASSOCIATES INSURORS AGENCY</t>
  </si>
  <si>
    <t>TEXAS ASSOCIATION OF COUNTIES</t>
  </si>
  <si>
    <t>TEXAS DEPARTMENT OF MOTOR VEHICLES</t>
  </si>
  <si>
    <t>TEXAS DEPT OF PUBLIC SAFETY</t>
  </si>
  <si>
    <t>TEXAS DISPOSAL SYSTEMS  INC.</t>
  </si>
  <si>
    <t>TEXAS ECONOMIC DEVELOPMENT COUNCIL</t>
  </si>
  <si>
    <t>TXFACT  LLC</t>
  </si>
  <si>
    <t>TEXAS JUSTICE COURT JUDGES ASSOCIATION</t>
  </si>
  <si>
    <t>TEXAS JUSTICE COURT TRAINING CENTER</t>
  </si>
  <si>
    <t>TEXAS PARKS &amp; WILDLIFE DEPARTMENT</t>
  </si>
  <si>
    <t>TEXAS POLICE TRAINERS LLC</t>
  </si>
  <si>
    <t>BUG MASTER EXTERMINATING SERVICES  LTD</t>
  </si>
  <si>
    <t>THE I-10 CORRIDOR ASSOCIATION</t>
  </si>
  <si>
    <t>RICHARD NELSON MOORE</t>
  </si>
  <si>
    <t>THE PRODUCT CENTER</t>
  </si>
  <si>
    <t>THE SUMMERILL GROUP LLC</t>
  </si>
  <si>
    <t>WEST PUBLISHING CORPORATION</t>
  </si>
  <si>
    <t>TWE-ADVANCE/NEWHOUSE PARTNERSHIP</t>
  </si>
  <si>
    <t>TOMMY POTTS</t>
  </si>
  <si>
    <t>TRAVIS COUNTY CONSTABLE PCT 5</t>
  </si>
  <si>
    <t>TRAVIS COUNTY MEDICAL EXAMINER</t>
  </si>
  <si>
    <t>TRAVIS ROBERTSON</t>
  </si>
  <si>
    <t>TULL FARLEY</t>
  </si>
  <si>
    <t>TYLER TECHNOLOGIES INC</t>
  </si>
  <si>
    <t>UNITED REFRIGERATION INC</t>
  </si>
  <si>
    <t>VERMEER EQUIPMENT OF TEXAS  INC.</t>
  </si>
  <si>
    <t>VERNON PARISH SHERIFF'S OFFICE</t>
  </si>
  <si>
    <t>VERSA CARDIO</t>
  </si>
  <si>
    <t>VIGILANT SOLUTIONS  LLC</t>
  </si>
  <si>
    <t>TEXAS DEPARTMENT OF STATE HEALTH SERVICES</t>
  </si>
  <si>
    <t>US BANK NA</t>
  </si>
  <si>
    <t>VTX COMMUNICATIONS  LLC</t>
  </si>
  <si>
    <t>WAGEWORKS INC  FSA/HSA</t>
  </si>
  <si>
    <t>WALLER COUNTY ASPHALT INC</t>
  </si>
  <si>
    <t>WASHING EQUIPMENT OF TEXAS</t>
  </si>
  <si>
    <t>WASTE CONNECTIONS LONE STAR. INC.</t>
  </si>
  <si>
    <t>WASTE MANAGEMENT OF TEXAS  INC</t>
  </si>
  <si>
    <t>WATCH GUARD VIDEO</t>
  </si>
  <si>
    <t>MAO PHARMACY INC</t>
  </si>
  <si>
    <t>WILBARGER COUNTY</t>
  </si>
  <si>
    <t>WILLIAMSON COUNTY</t>
  </si>
  <si>
    <t>WILLIAMSON COUNTY CONSTABLE PCT 1</t>
  </si>
  <si>
    <t>WILLIAMSON COUNTY CONSTABLE PCT 4</t>
  </si>
  <si>
    <t>WILSON 5 LAWN CARE</t>
  </si>
  <si>
    <t>WINZER CORPORATION</t>
  </si>
  <si>
    <t>YOLANDA WHEATON</t>
  </si>
  <si>
    <t>YVONNE ROCHA</t>
  </si>
  <si>
    <t>ZOETIS US LLC</t>
  </si>
  <si>
    <t>MERGERS MARKETING INC.</t>
  </si>
  <si>
    <t>LANGFORD COMMUNITY MGMT INC</t>
  </si>
  <si>
    <t>GLEN JACOBS</t>
  </si>
  <si>
    <t>ALLSTATE-AMERICAN HERITAGE LIFE INS CO</t>
  </si>
  <si>
    <t>AmWINS Group Benefits  Inc.</t>
  </si>
  <si>
    <t>BASTROP COUNTY ADULT PROBATION</t>
  </si>
  <si>
    <t>COLONIAL LIFE &amp; ACCIDENT INS. CO.</t>
  </si>
  <si>
    <t>CPI QUALIFIED PLAN CONSULTANTS  INC.</t>
  </si>
  <si>
    <t>GUARDIAN</t>
  </si>
  <si>
    <t>IRS-PAYROLL TAXES</t>
  </si>
  <si>
    <t>GERALD FLORES OLIVO</t>
  </si>
  <si>
    <t>TAC HEALTH BENEFITS POOL</t>
  </si>
  <si>
    <t>TOTAL ADMINISTRATIVE SERVICES CORPORATION</t>
  </si>
  <si>
    <t>TEXAS ATTY.GENERAL'S OFFICE</t>
  </si>
  <si>
    <t>TEXAS CNTY &amp; DIST RETIREMENT SYS</t>
  </si>
  <si>
    <t>TEXAS LEGAL PROTECTION PLAN INC</t>
  </si>
  <si>
    <t>GATEHOUSE MEDIA TEXAS HOLDINGS II  INC.</t>
  </si>
  <si>
    <t>MUNICIPAL SERVICES BUREAU/GILA GROUP</t>
  </si>
  <si>
    <t>FERGUSON ENTERPRISES  INC.</t>
  </si>
  <si>
    <t>OHM GURU KRUPA LLC</t>
  </si>
  <si>
    <t>HARBOR FREIGHT TOOLS USA  INC</t>
  </si>
  <si>
    <t>CITIBANK (SOUTH DAKOTA)N.A./THE HOME DEPOT</t>
  </si>
  <si>
    <t>PETER SMART</t>
  </si>
  <si>
    <t>LOWE'S</t>
  </si>
  <si>
    <t>ANEROB LLC</t>
  </si>
  <si>
    <t>ROBERT MADDEN INDUSTRIES LTD</t>
  </si>
  <si>
    <t>SAM'S WEST INC</t>
  </si>
  <si>
    <t>SHOPPA'S FARM SUPPLY</t>
  </si>
  <si>
    <t>TRACTOR SUPPLY CREDIT PLAN</t>
  </si>
  <si>
    <t>WALMART # 01-1042</t>
  </si>
  <si>
    <t>WILDLIFE ACOUSTICS  INC.</t>
  </si>
  <si>
    <t>KAMRAJ LLC</t>
  </si>
  <si>
    <t>FAYETTE MEDICAL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</si>
</sst>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mm/dd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43" fontId="18" fillId="0" borderId="0" xfId="1" applyFont="1"/>
    <xf numFmtId="43" fontId="0" fillId="0" borderId="0" xfId="1" applyFont="1"/>
    <xf numFmtId="43" fontId="0" fillId="0" borderId="10" xfId="1" applyFont="1" applyBorder="1"/>
    <xf numFmtId="165" fontId="18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1"/>
  <sheetViews>
    <sheetView tabSelected="1" workbookViewId="0"/>
  </sheetViews>
  <sheetFormatPr defaultRowHeight="15" x14ac:dyDescent="0.25"/>
  <cols>
    <col min="1" max="1" width="51.140625" customWidth="1"/>
    <col min="2" max="2" width="7.7109375" bestFit="1" customWidth="1"/>
    <col min="3" max="3" width="14" style="3" bestFit="1" customWidth="1"/>
    <col min="4" max="4" width="10.85546875" style="6" bestFit="1" customWidth="1"/>
    <col min="5" max="5" width="19.28515625" bestFit="1" customWidth="1"/>
    <col min="6" max="6" width="35.5703125" bestFit="1" customWidth="1"/>
    <col min="7" max="7" width="15.85546875" style="3" bestFit="1" customWidth="1"/>
    <col min="8" max="8" width="35.28515625" bestFit="1" customWidth="1"/>
  </cols>
  <sheetData>
    <row r="1" spans="1:8" s="1" customFormat="1" x14ac:dyDescent="0.25">
      <c r="A1" s="1" t="s">
        <v>0</v>
      </c>
      <c r="B1" s="1" t="s">
        <v>1</v>
      </c>
      <c r="C1" s="2" t="s">
        <v>2</v>
      </c>
      <c r="D1" s="5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spans="1:8" x14ac:dyDescent="0.25">
      <c r="A2" t="s">
        <v>8</v>
      </c>
      <c r="B2">
        <v>134930</v>
      </c>
      <c r="C2" s="3">
        <v>800</v>
      </c>
      <c r="D2" s="6">
        <v>44277</v>
      </c>
      <c r="E2" t="str">
        <f>"202103162239"</f>
        <v>202103162239</v>
      </c>
      <c r="F2" t="str">
        <f>"TRAINING INV HAYS-001"</f>
        <v>TRAINING INV HAYS-001</v>
      </c>
      <c r="G2" s="3">
        <v>800</v>
      </c>
      <c r="H2" t="str">
        <f>"TRAINING"</f>
        <v>TRAINING</v>
      </c>
    </row>
    <row r="3" spans="1:8" x14ac:dyDescent="0.25">
      <c r="A3" t="s">
        <v>9</v>
      </c>
      <c r="B3">
        <v>4046</v>
      </c>
      <c r="C3" s="3">
        <v>22353.87</v>
      </c>
      <c r="D3" s="6">
        <v>44264</v>
      </c>
      <c r="E3" t="str">
        <f>"9725-001-120517"</f>
        <v>9725-001-120517</v>
      </c>
      <c r="F3" t="str">
        <f>"ACCT#9725-001/PCT#2"</f>
        <v>ACCT#9725-001/PCT#2</v>
      </c>
      <c r="G3" s="3">
        <v>2473.0500000000002</v>
      </c>
      <c r="H3" t="str">
        <f>"ACCT#9725-001/PCT#2"</f>
        <v>ACCT#9725-001/PCT#2</v>
      </c>
    </row>
    <row r="4" spans="1:8" x14ac:dyDescent="0.25">
      <c r="E4" t="str">
        <f>"9725-001-120536"</f>
        <v>9725-001-120536</v>
      </c>
      <c r="F4" t="str">
        <f>"ACCT#9725-001/PCT#2"</f>
        <v>ACCT#9725-001/PCT#2</v>
      </c>
      <c r="G4" s="3">
        <v>3135.76</v>
      </c>
      <c r="H4" t="str">
        <f>"ACCT#9725-001/PCT#2"</f>
        <v>ACCT#9725-001/PCT#2</v>
      </c>
    </row>
    <row r="5" spans="1:8" x14ac:dyDescent="0.25">
      <c r="E5" t="str">
        <f>"9725-001-120555"</f>
        <v>9725-001-120555</v>
      </c>
      <c r="F5" t="str">
        <f>"ACCT#9725-001/PCT#2"</f>
        <v>ACCT#9725-001/PCT#2</v>
      </c>
      <c r="G5" s="3">
        <v>2642.43</v>
      </c>
      <c r="H5" t="str">
        <f>"ACCT#9725-001/PCT#2"</f>
        <v>ACCT#9725-001/PCT#2</v>
      </c>
    </row>
    <row r="6" spans="1:8" x14ac:dyDescent="0.25">
      <c r="E6" t="str">
        <f>"9725-004-120527"</f>
        <v>9725-004-120527</v>
      </c>
      <c r="F6" t="str">
        <f>"ACCT#9725-004/PCT#1"</f>
        <v>ACCT#9725-004/PCT#1</v>
      </c>
      <c r="G6" s="3">
        <v>242.9</v>
      </c>
      <c r="H6" t="str">
        <f>"ACCT#9725-004/PCT#1"</f>
        <v>ACCT#9725-004/PCT#1</v>
      </c>
    </row>
    <row r="7" spans="1:8" x14ac:dyDescent="0.25">
      <c r="E7" t="str">
        <f>"9725-004-120546"</f>
        <v>9725-004-120546</v>
      </c>
      <c r="F7" t="str">
        <f>"ACCT#9725-004/PCT#1"</f>
        <v>ACCT#9725-004/PCT#1</v>
      </c>
      <c r="G7" s="3">
        <v>1410.85</v>
      </c>
      <c r="H7" t="str">
        <f>"ACCT#9725-004/PCT#1"</f>
        <v>ACCT#9725-004/PCT#1</v>
      </c>
    </row>
    <row r="8" spans="1:8" x14ac:dyDescent="0.25">
      <c r="E8" t="str">
        <f>"9725-004-120563"</f>
        <v>9725-004-120563</v>
      </c>
      <c r="F8" t="str">
        <f>"ACCT#9725-004/PCT#1"</f>
        <v>ACCT#9725-004/PCT#1</v>
      </c>
      <c r="G8" s="3">
        <v>2457.9</v>
      </c>
      <c r="H8" t="str">
        <f>"ACCT#9725-004/PCT#1"</f>
        <v>ACCT#9725-004/PCT#1</v>
      </c>
    </row>
    <row r="9" spans="1:8" x14ac:dyDescent="0.25">
      <c r="E9" t="str">
        <f>"9725-004-120601"</f>
        <v>9725-004-120601</v>
      </c>
      <c r="F9" t="str">
        <f>"ACCT#9725-004/PCT#1"</f>
        <v>ACCT#9725-004/PCT#1</v>
      </c>
      <c r="G9" s="3">
        <v>1702.94</v>
      </c>
      <c r="H9" t="str">
        <f>"ACCT#9725-004/PCT#1"</f>
        <v>ACCT#9725-004/PCT#1</v>
      </c>
    </row>
    <row r="10" spans="1:8" x14ac:dyDescent="0.25">
      <c r="E10" t="str">
        <f>"9725-007-120503"</f>
        <v>9725-007-120503</v>
      </c>
      <c r="F10" t="str">
        <f>"ACCT#9725-007/PCT#4"</f>
        <v>ACCT#9725-007/PCT#4</v>
      </c>
      <c r="G10" s="3">
        <v>2864.31</v>
      </c>
      <c r="H10" t="str">
        <f>"ACCT#9725-007/PCT#4"</f>
        <v>ACCT#9725-007/PCT#4</v>
      </c>
    </row>
    <row r="11" spans="1:8" x14ac:dyDescent="0.25">
      <c r="E11" t="str">
        <f>"9725-007-120547"</f>
        <v>9725-007-120547</v>
      </c>
      <c r="F11" t="str">
        <f>"ACCT#9725-007/PCT#4"</f>
        <v>ACCT#9725-007/PCT#4</v>
      </c>
      <c r="G11" s="3">
        <v>993.49</v>
      </c>
      <c r="H11" t="str">
        <f>"ACCT#9725-007/PCT#4"</f>
        <v>ACCT#9725-007/PCT#4</v>
      </c>
    </row>
    <row r="12" spans="1:8" x14ac:dyDescent="0.25">
      <c r="E12" t="str">
        <f>"9725-007-120564"</f>
        <v>9725-007-120564</v>
      </c>
      <c r="F12" t="str">
        <f>"ACCT#9725-007/PCT#4"</f>
        <v>ACCT#9725-007/PCT#4</v>
      </c>
      <c r="G12" s="3">
        <v>1220.3699999999999</v>
      </c>
      <c r="H12" t="str">
        <f>"ACCT#9725-007/PCT#4"</f>
        <v>ACCT#9725-007/PCT#4</v>
      </c>
    </row>
    <row r="13" spans="1:8" x14ac:dyDescent="0.25">
      <c r="E13" t="str">
        <f>"9725-007-120602"</f>
        <v>9725-007-120602</v>
      </c>
      <c r="F13" t="str">
        <f>"ACCT#9725-007/PCT#4"</f>
        <v>ACCT#9725-007/PCT#4</v>
      </c>
      <c r="G13" s="3">
        <v>2008.75</v>
      </c>
      <c r="H13" t="str">
        <f>"ACCT#9725-007/PCT#4"</f>
        <v>ACCT#9725-007/PCT#4</v>
      </c>
    </row>
    <row r="14" spans="1:8" x14ac:dyDescent="0.25">
      <c r="E14" t="str">
        <f>"9725-007-120618"</f>
        <v>9725-007-120618</v>
      </c>
      <c r="F14" t="str">
        <f>"ACCT#9725-007"</f>
        <v>ACCT#9725-007</v>
      </c>
      <c r="G14" s="3">
        <v>1201.1199999999999</v>
      </c>
      <c r="H14" t="str">
        <f>"ACCT#9725-007"</f>
        <v>ACCT#9725-007</v>
      </c>
    </row>
    <row r="15" spans="1:8" x14ac:dyDescent="0.25">
      <c r="A15" t="s">
        <v>9</v>
      </c>
      <c r="B15">
        <v>4097</v>
      </c>
      <c r="C15" s="3">
        <v>21149.85</v>
      </c>
      <c r="D15" s="6">
        <v>44278</v>
      </c>
      <c r="E15" t="str">
        <f>"9725-001-120595"</f>
        <v>9725-001-120595</v>
      </c>
      <c r="F15" t="str">
        <f>"ACCT#9725-001/PCT#2"</f>
        <v>ACCT#9725-001/PCT#2</v>
      </c>
      <c r="G15" s="3">
        <v>2921.28</v>
      </c>
      <c r="H15" t="str">
        <f>"ACCT#9725-001/PCT#2"</f>
        <v>ACCT#9725-001/PCT#2</v>
      </c>
    </row>
    <row r="16" spans="1:8" x14ac:dyDescent="0.25">
      <c r="E16" t="str">
        <f>"9725-001-120608"</f>
        <v>9725-001-120608</v>
      </c>
      <c r="F16" t="str">
        <f>"ACCT#9725-001/PCT#2"</f>
        <v>ACCT#9725-001/PCT#2</v>
      </c>
      <c r="G16" s="3">
        <v>3328.78</v>
      </c>
      <c r="H16" t="str">
        <f>"ACCT#9725-001/PCT#2"</f>
        <v>ACCT#9725-001/PCT#2</v>
      </c>
    </row>
    <row r="17" spans="1:8" x14ac:dyDescent="0.25">
      <c r="E17" t="str">
        <f>"9725-001-120665"</f>
        <v>9725-001-120665</v>
      </c>
      <c r="F17" t="str">
        <f>"ACCT#9725-001/PCT#2"</f>
        <v>ACCT#9725-001/PCT#2</v>
      </c>
      <c r="G17" s="3">
        <v>211.4</v>
      </c>
      <c r="H17" t="str">
        <f>"ACCT#9725-001/PCT#2"</f>
        <v>ACCT#9725-001/PCT#2</v>
      </c>
    </row>
    <row r="18" spans="1:8" x14ac:dyDescent="0.25">
      <c r="E18" t="str">
        <f>"9725-004"</f>
        <v>9725-004</v>
      </c>
      <c r="F18" t="str">
        <f t="shared" ref="F18:F25" si="0">"ACCT#9725-004/PCT#1"</f>
        <v>ACCT#9725-004/PCT#1</v>
      </c>
      <c r="G18" s="3">
        <v>1640.27</v>
      </c>
      <c r="H18" t="str">
        <f t="shared" ref="H18:H25" si="1">"ACCT#9725-004/PCT#1"</f>
        <v>ACCT#9725-004/PCT#1</v>
      </c>
    </row>
    <row r="19" spans="1:8" x14ac:dyDescent="0.25">
      <c r="E19" t="str">
        <f>"9725-004-120617"</f>
        <v>9725-004-120617</v>
      </c>
      <c r="F19" t="str">
        <f t="shared" si="0"/>
        <v>ACCT#9725-004/PCT#1</v>
      </c>
      <c r="G19" s="3">
        <v>850.59</v>
      </c>
      <c r="H19" t="str">
        <f t="shared" si="1"/>
        <v>ACCT#9725-004/PCT#1</v>
      </c>
    </row>
    <row r="20" spans="1:8" x14ac:dyDescent="0.25">
      <c r="E20" t="str">
        <f>"9725-004-120636"</f>
        <v>9725-004-120636</v>
      </c>
      <c r="F20" t="str">
        <f t="shared" si="0"/>
        <v>ACCT#9725-004/PCT#1</v>
      </c>
      <c r="G20" s="3">
        <v>876.66</v>
      </c>
      <c r="H20" t="str">
        <f t="shared" si="1"/>
        <v>ACCT#9725-004/PCT#1</v>
      </c>
    </row>
    <row r="21" spans="1:8" x14ac:dyDescent="0.25">
      <c r="E21" t="str">
        <f>"9725-004-120654"</f>
        <v>9725-004-120654</v>
      </c>
      <c r="F21" t="str">
        <f t="shared" si="0"/>
        <v>ACCT#9725-004/PCT#1</v>
      </c>
      <c r="G21" s="3">
        <v>642.61</v>
      </c>
      <c r="H21" t="str">
        <f t="shared" si="1"/>
        <v>ACCT#9725-004/PCT#1</v>
      </c>
    </row>
    <row r="22" spans="1:8" x14ac:dyDescent="0.25">
      <c r="E22" t="str">
        <f>"9725-004-120687"</f>
        <v>9725-004-120687</v>
      </c>
      <c r="F22" t="str">
        <f t="shared" si="0"/>
        <v>ACCT#9725-004/PCT#1</v>
      </c>
      <c r="G22" s="3">
        <v>1361.08</v>
      </c>
      <c r="H22" t="str">
        <f t="shared" si="1"/>
        <v>ACCT#9725-004/PCT#1</v>
      </c>
    </row>
    <row r="23" spans="1:8" x14ac:dyDescent="0.25">
      <c r="E23" t="str">
        <f>"9725-004-120699"</f>
        <v>9725-004-120699</v>
      </c>
      <c r="F23" t="str">
        <f t="shared" si="0"/>
        <v>ACCT#9725-004/PCT#1</v>
      </c>
      <c r="G23" s="3">
        <v>2033.76</v>
      </c>
      <c r="H23" t="str">
        <f t="shared" si="1"/>
        <v>ACCT#9725-004/PCT#1</v>
      </c>
    </row>
    <row r="24" spans="1:8" x14ac:dyDescent="0.25">
      <c r="E24" t="str">
        <f>"9725-004-120746"</f>
        <v>9725-004-120746</v>
      </c>
      <c r="F24" t="str">
        <f t="shared" si="0"/>
        <v>ACCT#9725-004/PCT#1</v>
      </c>
      <c r="G24" s="3">
        <v>770.44</v>
      </c>
      <c r="H24" t="str">
        <f t="shared" si="1"/>
        <v>ACCT#9725-004/PCT#1</v>
      </c>
    </row>
    <row r="25" spans="1:8" x14ac:dyDescent="0.25">
      <c r="E25" t="str">
        <f>"9725-004-120766"</f>
        <v>9725-004-120766</v>
      </c>
      <c r="F25" t="str">
        <f t="shared" si="0"/>
        <v>ACCT#9725-004/PCT#1</v>
      </c>
      <c r="G25" s="3">
        <v>1432.11</v>
      </c>
      <c r="H25" t="str">
        <f t="shared" si="1"/>
        <v>ACCT#9725-004/PCT#1</v>
      </c>
    </row>
    <row r="26" spans="1:8" x14ac:dyDescent="0.25">
      <c r="E26" t="str">
        <f>"9725-007-120655"</f>
        <v>9725-007-120655</v>
      </c>
      <c r="F26" t="str">
        <f>"ACCT#9725-007/PCT#4"</f>
        <v>ACCT#9725-007/PCT#4</v>
      </c>
      <c r="G26" s="3">
        <v>1220.3599999999999</v>
      </c>
      <c r="H26" t="str">
        <f>"ACCT#9725-007/PCT#4"</f>
        <v>ACCT#9725-007/PCT#4</v>
      </c>
    </row>
    <row r="27" spans="1:8" x14ac:dyDescent="0.25">
      <c r="E27" t="str">
        <f>"9725-007-120747"</f>
        <v>9725-007-120747</v>
      </c>
      <c r="F27" t="str">
        <f>"ACCT#9725-007/PCT#4"</f>
        <v>ACCT#9725-007/PCT#4</v>
      </c>
      <c r="G27" s="3">
        <v>3047.45</v>
      </c>
      <c r="H27" t="str">
        <f>"ACCT#9725-007/PCT#4"</f>
        <v>ACCT#9725-007/PCT#4</v>
      </c>
    </row>
    <row r="28" spans="1:8" x14ac:dyDescent="0.25">
      <c r="E28" t="str">
        <f>"9725-007-120779"</f>
        <v>9725-007-120779</v>
      </c>
      <c r="F28" t="str">
        <f>"ACCT#9725-007/PCT#4"</f>
        <v>ACCT#9725-007/PCT#4</v>
      </c>
      <c r="G28" s="3">
        <v>813.06</v>
      </c>
      <c r="H28" t="str">
        <f>"ACCT#9725-007/PCT#4"</f>
        <v>ACCT#9725-007/PCT#4</v>
      </c>
    </row>
    <row r="29" spans="1:8" x14ac:dyDescent="0.25">
      <c r="A29" t="s">
        <v>10</v>
      </c>
      <c r="B29">
        <v>134931</v>
      </c>
      <c r="C29" s="3">
        <v>487.56</v>
      </c>
      <c r="D29" s="6">
        <v>44277</v>
      </c>
      <c r="E29" t="str">
        <f>"419924"</f>
        <v>419924</v>
      </c>
      <c r="F29" t="str">
        <f>"CUST#16500"</f>
        <v>CUST#16500</v>
      </c>
      <c r="G29" s="3">
        <v>79.2</v>
      </c>
      <c r="H29" t="str">
        <f>"CUST#16500"</f>
        <v>CUST#16500</v>
      </c>
    </row>
    <row r="30" spans="1:8" x14ac:dyDescent="0.25">
      <c r="E30" t="str">
        <f>"419924/PCT4"</f>
        <v>419924/PCT4</v>
      </c>
      <c r="F30" t="str">
        <f>"CUST ID#16500/PCT#4"</f>
        <v>CUST ID#16500/PCT#4</v>
      </c>
      <c r="G30" s="3">
        <v>408.36</v>
      </c>
      <c r="H30" t="str">
        <f>"CUST ID#16500/PCT#4"</f>
        <v>CUST ID#16500/PCT#4</v>
      </c>
    </row>
    <row r="31" spans="1:8" x14ac:dyDescent="0.25">
      <c r="A31" t="s">
        <v>11</v>
      </c>
      <c r="B31">
        <v>134792</v>
      </c>
      <c r="C31" s="3">
        <v>2163.5300000000002</v>
      </c>
      <c r="D31" s="6">
        <v>44263</v>
      </c>
      <c r="E31" t="str">
        <f>"A6680287"</f>
        <v>A6680287</v>
      </c>
      <c r="F31" t="str">
        <f>"INV A6680287"</f>
        <v>INV A6680287</v>
      </c>
      <c r="G31" s="3">
        <v>2163.5300000000002</v>
      </c>
      <c r="H31" t="str">
        <f>"INV A6680287"</f>
        <v>INV A6680287</v>
      </c>
    </row>
    <row r="32" spans="1:8" x14ac:dyDescent="0.25">
      <c r="A32" t="s">
        <v>11</v>
      </c>
      <c r="B32">
        <v>134932</v>
      </c>
      <c r="C32" s="3">
        <v>1520.48</v>
      </c>
      <c r="D32" s="6">
        <v>44277</v>
      </c>
      <c r="E32" t="str">
        <f>"A659341"</f>
        <v>A659341</v>
      </c>
      <c r="F32" t="str">
        <f>"INV A6599341"</f>
        <v>INV A6599341</v>
      </c>
      <c r="G32" s="3">
        <v>1520.48</v>
      </c>
      <c r="H32" t="str">
        <f>"INV A6599341"</f>
        <v>INV A6599341</v>
      </c>
    </row>
    <row r="33" spans="1:8" x14ac:dyDescent="0.25">
      <c r="A33" t="s">
        <v>12</v>
      </c>
      <c r="B33">
        <v>134793</v>
      </c>
      <c r="C33" s="3">
        <v>890</v>
      </c>
      <c r="D33" s="6">
        <v>44263</v>
      </c>
      <c r="E33" t="str">
        <f>"202103021888"</f>
        <v>202103021888</v>
      </c>
      <c r="F33" t="str">
        <f>"21-20594"</f>
        <v>21-20594</v>
      </c>
      <c r="G33" s="3">
        <v>52.5</v>
      </c>
      <c r="H33" t="str">
        <f>"21-20594"</f>
        <v>21-20594</v>
      </c>
    </row>
    <row r="34" spans="1:8" x14ac:dyDescent="0.25">
      <c r="E34" t="str">
        <f>"202103021889"</f>
        <v>202103021889</v>
      </c>
      <c r="F34" t="str">
        <f>"20-20077"</f>
        <v>20-20077</v>
      </c>
      <c r="G34" s="3">
        <v>45</v>
      </c>
      <c r="H34" t="str">
        <f>"20-20077"</f>
        <v>20-20077</v>
      </c>
    </row>
    <row r="35" spans="1:8" x14ac:dyDescent="0.25">
      <c r="E35" t="str">
        <f>"202103021890"</f>
        <v>202103021890</v>
      </c>
      <c r="F35" t="str">
        <f>"20-20454"</f>
        <v>20-20454</v>
      </c>
      <c r="G35" s="3">
        <v>112.5</v>
      </c>
      <c r="H35" t="str">
        <f>"20-20454"</f>
        <v>20-20454</v>
      </c>
    </row>
    <row r="36" spans="1:8" x14ac:dyDescent="0.25">
      <c r="E36" t="str">
        <f>"202103021891"</f>
        <v>202103021891</v>
      </c>
      <c r="F36" t="str">
        <f>"20-20085"</f>
        <v>20-20085</v>
      </c>
      <c r="G36" s="3">
        <v>30</v>
      </c>
      <c r="H36" t="str">
        <f>"20-20085"</f>
        <v>20-20085</v>
      </c>
    </row>
    <row r="37" spans="1:8" x14ac:dyDescent="0.25">
      <c r="E37" t="str">
        <f>"202103021892"</f>
        <v>202103021892</v>
      </c>
      <c r="F37" t="str">
        <f>"21-20542"</f>
        <v>21-20542</v>
      </c>
      <c r="G37" s="3">
        <v>242.5</v>
      </c>
      <c r="H37" t="str">
        <f>"21-20542"</f>
        <v>21-20542</v>
      </c>
    </row>
    <row r="38" spans="1:8" x14ac:dyDescent="0.25">
      <c r="E38" t="str">
        <f>"202103021893"</f>
        <v>202103021893</v>
      </c>
      <c r="F38" t="str">
        <f>"21-20568"</f>
        <v>21-20568</v>
      </c>
      <c r="G38" s="3">
        <v>407.5</v>
      </c>
      <c r="H38" t="str">
        <f>"21-20568"</f>
        <v>21-20568</v>
      </c>
    </row>
    <row r="39" spans="1:8" x14ac:dyDescent="0.25">
      <c r="A39" t="s">
        <v>13</v>
      </c>
      <c r="B39">
        <v>4078</v>
      </c>
      <c r="C39" s="3">
        <v>800</v>
      </c>
      <c r="D39" s="6">
        <v>44264</v>
      </c>
      <c r="E39" t="str">
        <f>"202103011861"</f>
        <v>202103011861</v>
      </c>
      <c r="F39" t="str">
        <f>"20201346"</f>
        <v>20201346</v>
      </c>
      <c r="G39" s="3">
        <v>400</v>
      </c>
      <c r="H39" t="str">
        <f>"20201346"</f>
        <v>20201346</v>
      </c>
    </row>
    <row r="40" spans="1:8" x14ac:dyDescent="0.25">
      <c r="E40" t="str">
        <f>"202103011862"</f>
        <v>202103011862</v>
      </c>
      <c r="F40" t="str">
        <f>"57037"</f>
        <v>57037</v>
      </c>
      <c r="G40" s="3">
        <v>150</v>
      </c>
      <c r="H40" t="str">
        <f>"57037"</f>
        <v>57037</v>
      </c>
    </row>
    <row r="41" spans="1:8" x14ac:dyDescent="0.25">
      <c r="E41" t="str">
        <f>"202103011863"</f>
        <v>202103011863</v>
      </c>
      <c r="F41" t="str">
        <f>"57037"</f>
        <v>57037</v>
      </c>
      <c r="G41" s="3">
        <v>250</v>
      </c>
      <c r="H41" t="str">
        <f>"57037"</f>
        <v>57037</v>
      </c>
    </row>
    <row r="42" spans="1:8" x14ac:dyDescent="0.25">
      <c r="A42" t="s">
        <v>13</v>
      </c>
      <c r="B42">
        <v>4148</v>
      </c>
      <c r="C42" s="3">
        <v>600</v>
      </c>
      <c r="D42" s="6">
        <v>44278</v>
      </c>
      <c r="E42" t="str">
        <f>"202103102043"</f>
        <v>202103102043</v>
      </c>
      <c r="F42" t="str">
        <f>"1746-335"</f>
        <v>1746-335</v>
      </c>
      <c r="G42" s="3">
        <v>100</v>
      </c>
      <c r="H42" t="str">
        <f>"1746-335"</f>
        <v>1746-335</v>
      </c>
    </row>
    <row r="43" spans="1:8" x14ac:dyDescent="0.25">
      <c r="E43" t="str">
        <f>"202103102044"</f>
        <v>202103102044</v>
      </c>
      <c r="F43" t="str">
        <f>"1743-21"</f>
        <v>1743-21</v>
      </c>
      <c r="G43" s="3">
        <v>100</v>
      </c>
      <c r="H43" t="str">
        <f>"1743-21"</f>
        <v>1743-21</v>
      </c>
    </row>
    <row r="44" spans="1:8" x14ac:dyDescent="0.25">
      <c r="E44" t="str">
        <f>"202103102045"</f>
        <v>202103102045</v>
      </c>
      <c r="F44" t="str">
        <f>"16-870"</f>
        <v>16-870</v>
      </c>
      <c r="G44" s="3">
        <v>400</v>
      </c>
      <c r="H44" t="str">
        <f>"16-870"</f>
        <v>16-870</v>
      </c>
    </row>
    <row r="45" spans="1:8" x14ac:dyDescent="0.25">
      <c r="A45" t="s">
        <v>14</v>
      </c>
      <c r="B45">
        <v>134794</v>
      </c>
      <c r="C45" s="3">
        <v>225</v>
      </c>
      <c r="D45" s="6">
        <v>44263</v>
      </c>
      <c r="E45" t="str">
        <f>"202103021931"</f>
        <v>202103021931</v>
      </c>
      <c r="F45" t="str">
        <f>"PER DIEM"</f>
        <v>PER DIEM</v>
      </c>
      <c r="G45" s="3">
        <v>225</v>
      </c>
      <c r="H45" t="str">
        <f>"PER DIEM"</f>
        <v>PER DIEM</v>
      </c>
    </row>
    <row r="46" spans="1:8" x14ac:dyDescent="0.25">
      <c r="A46" t="s">
        <v>14</v>
      </c>
      <c r="B46">
        <v>134933</v>
      </c>
      <c r="C46" s="3">
        <v>135</v>
      </c>
      <c r="D46" s="6">
        <v>44277</v>
      </c>
      <c r="E46" t="str">
        <f>"202103162237"</f>
        <v>202103162237</v>
      </c>
      <c r="F46" t="str">
        <f>"PER DIEM FOR TRAINING"</f>
        <v>PER DIEM FOR TRAINING</v>
      </c>
      <c r="G46" s="3">
        <v>135</v>
      </c>
      <c r="H46" t="str">
        <f>"PER DIEM FOR TRAINING"</f>
        <v>PER DIEM FOR TRAINING</v>
      </c>
    </row>
    <row r="47" spans="1:8" x14ac:dyDescent="0.25">
      <c r="A47" t="s">
        <v>15</v>
      </c>
      <c r="B47">
        <v>4049</v>
      </c>
      <c r="C47" s="3">
        <v>5286.34</v>
      </c>
      <c r="D47" s="6">
        <v>44264</v>
      </c>
      <c r="E47" t="str">
        <f>"202103011834"</f>
        <v>202103011834</v>
      </c>
      <c r="F47" t="str">
        <f>"HAULING/PCT#4"</f>
        <v>HAULING/PCT#4</v>
      </c>
      <c r="G47" s="3">
        <v>5286.34</v>
      </c>
      <c r="H47" t="str">
        <f>"HAULING/PCT#4"</f>
        <v>HAULING/PCT#4</v>
      </c>
    </row>
    <row r="48" spans="1:8" x14ac:dyDescent="0.25">
      <c r="A48" t="s">
        <v>15</v>
      </c>
      <c r="B48">
        <v>4101</v>
      </c>
      <c r="C48" s="3">
        <v>8380.66</v>
      </c>
      <c r="D48" s="6">
        <v>44278</v>
      </c>
      <c r="E48" t="str">
        <f>"202103152164"</f>
        <v>202103152164</v>
      </c>
      <c r="F48" t="str">
        <f>"HAULING/PCT#1"</f>
        <v>HAULING/PCT#1</v>
      </c>
      <c r="G48" s="3">
        <v>2418.34</v>
      </c>
      <c r="H48" t="str">
        <f>"HAULING/PCT#1"</f>
        <v>HAULING/PCT#1</v>
      </c>
    </row>
    <row r="49" spans="1:8" x14ac:dyDescent="0.25">
      <c r="E49" t="str">
        <f>"202103152165"</f>
        <v>202103152165</v>
      </c>
      <c r="F49" t="str">
        <f>"HAULING/PCT#4"</f>
        <v>HAULING/PCT#4</v>
      </c>
      <c r="G49" s="3">
        <v>5962.32</v>
      </c>
      <c r="H49" t="str">
        <f>"HAULING/PCT#4"</f>
        <v>HAULING/PCT#4</v>
      </c>
    </row>
    <row r="50" spans="1:8" x14ac:dyDescent="0.25">
      <c r="A50" t="s">
        <v>16</v>
      </c>
      <c r="B50">
        <v>4061</v>
      </c>
      <c r="C50" s="3">
        <v>77.98</v>
      </c>
      <c r="D50" s="6">
        <v>44264</v>
      </c>
      <c r="E50" t="str">
        <f>"22829"</f>
        <v>22829</v>
      </c>
      <c r="F50" t="str">
        <f>"Display Port to VGA 5pack"</f>
        <v>Display Port to VGA 5pack</v>
      </c>
      <c r="G50" s="3">
        <v>31.99</v>
      </c>
      <c r="H50" t="str">
        <f>"Display Port to VGA 5pack"</f>
        <v>Display Port to VGA 5pack</v>
      </c>
    </row>
    <row r="51" spans="1:8" x14ac:dyDescent="0.25">
      <c r="E51" t="str">
        <f>"22867"</f>
        <v>22867</v>
      </c>
      <c r="F51" t="str">
        <f>"CASE OF FACEMASK"</f>
        <v>CASE OF FACEMASK</v>
      </c>
      <c r="G51" s="3">
        <v>45.99</v>
      </c>
      <c r="H51" t="str">
        <f>"FACEMASKS"</f>
        <v>FACEMASKS</v>
      </c>
    </row>
    <row r="52" spans="1:8" x14ac:dyDescent="0.25">
      <c r="A52" t="s">
        <v>16</v>
      </c>
      <c r="B52">
        <v>4119</v>
      </c>
      <c r="C52" s="3">
        <v>1086.92</v>
      </c>
      <c r="D52" s="6">
        <v>44278</v>
      </c>
      <c r="E52" t="str">
        <f>"1TMH-K6R7-4KGD"</f>
        <v>1TMH-K6R7-4KGD</v>
      </c>
      <c r="F52" t="str">
        <f>"At a glance calendar"</f>
        <v>At a glance calendar</v>
      </c>
      <c r="G52" s="3">
        <v>20.54</v>
      </c>
      <c r="H52" t="str">
        <f>"At a glance calendar"</f>
        <v>At a glance calendar</v>
      </c>
    </row>
    <row r="53" spans="1:8" x14ac:dyDescent="0.25">
      <c r="E53" t="str">
        <f>"202103172242"</f>
        <v>202103172242</v>
      </c>
      <c r="F53" t="str">
        <f>"Amazon Order"</f>
        <v>Amazon Order</v>
      </c>
      <c r="G53" s="3">
        <v>238.48</v>
      </c>
      <c r="H53" t="str">
        <f>"Safety VestsUniveral"</f>
        <v>Safety VestsUniveral</v>
      </c>
    </row>
    <row r="54" spans="1:8" x14ac:dyDescent="0.25">
      <c r="E54" t="str">
        <f>""</f>
        <v/>
      </c>
      <c r="F54" t="str">
        <f>""</f>
        <v/>
      </c>
      <c r="H54" t="str">
        <f>"Latex Gloves M"</f>
        <v>Latex Gloves M</v>
      </c>
    </row>
    <row r="55" spans="1:8" x14ac:dyDescent="0.25">
      <c r="E55" t="str">
        <f>""</f>
        <v/>
      </c>
      <c r="F55" t="str">
        <f>""</f>
        <v/>
      </c>
      <c r="H55" t="str">
        <f>"Latex Gloves L"</f>
        <v>Latex Gloves L</v>
      </c>
    </row>
    <row r="56" spans="1:8" x14ac:dyDescent="0.25">
      <c r="E56" t="str">
        <f>"22249"</f>
        <v>22249</v>
      </c>
      <c r="F56" t="str">
        <f>"Amazon Order"</f>
        <v>Amazon Order</v>
      </c>
      <c r="G56" s="3">
        <v>27.98</v>
      </c>
      <c r="H56" t="str">
        <f>"Oracle 651 Vinyl"</f>
        <v>Oracle 651 Vinyl</v>
      </c>
    </row>
    <row r="57" spans="1:8" x14ac:dyDescent="0.25">
      <c r="E57" t="str">
        <f>""</f>
        <v/>
      </c>
      <c r="F57" t="str">
        <f>""</f>
        <v/>
      </c>
      <c r="H57" t="str">
        <f>"Shipping"</f>
        <v>Shipping</v>
      </c>
    </row>
    <row r="58" spans="1:8" x14ac:dyDescent="0.25">
      <c r="E58" t="str">
        <f>"22857"</f>
        <v>22857</v>
      </c>
      <c r="F58" t="str">
        <f>"ES Robins Chair Mat"</f>
        <v>ES Robins Chair Mat</v>
      </c>
      <c r="G58" s="3">
        <v>124.99</v>
      </c>
      <c r="H58" t="str">
        <f>"ES Robins Chair Mat"</f>
        <v>ES Robins Chair Mat</v>
      </c>
    </row>
    <row r="59" spans="1:8" x14ac:dyDescent="0.25">
      <c r="E59" t="str">
        <f>"229994"</f>
        <v>229994</v>
      </c>
      <c r="F59" t="str">
        <f>"Large Digital Scale"</f>
        <v>Large Digital Scale</v>
      </c>
      <c r="G59" s="3">
        <v>180.99</v>
      </c>
      <c r="H59" t="str">
        <f>"Large Digital Scale"</f>
        <v>Large Digital Scale</v>
      </c>
    </row>
    <row r="60" spans="1:8" x14ac:dyDescent="0.25">
      <c r="E60" t="str">
        <f>"23054"</f>
        <v>23054</v>
      </c>
      <c r="F60" t="str">
        <f>"BCAS Paper Towel Rolls"</f>
        <v>BCAS Paper Towel Rolls</v>
      </c>
      <c r="G60" s="3">
        <v>98.94</v>
      </c>
      <c r="H60" t="str">
        <f>"BCAS Paper Towel Rolls"</f>
        <v>BCAS Paper Towel Rolls</v>
      </c>
    </row>
    <row r="61" spans="1:8" x14ac:dyDescent="0.25">
      <c r="E61" t="str">
        <f>"23135"</f>
        <v>23135</v>
      </c>
      <c r="F61" t="str">
        <f>"VariDesk Pro Plus"</f>
        <v>VariDesk Pro Plus</v>
      </c>
      <c r="G61" s="3">
        <v>395</v>
      </c>
      <c r="H61" t="str">
        <f>"VariDesk Pro Plus"</f>
        <v>VariDesk Pro Plus</v>
      </c>
    </row>
    <row r="62" spans="1:8" x14ac:dyDescent="0.25">
      <c r="A62" t="s">
        <v>17</v>
      </c>
      <c r="B62">
        <v>134795</v>
      </c>
      <c r="C62" s="3">
        <v>96.9</v>
      </c>
      <c r="D62" s="6">
        <v>44263</v>
      </c>
      <c r="E62" t="str">
        <f>"202103011841"</f>
        <v>202103011841</v>
      </c>
      <c r="F62" t="str">
        <f>"NOTARY H. MILLER"</f>
        <v>NOTARY H. MILLER</v>
      </c>
      <c r="G62" s="3">
        <v>96.9</v>
      </c>
      <c r="H62" t="str">
        <f>"NOTARY H. MILLER"</f>
        <v>NOTARY H. MILLER</v>
      </c>
    </row>
    <row r="63" spans="1:8" x14ac:dyDescent="0.25">
      <c r="A63" t="s">
        <v>18</v>
      </c>
      <c r="B63">
        <v>134796</v>
      </c>
      <c r="C63" s="3">
        <v>126.25</v>
      </c>
      <c r="D63" s="6">
        <v>44263</v>
      </c>
      <c r="E63" t="str">
        <f>"113488"</f>
        <v>113488</v>
      </c>
      <c r="F63" t="str">
        <f>"TAX OFFICE/#10 REGULARS"</f>
        <v>TAX OFFICE/#10 REGULARS</v>
      </c>
      <c r="G63" s="3">
        <v>126.25</v>
      </c>
      <c r="H63" t="str">
        <f>"TAX OFFICE/#10 REGULARS"</f>
        <v>TAX OFFICE/#10 REGULARS</v>
      </c>
    </row>
    <row r="64" spans="1:8" x14ac:dyDescent="0.25">
      <c r="A64" t="s">
        <v>19</v>
      </c>
      <c r="B64">
        <v>4087</v>
      </c>
      <c r="C64" s="3">
        <v>2100</v>
      </c>
      <c r="D64" s="6">
        <v>44264</v>
      </c>
      <c r="E64" t="str">
        <f>"202103011853"</f>
        <v>202103011853</v>
      </c>
      <c r="F64" t="str">
        <f>"20191024A"</f>
        <v>20191024A</v>
      </c>
      <c r="G64" s="3">
        <v>400</v>
      </c>
      <c r="H64" t="str">
        <f>"20191024A"</f>
        <v>20191024A</v>
      </c>
    </row>
    <row r="65" spans="1:8" x14ac:dyDescent="0.25">
      <c r="E65" t="str">
        <f>"202103011854"</f>
        <v>202103011854</v>
      </c>
      <c r="F65" t="str">
        <f>"020190237"</f>
        <v>020190237</v>
      </c>
      <c r="G65" s="3">
        <v>400</v>
      </c>
      <c r="H65" t="str">
        <f>"020190237"</f>
        <v>020190237</v>
      </c>
    </row>
    <row r="66" spans="1:8" x14ac:dyDescent="0.25">
      <c r="E66" t="str">
        <f>"202103021896"</f>
        <v>202103021896</v>
      </c>
      <c r="F66" t="str">
        <f>"17-129"</f>
        <v>17-129</v>
      </c>
      <c r="G66" s="3">
        <v>400</v>
      </c>
      <c r="H66" t="str">
        <f>"17-129"</f>
        <v>17-129</v>
      </c>
    </row>
    <row r="67" spans="1:8" x14ac:dyDescent="0.25">
      <c r="E67" t="str">
        <f>"202103021897"</f>
        <v>202103021897</v>
      </c>
      <c r="F67" t="str">
        <f>"1688-335/1685-21"</f>
        <v>1688-335/1685-21</v>
      </c>
      <c r="G67" s="3">
        <v>200</v>
      </c>
      <c r="H67" t="str">
        <f>"1688-335/1685-21"</f>
        <v>1688-335/1685-21</v>
      </c>
    </row>
    <row r="68" spans="1:8" x14ac:dyDescent="0.25">
      <c r="E68" t="str">
        <f>"202103021898"</f>
        <v>202103021898</v>
      </c>
      <c r="F68" t="str">
        <f>"423-7618/1701-335"</f>
        <v>423-7618/1701-335</v>
      </c>
      <c r="G68" s="3">
        <v>200</v>
      </c>
      <c r="H68" t="str">
        <f>"423-7618/1701-335"</f>
        <v>423-7618/1701-335</v>
      </c>
    </row>
    <row r="69" spans="1:8" x14ac:dyDescent="0.25">
      <c r="E69" t="str">
        <f>"202103021899"</f>
        <v>202103021899</v>
      </c>
      <c r="F69" t="str">
        <f>"1983-335"</f>
        <v>1983-335</v>
      </c>
      <c r="G69" s="3">
        <v>200</v>
      </c>
      <c r="H69" t="str">
        <f>"1983-335"</f>
        <v>1983-335</v>
      </c>
    </row>
    <row r="70" spans="1:8" x14ac:dyDescent="0.25">
      <c r="E70" t="str">
        <f>"202103021900"</f>
        <v>202103021900</v>
      </c>
      <c r="F70" t="str">
        <f>"1692-21"</f>
        <v>1692-21</v>
      </c>
      <c r="G70" s="3">
        <v>100</v>
      </c>
      <c r="H70" t="str">
        <f>"1692-21"</f>
        <v>1692-21</v>
      </c>
    </row>
    <row r="71" spans="1:8" x14ac:dyDescent="0.25">
      <c r="E71" t="str">
        <f>"202103021901"</f>
        <v>202103021901</v>
      </c>
      <c r="F71" t="str">
        <f>"1666-21"</f>
        <v>1666-21</v>
      </c>
      <c r="G71" s="3">
        <v>200</v>
      </c>
      <c r="H71" t="str">
        <f>"1666-21"</f>
        <v>1666-21</v>
      </c>
    </row>
    <row r="72" spans="1:8" x14ac:dyDescent="0.25">
      <c r="A72" t="s">
        <v>19</v>
      </c>
      <c r="B72">
        <v>4161</v>
      </c>
      <c r="C72" s="3">
        <v>2500</v>
      </c>
      <c r="D72" s="6">
        <v>44278</v>
      </c>
      <c r="E72" t="str">
        <f>"202103102059"</f>
        <v>202103102059</v>
      </c>
      <c r="F72" t="str">
        <f>"CM20190831B"</f>
        <v>CM20190831B</v>
      </c>
      <c r="G72" s="3">
        <v>250</v>
      </c>
      <c r="H72" t="str">
        <f>"CM20190831B"</f>
        <v>CM20190831B</v>
      </c>
    </row>
    <row r="73" spans="1:8" x14ac:dyDescent="0.25">
      <c r="E73" t="str">
        <f>"202103102060"</f>
        <v>202103102060</v>
      </c>
      <c r="F73" t="str">
        <f>"J-3238"</f>
        <v>J-3238</v>
      </c>
      <c r="G73" s="3">
        <v>250</v>
      </c>
      <c r="H73" t="str">
        <f>"J-3238"</f>
        <v>J-3238</v>
      </c>
    </row>
    <row r="74" spans="1:8" x14ac:dyDescent="0.25">
      <c r="E74" t="str">
        <f>"202103102064"</f>
        <v>202103102064</v>
      </c>
      <c r="F74" t="str">
        <f>"57-713"</f>
        <v>57-713</v>
      </c>
      <c r="G74" s="3">
        <v>250</v>
      </c>
      <c r="H74" t="str">
        <f>"57-713"</f>
        <v>57-713</v>
      </c>
    </row>
    <row r="75" spans="1:8" x14ac:dyDescent="0.25">
      <c r="E75" t="str">
        <f>"202103162175"</f>
        <v>202103162175</v>
      </c>
      <c r="F75" t="str">
        <f>"21-20606"</f>
        <v>21-20606</v>
      </c>
      <c r="G75" s="3">
        <v>100</v>
      </c>
      <c r="H75" t="str">
        <f>"21-20606"</f>
        <v>21-20606</v>
      </c>
    </row>
    <row r="76" spans="1:8" x14ac:dyDescent="0.25">
      <c r="E76" t="str">
        <f>"202103162176"</f>
        <v>202103162176</v>
      </c>
      <c r="F76" t="str">
        <f>"J-3238"</f>
        <v>J-3238</v>
      </c>
      <c r="G76" s="3">
        <v>250</v>
      </c>
      <c r="H76" t="str">
        <f>"J-3238"</f>
        <v>J-3238</v>
      </c>
    </row>
    <row r="77" spans="1:8" x14ac:dyDescent="0.25">
      <c r="E77" t="str">
        <f>"202103162177"</f>
        <v>202103162177</v>
      </c>
      <c r="F77" t="str">
        <f>"17-003"</f>
        <v>17-003</v>
      </c>
      <c r="G77" s="3">
        <v>400</v>
      </c>
      <c r="H77" t="str">
        <f>"17-003"</f>
        <v>17-003</v>
      </c>
    </row>
    <row r="78" spans="1:8" x14ac:dyDescent="0.25">
      <c r="E78" t="str">
        <f>"202103162178"</f>
        <v>202103162178</v>
      </c>
      <c r="F78" t="str">
        <f>"423-7699"</f>
        <v>423-7699</v>
      </c>
      <c r="G78" s="3">
        <v>100</v>
      </c>
      <c r="H78" t="str">
        <f>"423-7699"</f>
        <v>423-7699</v>
      </c>
    </row>
    <row r="79" spans="1:8" x14ac:dyDescent="0.25">
      <c r="E79" t="str">
        <f>"202103162179"</f>
        <v>202103162179</v>
      </c>
      <c r="F79" t="str">
        <f>"AC-2020-0728W"</f>
        <v>AC-2020-0728W</v>
      </c>
      <c r="G79" s="3">
        <v>400</v>
      </c>
      <c r="H79" t="str">
        <f>"AC-2020-0728W"</f>
        <v>AC-2020-0728W</v>
      </c>
    </row>
    <row r="80" spans="1:8" x14ac:dyDescent="0.25">
      <c r="E80" t="str">
        <f>"202103162191"</f>
        <v>202103162191</v>
      </c>
      <c r="F80" t="str">
        <f>"4110620-9"</f>
        <v>4110620-9</v>
      </c>
      <c r="G80" s="3">
        <v>100</v>
      </c>
      <c r="H80" t="str">
        <f>"4110620-9"</f>
        <v>4110620-9</v>
      </c>
    </row>
    <row r="81" spans="1:8" x14ac:dyDescent="0.25">
      <c r="E81" t="str">
        <f>"202103162233"</f>
        <v>202103162233</v>
      </c>
      <c r="F81" t="str">
        <f>"41011-20-50"</f>
        <v>41011-20-50</v>
      </c>
      <c r="G81" s="3">
        <v>400</v>
      </c>
      <c r="H81" t="str">
        <f>"41011-20-50"</f>
        <v>41011-20-50</v>
      </c>
    </row>
    <row r="82" spans="1:8" x14ac:dyDescent="0.25">
      <c r="A82" t="s">
        <v>20</v>
      </c>
      <c r="B82">
        <v>134934</v>
      </c>
      <c r="C82" s="3">
        <v>360</v>
      </c>
      <c r="D82" s="6">
        <v>44277</v>
      </c>
      <c r="E82" t="str">
        <f>"202103162235"</f>
        <v>202103162235</v>
      </c>
      <c r="F82" t="str">
        <f>"PER DIEM FOR 03/22-03/26"</f>
        <v>PER DIEM FOR 03/22-03/26</v>
      </c>
      <c r="G82" s="3">
        <v>225</v>
      </c>
      <c r="H82" t="str">
        <f>"PER DIEM FOR 03/22-03/26"</f>
        <v>PER DIEM FOR 03/22-03/26</v>
      </c>
    </row>
    <row r="83" spans="1:8" x14ac:dyDescent="0.25">
      <c r="E83" t="str">
        <f>"202103162238"</f>
        <v>202103162238</v>
      </c>
      <c r="F83" t="str">
        <f>"PER DIEM FOR 04/05-04/07"</f>
        <v>PER DIEM FOR 04/05-04/07</v>
      </c>
      <c r="G83" s="3">
        <v>135</v>
      </c>
      <c r="H83" t="str">
        <f>"PER DIEM FOR 04/05-04/07"</f>
        <v>PER DIEM FOR 04/05-04/07</v>
      </c>
    </row>
    <row r="84" spans="1:8" x14ac:dyDescent="0.25">
      <c r="A84" t="s">
        <v>21</v>
      </c>
      <c r="B84">
        <v>134797</v>
      </c>
      <c r="C84" s="3">
        <v>94.44</v>
      </c>
      <c r="D84" s="6">
        <v>44263</v>
      </c>
      <c r="E84" t="str">
        <f>"2102-334708"</f>
        <v>2102-334708</v>
      </c>
      <c r="F84" t="str">
        <f>"ACCT#3053/PCT#2"</f>
        <v>ACCT#3053/PCT#2</v>
      </c>
      <c r="G84" s="3">
        <v>94.44</v>
      </c>
      <c r="H84" t="str">
        <f>"ACCT#3053/PCT#2"</f>
        <v>ACCT#3053/PCT#2</v>
      </c>
    </row>
    <row r="85" spans="1:8" x14ac:dyDescent="0.25">
      <c r="A85" t="s">
        <v>21</v>
      </c>
      <c r="B85">
        <v>134935</v>
      </c>
      <c r="C85" s="3">
        <v>45.96</v>
      </c>
      <c r="D85" s="6">
        <v>44277</v>
      </c>
      <c r="E85" t="str">
        <f>"2103-22825"</f>
        <v>2103-22825</v>
      </c>
      <c r="F85" t="str">
        <f>"ACCT#3-3053/PCT#2"</f>
        <v>ACCT#3-3053/PCT#2</v>
      </c>
      <c r="G85" s="3">
        <v>45.96</v>
      </c>
      <c r="H85" t="str">
        <f>"ACCT#3-3053/PCT#2"</f>
        <v>ACCT#3-3053/PCT#2</v>
      </c>
    </row>
    <row r="86" spans="1:8" x14ac:dyDescent="0.25">
      <c r="A86" t="s">
        <v>22</v>
      </c>
      <c r="B86">
        <v>134798</v>
      </c>
      <c r="C86" s="3">
        <v>4642.78</v>
      </c>
      <c r="D86" s="6">
        <v>44263</v>
      </c>
      <c r="E86" t="str">
        <f>"88177"</f>
        <v>88177</v>
      </c>
      <c r="F86" t="str">
        <f>"VINE MONTHLY FEE"</f>
        <v>VINE MONTHLY FEE</v>
      </c>
      <c r="G86" s="3">
        <v>4642.78</v>
      </c>
      <c r="H86" t="str">
        <f>"VINE MONTHLY FEE"</f>
        <v>VINE MONTHLY FEE</v>
      </c>
    </row>
    <row r="87" spans="1:8" x14ac:dyDescent="0.25">
      <c r="A87" t="s">
        <v>23</v>
      </c>
      <c r="B87">
        <v>134799</v>
      </c>
      <c r="C87" s="3">
        <v>632.16999999999996</v>
      </c>
      <c r="D87" s="6">
        <v>44263</v>
      </c>
      <c r="E87" t="str">
        <f>"202103021920"</f>
        <v>202103021920</v>
      </c>
      <c r="F87" t="str">
        <f>"ACCT#014737/ANIMAL SERVICE"</f>
        <v>ACCT#014737/ANIMAL SERVICE</v>
      </c>
      <c r="G87" s="3">
        <v>54.99</v>
      </c>
      <c r="H87" t="str">
        <f>"ACCT#014737/ANIMAL SERVICE"</f>
        <v>ACCT#014737/ANIMAL SERVICE</v>
      </c>
    </row>
    <row r="88" spans="1:8" x14ac:dyDescent="0.25">
      <c r="E88" t="str">
        <f>"202103031940"</f>
        <v>202103031940</v>
      </c>
      <c r="F88" t="str">
        <f>"ACCT#012803/COUNTY JUDGE"</f>
        <v>ACCT#012803/COUNTY JUDGE</v>
      </c>
      <c r="G88" s="3">
        <v>9</v>
      </c>
      <c r="H88" t="str">
        <f>"ACCT#012803/COUNTY JUDGE"</f>
        <v>ACCT#012803/COUNTY JUDGE</v>
      </c>
    </row>
    <row r="89" spans="1:8" x14ac:dyDescent="0.25">
      <c r="E89" t="str">
        <f>"261194"</f>
        <v>261194</v>
      </c>
      <c r="F89" t="str">
        <f>"ACCT#011033/ IT"</f>
        <v>ACCT#011033/ IT</v>
      </c>
      <c r="G89" s="3">
        <v>10.5</v>
      </c>
      <c r="H89" t="str">
        <f>"ACCT#011033/ IT"</f>
        <v>ACCT#011033/ IT</v>
      </c>
    </row>
    <row r="90" spans="1:8" x14ac:dyDescent="0.25">
      <c r="E90" t="str">
        <f>"261216"</f>
        <v>261216</v>
      </c>
      <c r="F90" t="str">
        <f>"ACCT#010238/GENERAL SERVICES"</f>
        <v>ACCT#010238/GENERAL SERVICES</v>
      </c>
      <c r="G90" s="3">
        <v>65.739999999999995</v>
      </c>
      <c r="H90" t="str">
        <f>"ACCT#010238/GENERAL SERVICES"</f>
        <v>ACCT#010238/GENERAL SERVICES</v>
      </c>
    </row>
    <row r="91" spans="1:8" x14ac:dyDescent="0.25">
      <c r="E91" t="str">
        <f>"263948"</f>
        <v>263948</v>
      </c>
      <c r="F91" t="str">
        <f>"ACCT#014877/INGIGENT HEALTH"</f>
        <v>ACCT#014877/INGIGENT HEALTH</v>
      </c>
      <c r="G91" s="3">
        <v>40.49</v>
      </c>
      <c r="H91" t="str">
        <f>"ACCT#014877/INGIGENT HEALTH"</f>
        <v>ACCT#014877/INGIGENT HEALTH</v>
      </c>
    </row>
    <row r="92" spans="1:8" x14ac:dyDescent="0.25">
      <c r="E92" t="str">
        <f>"263949"</f>
        <v>263949</v>
      </c>
      <c r="F92" t="str">
        <f>"ACCT#012571/COUNTY CLERK"</f>
        <v>ACCT#012571/COUNTY CLERK</v>
      </c>
      <c r="G92" s="3">
        <v>39</v>
      </c>
      <c r="H92" t="str">
        <f>"ACCT#012571/COUNTY CLERK"</f>
        <v>ACCT#012571/COUNTY CLERK</v>
      </c>
    </row>
    <row r="93" spans="1:8" x14ac:dyDescent="0.25">
      <c r="E93" t="str">
        <f>"263950"</f>
        <v>263950</v>
      </c>
      <c r="F93" t="str">
        <f>"ACCT#010835/PCT#1"</f>
        <v>ACCT#010835/PCT#1</v>
      </c>
      <c r="G93" s="3">
        <v>65.98</v>
      </c>
      <c r="H93" t="str">
        <f>"ACCT#010835/PCT#1"</f>
        <v>ACCT#010835/PCT#1</v>
      </c>
    </row>
    <row r="94" spans="1:8" x14ac:dyDescent="0.25">
      <c r="E94" t="str">
        <f>"263953"</f>
        <v>263953</v>
      </c>
      <c r="F94" t="str">
        <f>"ACCT#015476/PURCHASING"</f>
        <v>ACCT#015476/PURCHASING</v>
      </c>
      <c r="G94" s="3">
        <v>44.99</v>
      </c>
      <c r="H94" t="str">
        <f>"ACCT#015476/PURCHASING"</f>
        <v>ACCT#015476/PURCHASING</v>
      </c>
    </row>
    <row r="95" spans="1:8" x14ac:dyDescent="0.25">
      <c r="E95" t="str">
        <f>"263957"</f>
        <v>263957</v>
      </c>
      <c r="F95" t="str">
        <f>"ACCT#013393/ HR"</f>
        <v>ACCT#013393/ HR</v>
      </c>
      <c r="G95" s="3">
        <v>27</v>
      </c>
      <c r="H95" t="str">
        <f>"ACCT#013393/ HR"</f>
        <v>ACCT#013393/ HR</v>
      </c>
    </row>
    <row r="96" spans="1:8" x14ac:dyDescent="0.25">
      <c r="E96" t="str">
        <f>"263961"</f>
        <v>263961</v>
      </c>
      <c r="F96" t="str">
        <f>"ACCT#012260/DISTRICT ATTNY"</f>
        <v>ACCT#012260/DISTRICT ATTNY</v>
      </c>
      <c r="G96" s="3">
        <v>52.5</v>
      </c>
      <c r="H96" t="str">
        <f>"ACCT#012260/DISTRICT ATTNY"</f>
        <v>ACCT#012260/DISTRICT ATTNY</v>
      </c>
    </row>
    <row r="97" spans="1:8" x14ac:dyDescent="0.25">
      <c r="E97" t="str">
        <f>"263962"</f>
        <v>263962</v>
      </c>
      <c r="F97" t="str">
        <f>"ACCT#011955/DISTRICT JUDGE"</f>
        <v>ACCT#011955/DISTRICT JUDGE</v>
      </c>
      <c r="G97" s="3">
        <v>48</v>
      </c>
      <c r="H97" t="str">
        <f>"ACCT#011955/DISTRICT JUDGE"</f>
        <v>ACCT#011955/DISTRICT JUDGE</v>
      </c>
    </row>
    <row r="98" spans="1:8" x14ac:dyDescent="0.25">
      <c r="E98" t="str">
        <f>"263963"</f>
        <v>263963</v>
      </c>
      <c r="F98" t="str">
        <f>"ACCT#012571/ELECTIONS"</f>
        <v>ACCT#012571/ELECTIONS</v>
      </c>
      <c r="G98" s="3">
        <v>17.5</v>
      </c>
      <c r="H98" t="str">
        <f>"ACCT#012571/ELECTIONS"</f>
        <v>ACCT#012571/ELECTIONS</v>
      </c>
    </row>
    <row r="99" spans="1:8" x14ac:dyDescent="0.25">
      <c r="E99" t="str">
        <f>"263965"</f>
        <v>263965</v>
      </c>
      <c r="F99" t="str">
        <f>"ACCT#012259/DISTRICT CLERK"</f>
        <v>ACCT#012259/DISTRICT CLERK</v>
      </c>
      <c r="G99" s="3">
        <v>16.5</v>
      </c>
      <c r="H99" t="str">
        <f>"ACCT#012259/DISTRICT CLERK"</f>
        <v>ACCT#012259/DISTRICT CLERK</v>
      </c>
    </row>
    <row r="100" spans="1:8" x14ac:dyDescent="0.25">
      <c r="E100" t="str">
        <f>"263971"</f>
        <v>263971</v>
      </c>
      <c r="F100" t="str">
        <f>"ACCT#010149/AG EXT"</f>
        <v>ACCT#010149/AG EXT</v>
      </c>
      <c r="G100" s="3">
        <v>93.98</v>
      </c>
      <c r="H100" t="str">
        <f>"ACCT#010149/AG EXT"</f>
        <v>ACCT#010149/AG EXT</v>
      </c>
    </row>
    <row r="101" spans="1:8" x14ac:dyDescent="0.25">
      <c r="E101" t="str">
        <f>"264720"</f>
        <v>264720</v>
      </c>
      <c r="F101" t="str">
        <f>"ACCT#010057/AUDITOR"</f>
        <v>ACCT#010057/AUDITOR</v>
      </c>
      <c r="G101" s="3">
        <v>9</v>
      </c>
      <c r="H101" t="str">
        <f>"ACCT#010057/AUDITOR"</f>
        <v>ACCT#010057/AUDITOR</v>
      </c>
    </row>
    <row r="102" spans="1:8" x14ac:dyDescent="0.25">
      <c r="E102" t="str">
        <f>"264766"</f>
        <v>264766</v>
      </c>
      <c r="F102" t="str">
        <f>"ACCT#010602/COMMISSIONERS"</f>
        <v>ACCT#010602/COMMISSIONERS</v>
      </c>
      <c r="G102" s="3">
        <v>9</v>
      </c>
      <c r="H102" t="str">
        <f>"ACCT#010602/COMMISSIONERS"</f>
        <v>ACCT#010602/COMMISSIONERS</v>
      </c>
    </row>
    <row r="103" spans="1:8" x14ac:dyDescent="0.25">
      <c r="E103" t="str">
        <f>"264941"</f>
        <v>264941</v>
      </c>
      <c r="F103" t="str">
        <f>"ACCT#012231/DISTRICT JUDGE"</f>
        <v>ACCT#012231/DISTRICT JUDGE</v>
      </c>
      <c r="G103" s="3">
        <v>10</v>
      </c>
      <c r="H103" t="str">
        <f>"ACCT#012231/DISTRICT JUDGE"</f>
        <v>ACCT#012231/DISTRICT JUDGE</v>
      </c>
    </row>
    <row r="104" spans="1:8" x14ac:dyDescent="0.25">
      <c r="E104" t="str">
        <f>"265341"</f>
        <v>265341</v>
      </c>
      <c r="F104" t="str">
        <f>"ACCT#015199/ JP#1"</f>
        <v>ACCT#015199/ JP#1</v>
      </c>
      <c r="G104" s="3">
        <v>9</v>
      </c>
      <c r="H104" t="str">
        <f>"ACCT#015199/ JP#1"</f>
        <v>ACCT#015199/ JP#1</v>
      </c>
    </row>
    <row r="105" spans="1:8" x14ac:dyDescent="0.25">
      <c r="E105" t="str">
        <f>"274987"</f>
        <v>274987</v>
      </c>
      <c r="F105" t="str">
        <f>"ACCT#012571/TREASURE"</f>
        <v>ACCT#012571/TREASURE</v>
      </c>
      <c r="G105" s="3">
        <v>9</v>
      </c>
      <c r="H105" t="str">
        <f>"ACCT#012571/TREASURE"</f>
        <v>ACCT#012571/TREASURE</v>
      </c>
    </row>
    <row r="106" spans="1:8" x14ac:dyDescent="0.25">
      <c r="A106" t="s">
        <v>24</v>
      </c>
      <c r="B106">
        <v>134788</v>
      </c>
      <c r="C106" s="3">
        <v>918.93</v>
      </c>
      <c r="D106" s="6">
        <v>44259</v>
      </c>
      <c r="E106" t="str">
        <f>"202103031969"</f>
        <v>202103031969</v>
      </c>
      <c r="F106" t="str">
        <f>"ACCT#0102120801 / 02012021"</f>
        <v>ACCT#0102120801 / 02012021</v>
      </c>
      <c r="G106" s="3">
        <v>40.75</v>
      </c>
      <c r="H106" t="str">
        <f>"ACCT#0102120801 / 02012021"</f>
        <v>ACCT#0102120801 / 02012021</v>
      </c>
    </row>
    <row r="107" spans="1:8" x14ac:dyDescent="0.25">
      <c r="E107" t="str">
        <f>"202103031970"</f>
        <v>202103031970</v>
      </c>
      <c r="F107" t="str">
        <f>"ACCT#0201855301 / 02012021"</f>
        <v>ACCT#0201855301 / 02012021</v>
      </c>
      <c r="G107" s="3">
        <v>35.590000000000003</v>
      </c>
      <c r="H107" t="str">
        <f>"AQUA WATER SUPPLY CORPORATION"</f>
        <v>AQUA WATER SUPPLY CORPORATION</v>
      </c>
    </row>
    <row r="108" spans="1:8" x14ac:dyDescent="0.25">
      <c r="E108" t="str">
        <f>"202103031971"</f>
        <v>202103031971</v>
      </c>
      <c r="F108" t="str">
        <f>"ACCT#201891401 / 02012021"</f>
        <v>ACCT#201891401 / 02012021</v>
      </c>
      <c r="G108" s="3">
        <v>18.95</v>
      </c>
      <c r="H108" t="str">
        <f>"AQUA WATER SUPPLY CORPORATION"</f>
        <v>AQUA WATER SUPPLY CORPORATION</v>
      </c>
    </row>
    <row r="109" spans="1:8" x14ac:dyDescent="0.25">
      <c r="E109" t="str">
        <f>"202103031972"</f>
        <v>202103031972</v>
      </c>
      <c r="F109" t="str">
        <f>"ACCT#0400785803 / 02012021"</f>
        <v>ACCT#0400785803 / 02012021</v>
      </c>
      <c r="G109" s="3">
        <v>222.24</v>
      </c>
      <c r="H109" t="str">
        <f>"AQUA WATER SUPPLY CORPORATION"</f>
        <v>AQUA WATER SUPPLY CORPORATION</v>
      </c>
    </row>
    <row r="110" spans="1:8" x14ac:dyDescent="0.25">
      <c r="E110" t="str">
        <f>"202103031973"</f>
        <v>202103031973</v>
      </c>
      <c r="F110" t="str">
        <f>"ACCT#0401408501 / 02012021"</f>
        <v>ACCT#0401408501 / 02012021</v>
      </c>
      <c r="G110" s="3">
        <v>517.57000000000005</v>
      </c>
      <c r="H110" t="str">
        <f>"AQUA WATER SUPPLY CORPORATION"</f>
        <v>AQUA WATER SUPPLY CORPORATION</v>
      </c>
    </row>
    <row r="111" spans="1:8" x14ac:dyDescent="0.25">
      <c r="E111" t="str">
        <f>"202103031974"</f>
        <v>202103031974</v>
      </c>
      <c r="F111" t="str">
        <f>"ACCT#0800042801 / 02012021"</f>
        <v>ACCT#0800042801 / 02012021</v>
      </c>
      <c r="G111" s="3">
        <v>58.55</v>
      </c>
      <c r="H111" t="str">
        <f>"AQUA WATER SUPPLY CORPORATION"</f>
        <v>AQUA WATER SUPPLY CORPORATION</v>
      </c>
    </row>
    <row r="112" spans="1:8" x14ac:dyDescent="0.25">
      <c r="E112" t="str">
        <f>"202103031975"</f>
        <v>202103031975</v>
      </c>
      <c r="F112" t="str">
        <f>"ACCT#0802361501 / 02012021"</f>
        <v>ACCT#0802361501 / 02012021</v>
      </c>
      <c r="G112" s="3">
        <v>25.28</v>
      </c>
      <c r="H112" t="str">
        <f>"ACCT#0802361501 / 02012021"</f>
        <v>ACCT#0802361501 / 02012021</v>
      </c>
    </row>
    <row r="113" spans="1:8" x14ac:dyDescent="0.25">
      <c r="A113" t="s">
        <v>24</v>
      </c>
      <c r="B113">
        <v>134800</v>
      </c>
      <c r="C113" s="3">
        <v>276.75</v>
      </c>
      <c r="D113" s="6">
        <v>44263</v>
      </c>
      <c r="E113" t="str">
        <f>"202103011837"</f>
        <v>202103011837</v>
      </c>
      <c r="F113" t="str">
        <f>"ACCT#7700010026/PCT#3"</f>
        <v>ACCT#7700010026/PCT#3</v>
      </c>
      <c r="G113" s="3">
        <v>276.75</v>
      </c>
      <c r="H113" t="str">
        <f>"ACCT#7700010026/PCT#3"</f>
        <v>ACCT#7700010026/PCT#3</v>
      </c>
    </row>
    <row r="114" spans="1:8" x14ac:dyDescent="0.25">
      <c r="A114" t="s">
        <v>24</v>
      </c>
      <c r="B114">
        <v>134936</v>
      </c>
      <c r="C114" s="3">
        <v>481.75</v>
      </c>
      <c r="D114" s="6">
        <v>44277</v>
      </c>
      <c r="E114" t="str">
        <f>"202103112083"</f>
        <v>202103112083</v>
      </c>
      <c r="F114" t="str">
        <f>"ACCT#7700010025/PCT#2"</f>
        <v>ACCT#7700010025/PCT#2</v>
      </c>
      <c r="G114" s="3">
        <v>112.75</v>
      </c>
      <c r="H114" t="str">
        <f>"ACCT#7700010025/PCT#2"</f>
        <v>ACCT#7700010025/PCT#2</v>
      </c>
    </row>
    <row r="115" spans="1:8" x14ac:dyDescent="0.25">
      <c r="E115" t="str">
        <f>"202103112085"</f>
        <v>202103112085</v>
      </c>
      <c r="F115" t="str">
        <f>"ACCT#7700010026/PCT#3"</f>
        <v>ACCT#7700010026/PCT#3</v>
      </c>
      <c r="G115" s="3">
        <v>317.75</v>
      </c>
      <c r="H115" t="str">
        <f>"ACCT#7700010026/PCT#3"</f>
        <v>ACCT#7700010026/PCT#3</v>
      </c>
    </row>
    <row r="116" spans="1:8" x14ac:dyDescent="0.25">
      <c r="E116" t="str">
        <f>"202103152158"</f>
        <v>202103152158</v>
      </c>
      <c r="F116" t="str">
        <f>"ACCT#7700010027/PCT#4"</f>
        <v>ACCT#7700010027/PCT#4</v>
      </c>
      <c r="G116" s="3">
        <v>51.25</v>
      </c>
      <c r="H116" t="str">
        <f>"ACCT#7700010027/PCT#4"</f>
        <v>ACCT#7700010027/PCT#4</v>
      </c>
    </row>
    <row r="117" spans="1:8" x14ac:dyDescent="0.25">
      <c r="A117" t="s">
        <v>24</v>
      </c>
      <c r="B117">
        <v>135089</v>
      </c>
      <c r="C117" s="3">
        <v>1110.72</v>
      </c>
      <c r="D117" s="6">
        <v>44280</v>
      </c>
      <c r="E117" t="str">
        <f>"202103252317"</f>
        <v>202103252317</v>
      </c>
      <c r="F117" t="str">
        <f>"ACCT#0102120801 / 03022021"</f>
        <v>ACCT#0102120801 / 03022021</v>
      </c>
      <c r="G117" s="3">
        <v>26.69</v>
      </c>
      <c r="H117" t="str">
        <f>"AQUA WATER SUPPLY CORPORATION"</f>
        <v>AQUA WATER SUPPLY CORPORATION</v>
      </c>
    </row>
    <row r="118" spans="1:8" x14ac:dyDescent="0.25">
      <c r="E118" t="str">
        <f>"202103252318"</f>
        <v>202103252318</v>
      </c>
      <c r="F118" t="str">
        <f>"ACCT#0400785803 / 03022021"</f>
        <v>ACCT#0400785803 / 03022021</v>
      </c>
      <c r="G118" s="3">
        <v>582.59</v>
      </c>
      <c r="H118" t="str">
        <f>"ACCT#0400785803 / 03022021"</f>
        <v>ACCT#0400785803 / 03022021</v>
      </c>
    </row>
    <row r="119" spans="1:8" x14ac:dyDescent="0.25">
      <c r="E119" t="str">
        <f>"202103252319"</f>
        <v>202103252319</v>
      </c>
      <c r="F119" t="str">
        <f>"ACCT#0401408501 / 03022021"</f>
        <v>ACCT#0401408501 / 03022021</v>
      </c>
      <c r="G119" s="3">
        <v>448.06</v>
      </c>
      <c r="H119" t="str">
        <f>"ACCT#0401408501 / 03022021"</f>
        <v>ACCT#0401408501 / 03022021</v>
      </c>
    </row>
    <row r="120" spans="1:8" x14ac:dyDescent="0.25">
      <c r="E120" t="str">
        <f>"202103252320"</f>
        <v>202103252320</v>
      </c>
      <c r="F120" t="str">
        <f>"ACCT#0800042801 / 03032021"</f>
        <v>ACCT#0800042801 / 03032021</v>
      </c>
      <c r="G120" s="3">
        <v>34.43</v>
      </c>
      <c r="H120" t="str">
        <f>"ACCT#0800042801 / 03032021"</f>
        <v>ACCT#0800042801 / 03032021</v>
      </c>
    </row>
    <row r="121" spans="1:8" x14ac:dyDescent="0.25">
      <c r="E121" t="str">
        <f>"202103252321"</f>
        <v>202103252321</v>
      </c>
      <c r="F121" t="str">
        <f>"ACCT#0802361501 / 03012021"</f>
        <v>ACCT#0802361501 / 03012021</v>
      </c>
      <c r="G121" s="3">
        <v>18.95</v>
      </c>
      <c r="H121" t="str">
        <f>"ACCT#0802361501 / 03012021"</f>
        <v>ACCT#0802361501 / 03012021</v>
      </c>
    </row>
    <row r="122" spans="1:8" x14ac:dyDescent="0.25">
      <c r="A122" t="s">
        <v>25</v>
      </c>
      <c r="B122">
        <v>134937</v>
      </c>
      <c r="C122" s="3">
        <v>132.44</v>
      </c>
      <c r="D122" s="6">
        <v>44277</v>
      </c>
      <c r="E122" t="str">
        <f>"4727*09011"</f>
        <v>4727*09011</v>
      </c>
      <c r="F122" t="str">
        <f>"JAIL MEDICAL"</f>
        <v>JAIL MEDICAL</v>
      </c>
      <c r="G122" s="3">
        <v>132.44</v>
      </c>
      <c r="H122" t="str">
        <f>"JAIL MEDICAL"</f>
        <v>JAIL MEDICAL</v>
      </c>
    </row>
    <row r="123" spans="1:8" x14ac:dyDescent="0.25">
      <c r="A123" t="s">
        <v>26</v>
      </c>
      <c r="B123">
        <v>134938</v>
      </c>
      <c r="C123" s="3">
        <v>1734.3</v>
      </c>
      <c r="D123" s="6">
        <v>44277</v>
      </c>
      <c r="E123" t="str">
        <f>"202103162202"</f>
        <v>202103162202</v>
      </c>
      <c r="F123" t="str">
        <f>"INDIGENT HEALTH"</f>
        <v>INDIGENT HEALTH</v>
      </c>
      <c r="G123" s="3">
        <v>1734.3</v>
      </c>
      <c r="H123" t="str">
        <f>"INDIGENT HEALTH"</f>
        <v>INDIGENT HEALTH</v>
      </c>
    </row>
    <row r="124" spans="1:8" x14ac:dyDescent="0.25">
      <c r="A124" t="s">
        <v>27</v>
      </c>
      <c r="B124">
        <v>134939</v>
      </c>
      <c r="C124" s="3">
        <v>15757.02</v>
      </c>
      <c r="D124" s="6">
        <v>44277</v>
      </c>
      <c r="E124" t="str">
        <f>"202103162203"</f>
        <v>202103162203</v>
      </c>
      <c r="F124" t="str">
        <f>"INDIGENT HEALTH"</f>
        <v>INDIGENT HEALTH</v>
      </c>
      <c r="G124" s="3">
        <v>15757.02</v>
      </c>
      <c r="H124" t="str">
        <f>"INDIGENT HEALTH"</f>
        <v>INDIGENT HEALTH</v>
      </c>
    </row>
    <row r="125" spans="1:8" x14ac:dyDescent="0.25">
      <c r="A125" t="s">
        <v>28</v>
      </c>
      <c r="B125">
        <v>134801</v>
      </c>
      <c r="C125" s="3">
        <v>225</v>
      </c>
      <c r="D125" s="6">
        <v>44263</v>
      </c>
      <c r="E125" t="str">
        <f>"202103021932"</f>
        <v>202103021932</v>
      </c>
      <c r="F125" t="str">
        <f>"PER DIEM"</f>
        <v>PER DIEM</v>
      </c>
      <c r="G125" s="3">
        <v>225</v>
      </c>
      <c r="H125" t="str">
        <f>"PER DIEM"</f>
        <v>PER DIEM</v>
      </c>
    </row>
    <row r="126" spans="1:8" x14ac:dyDescent="0.25">
      <c r="A126" t="s">
        <v>28</v>
      </c>
      <c r="B126">
        <v>134940</v>
      </c>
      <c r="C126" s="3">
        <v>135</v>
      </c>
      <c r="D126" s="6">
        <v>44277</v>
      </c>
      <c r="E126" t="str">
        <f>"202103162236"</f>
        <v>202103162236</v>
      </c>
      <c r="F126" t="str">
        <f>"PER DIEM FOR TRAINING"</f>
        <v>PER DIEM FOR TRAINING</v>
      </c>
      <c r="G126" s="3">
        <v>135</v>
      </c>
      <c r="H126" t="str">
        <f>"PER DIEM FOR TRAININ"</f>
        <v>PER DIEM FOR TRAININ</v>
      </c>
    </row>
    <row r="127" spans="1:8" x14ac:dyDescent="0.25">
      <c r="A127" t="s">
        <v>29</v>
      </c>
      <c r="B127">
        <v>134802</v>
      </c>
      <c r="C127" s="3">
        <v>166.5</v>
      </c>
      <c r="D127" s="6">
        <v>44263</v>
      </c>
      <c r="E127" t="str">
        <f>"202103021922"</f>
        <v>202103021922</v>
      </c>
      <c r="F127" t="str">
        <f>"PROPANE REIMBURSEMENT/A. HERM."</f>
        <v>PROPANE REIMBURSEMENT/A. HERM.</v>
      </c>
      <c r="G127" s="3">
        <v>166.5</v>
      </c>
      <c r="H127" t="str">
        <f>"PROPANE REIMBURSEMENT/A. HERM."</f>
        <v>PROPANE REIMBURSEMENT/A. HERM.</v>
      </c>
    </row>
    <row r="128" spans="1:8" x14ac:dyDescent="0.25">
      <c r="A128" t="s">
        <v>30</v>
      </c>
      <c r="B128">
        <v>134803</v>
      </c>
      <c r="C128" s="3">
        <v>4168.1899999999996</v>
      </c>
      <c r="D128" s="6">
        <v>44263</v>
      </c>
      <c r="E128" t="str">
        <f>"202103021923"</f>
        <v>202103021923</v>
      </c>
      <c r="F128" t="str">
        <f>"ACCT#512A49-00481933"</f>
        <v>ACCT#512A49-00481933</v>
      </c>
      <c r="G128" s="3">
        <v>4168.1899999999996</v>
      </c>
      <c r="H128" t="str">
        <f>"ACCT#512A49-00481933"</f>
        <v>ACCT#512A49-00481933</v>
      </c>
    </row>
    <row r="129" spans="1:8" x14ac:dyDescent="0.25">
      <c r="E129" t="str">
        <f>""</f>
        <v/>
      </c>
      <c r="F129" t="str">
        <f>""</f>
        <v/>
      </c>
      <c r="H129" t="str">
        <f>"ACCT#512A49-00481933"</f>
        <v>ACCT#512A49-00481933</v>
      </c>
    </row>
    <row r="130" spans="1:8" x14ac:dyDescent="0.25">
      <c r="E130" t="str">
        <f>""</f>
        <v/>
      </c>
      <c r="F130" t="str">
        <f>""</f>
        <v/>
      </c>
      <c r="H130" t="str">
        <f>"ACCT#512A49-00481933"</f>
        <v>ACCT#512A49-00481933</v>
      </c>
    </row>
    <row r="131" spans="1:8" x14ac:dyDescent="0.25">
      <c r="E131" t="str">
        <f>""</f>
        <v/>
      </c>
      <c r="F131" t="str">
        <f>""</f>
        <v/>
      </c>
      <c r="H131" t="str">
        <f>"ACCT#512A49-00481933"</f>
        <v>ACCT#512A49-00481933</v>
      </c>
    </row>
    <row r="132" spans="1:8" x14ac:dyDescent="0.25">
      <c r="A132" t="s">
        <v>30</v>
      </c>
      <c r="B132">
        <v>134804</v>
      </c>
      <c r="C132" s="3">
        <v>2347.44</v>
      </c>
      <c r="D132" s="6">
        <v>44263</v>
      </c>
      <c r="E132" t="str">
        <f>"2779720604"</f>
        <v>2779720604</v>
      </c>
      <c r="F132" t="str">
        <f>"ACCT#8310009850451"</f>
        <v>ACCT#8310009850451</v>
      </c>
      <c r="G132" s="3">
        <v>2347.44</v>
      </c>
      <c r="H132" t="str">
        <f>"ACCT#8310009850451"</f>
        <v>ACCT#8310009850451</v>
      </c>
    </row>
    <row r="133" spans="1:8" x14ac:dyDescent="0.25">
      <c r="A133" t="s">
        <v>30</v>
      </c>
      <c r="B133">
        <v>134941</v>
      </c>
      <c r="C133" s="3">
        <v>1232.26</v>
      </c>
      <c r="D133" s="6">
        <v>44277</v>
      </c>
      <c r="E133" t="str">
        <f>"202103162231"</f>
        <v>202103162231</v>
      </c>
      <c r="F133" t="str">
        <f>"ACCT#51230898705307"</f>
        <v>ACCT#51230898705307</v>
      </c>
      <c r="G133" s="3">
        <v>1232.26</v>
      </c>
      <c r="H133" t="str">
        <f>"ACCT#51230898705307"</f>
        <v>ACCT#51230898705307</v>
      </c>
    </row>
    <row r="134" spans="1:8" x14ac:dyDescent="0.25">
      <c r="A134" t="s">
        <v>30</v>
      </c>
      <c r="B134">
        <v>134942</v>
      </c>
      <c r="C134" s="3">
        <v>425</v>
      </c>
      <c r="D134" s="6">
        <v>44277</v>
      </c>
      <c r="E134" t="str">
        <f>"379165"</f>
        <v>379165</v>
      </c>
      <c r="F134" t="str">
        <f>"INV 379165"</f>
        <v>INV 379165</v>
      </c>
      <c r="G134" s="3">
        <v>425</v>
      </c>
      <c r="H134" t="str">
        <f>"INV 379165"</f>
        <v>INV 379165</v>
      </c>
    </row>
    <row r="135" spans="1:8" x14ac:dyDescent="0.25">
      <c r="A135" t="s">
        <v>30</v>
      </c>
      <c r="B135">
        <v>134943</v>
      </c>
      <c r="C135" s="3">
        <v>4559.32</v>
      </c>
      <c r="D135" s="6">
        <v>44277</v>
      </c>
      <c r="E135" t="str">
        <f>"3020740606"</f>
        <v>3020740606</v>
      </c>
      <c r="F135" t="str">
        <f>"ACCT#831-000-7218-923"</f>
        <v>ACCT#831-000-7218-923</v>
      </c>
      <c r="G135" s="3">
        <v>874.25</v>
      </c>
      <c r="H135" t="str">
        <f>"ACCT#831-000-7218-923"</f>
        <v>ACCT#831-000-7218-923</v>
      </c>
    </row>
    <row r="136" spans="1:8" x14ac:dyDescent="0.25">
      <c r="E136" t="str">
        <f>"5120900602"</f>
        <v>5120900602</v>
      </c>
      <c r="F136" t="str">
        <f>"ACCT#831-000-6084-095"</f>
        <v>ACCT#831-000-6084-095</v>
      </c>
      <c r="G136" s="3">
        <v>1684.69</v>
      </c>
      <c r="H136" t="str">
        <f>"ACCT#831-000-6084-095"</f>
        <v>ACCT#831-000-6084-095</v>
      </c>
    </row>
    <row r="137" spans="1:8" x14ac:dyDescent="0.25">
      <c r="E137" t="str">
        <f>"6190860601"</f>
        <v>6190860601</v>
      </c>
      <c r="F137" t="str">
        <f>"ACCT#831-000-7919-623"</f>
        <v>ACCT#831-000-7919-623</v>
      </c>
      <c r="G137" s="3">
        <v>2000.38</v>
      </c>
      <c r="H137" t="str">
        <f>"ACCT#831-000-7919-623"</f>
        <v>ACCT#831-000-7919-623</v>
      </c>
    </row>
    <row r="138" spans="1:8" x14ac:dyDescent="0.25">
      <c r="A138" t="s">
        <v>31</v>
      </c>
      <c r="B138">
        <v>134805</v>
      </c>
      <c r="C138" s="3">
        <v>5701.59</v>
      </c>
      <c r="D138" s="6">
        <v>44263</v>
      </c>
      <c r="E138" t="str">
        <f>"202103021915"</f>
        <v>202103021915</v>
      </c>
      <c r="F138" t="str">
        <f>"ACCT#287290524359"</f>
        <v>ACCT#287290524359</v>
      </c>
      <c r="G138" s="3">
        <v>3993.34</v>
      </c>
      <c r="H138" t="str">
        <f t="shared" ref="H138:H145" si="2">"ACCT#287290524359"</f>
        <v>ACCT#287290524359</v>
      </c>
    </row>
    <row r="139" spans="1:8" x14ac:dyDescent="0.25">
      <c r="E139" t="str">
        <f>""</f>
        <v/>
      </c>
      <c r="F139" t="str">
        <f>""</f>
        <v/>
      </c>
      <c r="H139" t="str">
        <f t="shared" si="2"/>
        <v>ACCT#287290524359</v>
      </c>
    </row>
    <row r="140" spans="1:8" x14ac:dyDescent="0.25">
      <c r="E140" t="str">
        <f>""</f>
        <v/>
      </c>
      <c r="F140" t="str">
        <f>""</f>
        <v/>
      </c>
      <c r="H140" t="str">
        <f t="shared" si="2"/>
        <v>ACCT#287290524359</v>
      </c>
    </row>
    <row r="141" spans="1:8" x14ac:dyDescent="0.25">
      <c r="E141" t="str">
        <f>""</f>
        <v/>
      </c>
      <c r="F141" t="str">
        <f>""</f>
        <v/>
      </c>
      <c r="H141" t="str">
        <f t="shared" si="2"/>
        <v>ACCT#287290524359</v>
      </c>
    </row>
    <row r="142" spans="1:8" x14ac:dyDescent="0.25">
      <c r="E142" t="str">
        <f>""</f>
        <v/>
      </c>
      <c r="F142" t="str">
        <f>""</f>
        <v/>
      </c>
      <c r="H142" t="str">
        <f t="shared" si="2"/>
        <v>ACCT#287290524359</v>
      </c>
    </row>
    <row r="143" spans="1:8" x14ac:dyDescent="0.25">
      <c r="E143" t="str">
        <f>""</f>
        <v/>
      </c>
      <c r="F143" t="str">
        <f>""</f>
        <v/>
      </c>
      <c r="H143" t="str">
        <f t="shared" si="2"/>
        <v>ACCT#287290524359</v>
      </c>
    </row>
    <row r="144" spans="1:8" x14ac:dyDescent="0.25">
      <c r="E144" t="str">
        <f>""</f>
        <v/>
      </c>
      <c r="F144" t="str">
        <f>""</f>
        <v/>
      </c>
      <c r="H144" t="str">
        <f t="shared" si="2"/>
        <v>ACCT#287290524359</v>
      </c>
    </row>
    <row r="145" spans="5:8" x14ac:dyDescent="0.25">
      <c r="E145" t="str">
        <f>""</f>
        <v/>
      </c>
      <c r="F145" t="str">
        <f>""</f>
        <v/>
      </c>
      <c r="H145" t="str">
        <f t="shared" si="2"/>
        <v>ACCT#287290524359</v>
      </c>
    </row>
    <row r="146" spans="5:8" x14ac:dyDescent="0.25">
      <c r="E146" t="str">
        <f>"202103021930"</f>
        <v>202103021930</v>
      </c>
      <c r="F146" t="str">
        <f>"INV 287280903541X02202021"</f>
        <v>INV 287280903541X02202021</v>
      </c>
      <c r="G146" s="3">
        <v>265.36</v>
      </c>
      <c r="H146" t="str">
        <f>"INV 287280903541X02202021"</f>
        <v>INV 287280903541X02202021</v>
      </c>
    </row>
    <row r="147" spans="5:8" x14ac:dyDescent="0.25">
      <c r="E147" t="str">
        <f>"287263291654"</f>
        <v>287263291654</v>
      </c>
      <c r="F147" t="str">
        <f>"ACCT#287263291654"</f>
        <v>ACCT#287263291654</v>
      </c>
      <c r="G147" s="3">
        <v>1442.89</v>
      </c>
      <c r="H147" t="str">
        <f t="shared" ref="H147:H163" si="3">"ACCT#287263291654"</f>
        <v>ACCT#287263291654</v>
      </c>
    </row>
    <row r="148" spans="5:8" x14ac:dyDescent="0.25">
      <c r="E148" t="str">
        <f>""</f>
        <v/>
      </c>
      <c r="F148" t="str">
        <f>""</f>
        <v/>
      </c>
      <c r="H148" t="str">
        <f t="shared" si="3"/>
        <v>ACCT#287263291654</v>
      </c>
    </row>
    <row r="149" spans="5:8" x14ac:dyDescent="0.25">
      <c r="E149" t="str">
        <f>""</f>
        <v/>
      </c>
      <c r="F149" t="str">
        <f>""</f>
        <v/>
      </c>
      <c r="H149" t="str">
        <f t="shared" si="3"/>
        <v>ACCT#287263291654</v>
      </c>
    </row>
    <row r="150" spans="5:8" x14ac:dyDescent="0.25">
      <c r="E150" t="str">
        <f>""</f>
        <v/>
      </c>
      <c r="F150" t="str">
        <f>""</f>
        <v/>
      </c>
      <c r="H150" t="str">
        <f t="shared" si="3"/>
        <v>ACCT#287263291654</v>
      </c>
    </row>
    <row r="151" spans="5:8" x14ac:dyDescent="0.25">
      <c r="E151" t="str">
        <f>""</f>
        <v/>
      </c>
      <c r="F151" t="str">
        <f>""</f>
        <v/>
      </c>
      <c r="H151" t="str">
        <f t="shared" si="3"/>
        <v>ACCT#287263291654</v>
      </c>
    </row>
    <row r="152" spans="5:8" x14ac:dyDescent="0.25">
      <c r="E152" t="str">
        <f>""</f>
        <v/>
      </c>
      <c r="F152" t="str">
        <f>""</f>
        <v/>
      </c>
      <c r="H152" t="str">
        <f t="shared" si="3"/>
        <v>ACCT#287263291654</v>
      </c>
    </row>
    <row r="153" spans="5:8" x14ac:dyDescent="0.25">
      <c r="E153" t="str">
        <f>""</f>
        <v/>
      </c>
      <c r="F153" t="str">
        <f>""</f>
        <v/>
      </c>
      <c r="H153" t="str">
        <f t="shared" si="3"/>
        <v>ACCT#287263291654</v>
      </c>
    </row>
    <row r="154" spans="5:8" x14ac:dyDescent="0.25">
      <c r="E154" t="str">
        <f>""</f>
        <v/>
      </c>
      <c r="F154" t="str">
        <f>""</f>
        <v/>
      </c>
      <c r="H154" t="str">
        <f t="shared" si="3"/>
        <v>ACCT#287263291654</v>
      </c>
    </row>
    <row r="155" spans="5:8" x14ac:dyDescent="0.25">
      <c r="E155" t="str">
        <f>""</f>
        <v/>
      </c>
      <c r="F155" t="str">
        <f>""</f>
        <v/>
      </c>
      <c r="H155" t="str">
        <f t="shared" si="3"/>
        <v>ACCT#287263291654</v>
      </c>
    </row>
    <row r="156" spans="5:8" x14ac:dyDescent="0.25">
      <c r="E156" t="str">
        <f>""</f>
        <v/>
      </c>
      <c r="F156" t="str">
        <f>""</f>
        <v/>
      </c>
      <c r="H156" t="str">
        <f t="shared" si="3"/>
        <v>ACCT#287263291654</v>
      </c>
    </row>
    <row r="157" spans="5:8" x14ac:dyDescent="0.25">
      <c r="E157" t="str">
        <f>""</f>
        <v/>
      </c>
      <c r="F157" t="str">
        <f>""</f>
        <v/>
      </c>
      <c r="H157" t="str">
        <f t="shared" si="3"/>
        <v>ACCT#287263291654</v>
      </c>
    </row>
    <row r="158" spans="5:8" x14ac:dyDescent="0.25">
      <c r="E158" t="str">
        <f>""</f>
        <v/>
      </c>
      <c r="F158" t="str">
        <f>""</f>
        <v/>
      </c>
      <c r="H158" t="str">
        <f t="shared" si="3"/>
        <v>ACCT#287263291654</v>
      </c>
    </row>
    <row r="159" spans="5:8" x14ac:dyDescent="0.25">
      <c r="E159" t="str">
        <f>""</f>
        <v/>
      </c>
      <c r="F159" t="str">
        <f>""</f>
        <v/>
      </c>
      <c r="H159" t="str">
        <f t="shared" si="3"/>
        <v>ACCT#287263291654</v>
      </c>
    </row>
    <row r="160" spans="5:8" x14ac:dyDescent="0.25">
      <c r="E160" t="str">
        <f>""</f>
        <v/>
      </c>
      <c r="F160" t="str">
        <f>""</f>
        <v/>
      </c>
      <c r="H160" t="str">
        <f t="shared" si="3"/>
        <v>ACCT#287263291654</v>
      </c>
    </row>
    <row r="161" spans="1:8" x14ac:dyDescent="0.25">
      <c r="E161" t="str">
        <f>""</f>
        <v/>
      </c>
      <c r="F161" t="str">
        <f>""</f>
        <v/>
      </c>
      <c r="H161" t="str">
        <f t="shared" si="3"/>
        <v>ACCT#287263291654</v>
      </c>
    </row>
    <row r="162" spans="1:8" x14ac:dyDescent="0.25">
      <c r="E162" t="str">
        <f>""</f>
        <v/>
      </c>
      <c r="F162" t="str">
        <f>""</f>
        <v/>
      </c>
      <c r="H162" t="str">
        <f t="shared" si="3"/>
        <v>ACCT#287263291654</v>
      </c>
    </row>
    <row r="163" spans="1:8" x14ac:dyDescent="0.25">
      <c r="E163" t="str">
        <f>""</f>
        <v/>
      </c>
      <c r="F163" t="str">
        <f>""</f>
        <v/>
      </c>
      <c r="H163" t="str">
        <f t="shared" si="3"/>
        <v>ACCT#287263291654</v>
      </c>
    </row>
    <row r="164" spans="1:8" x14ac:dyDescent="0.25">
      <c r="A164" t="s">
        <v>32</v>
      </c>
      <c r="B164">
        <v>134806</v>
      </c>
      <c r="C164" s="3">
        <v>54.99</v>
      </c>
      <c r="D164" s="6">
        <v>44263</v>
      </c>
      <c r="E164" t="str">
        <f>"202103021921"</f>
        <v>202103021921</v>
      </c>
      <c r="F164" t="str">
        <f>"MELOXICAN/AMIMAL SHELTER"</f>
        <v>MELOXICAN/AMIMAL SHELTER</v>
      </c>
      <c r="G164" s="3">
        <v>54.99</v>
      </c>
      <c r="H164" t="str">
        <f>"MELOXICAN/AMIMAL SHELTER"</f>
        <v>MELOXICAN/AMIMAL SHELTER</v>
      </c>
    </row>
    <row r="165" spans="1:8" x14ac:dyDescent="0.25">
      <c r="A165" t="s">
        <v>32</v>
      </c>
      <c r="B165">
        <v>134944</v>
      </c>
      <c r="C165" s="3">
        <v>109.98</v>
      </c>
      <c r="D165" s="6">
        <v>44277</v>
      </c>
      <c r="E165" t="str">
        <f>"99999901711253"</f>
        <v>99999901711253</v>
      </c>
      <c r="F165" t="str">
        <f>"MELOXICAM/ANIMAL SHELTER"</f>
        <v>MELOXICAM/ANIMAL SHELTER</v>
      </c>
      <c r="G165" s="3">
        <v>54.99</v>
      </c>
      <c r="H165" t="str">
        <f>"MELOXICAM/ANIMAL SHELTER"</f>
        <v>MELOXICAM/ANIMAL SHELTER</v>
      </c>
    </row>
    <row r="166" spans="1:8" x14ac:dyDescent="0.25">
      <c r="E166" t="str">
        <f>"99999901720583"</f>
        <v>99999901720583</v>
      </c>
      <c r="F166" t="str">
        <f>"MELOXICAM/ANIMAL SHELTER"</f>
        <v>MELOXICAM/ANIMAL SHELTER</v>
      </c>
      <c r="G166" s="3">
        <v>54.99</v>
      </c>
      <c r="H166" t="str">
        <f>"MELOXICAM/ANIMAL SHELTER"</f>
        <v>MELOXICAM/ANIMAL SHELTER</v>
      </c>
    </row>
    <row r="167" spans="1:8" x14ac:dyDescent="0.25">
      <c r="A167" t="s">
        <v>33</v>
      </c>
      <c r="B167">
        <v>4132</v>
      </c>
      <c r="C167" s="3">
        <v>110.93</v>
      </c>
      <c r="D167" s="6">
        <v>44278</v>
      </c>
      <c r="E167" t="str">
        <f>"3839"</f>
        <v>3839</v>
      </c>
      <c r="F167" t="str">
        <f>"BALL VALVE/PCT#2"</f>
        <v>BALL VALVE/PCT#2</v>
      </c>
      <c r="G167" s="3">
        <v>110.93</v>
      </c>
      <c r="H167" t="str">
        <f>"BALL VALVE/PCT#2"</f>
        <v>BALL VALVE/PCT#2</v>
      </c>
    </row>
    <row r="168" spans="1:8" x14ac:dyDescent="0.25">
      <c r="A168" t="s">
        <v>34</v>
      </c>
      <c r="B168">
        <v>134807</v>
      </c>
      <c r="C168" s="3">
        <v>78.23</v>
      </c>
      <c r="D168" s="6">
        <v>44263</v>
      </c>
      <c r="E168" t="str">
        <f>"202103011835"</f>
        <v>202103011835</v>
      </c>
      <c r="F168" t="str">
        <f>"FOOD FOR WINTER STORM/PCT#3"</f>
        <v>FOOD FOR WINTER STORM/PCT#3</v>
      </c>
      <c r="G168" s="3">
        <v>78.23</v>
      </c>
      <c r="H168" t="str">
        <f>"FOOD FOR WINTER STORM/PCT#3"</f>
        <v>FOOD FOR WINTER STORM/PCT#3</v>
      </c>
    </row>
    <row r="169" spans="1:8" x14ac:dyDescent="0.25">
      <c r="A169" t="s">
        <v>35</v>
      </c>
      <c r="B169">
        <v>134945</v>
      </c>
      <c r="C169" s="3">
        <v>89.14</v>
      </c>
      <c r="D169" s="6">
        <v>44277</v>
      </c>
      <c r="E169" t="str">
        <f>"4714*156*1"</f>
        <v>4714*156*1</v>
      </c>
      <c r="F169" t="str">
        <f>"JAIL MEDICAL"</f>
        <v>JAIL MEDICAL</v>
      </c>
      <c r="G169" s="3">
        <v>89.14</v>
      </c>
      <c r="H169" t="str">
        <f>"JAIL MEDICAL"</f>
        <v>JAIL MEDICAL</v>
      </c>
    </row>
    <row r="170" spans="1:8" x14ac:dyDescent="0.25">
      <c r="A170" t="s">
        <v>36</v>
      </c>
      <c r="B170">
        <v>134808</v>
      </c>
      <c r="C170" s="3">
        <v>813.75</v>
      </c>
      <c r="D170" s="6">
        <v>44263</v>
      </c>
      <c r="E170" t="str">
        <f>"211078"</f>
        <v>211078</v>
      </c>
      <c r="F170" t="str">
        <f>"INV 211078"</f>
        <v>INV 211078</v>
      </c>
      <c r="G170" s="3">
        <v>813.75</v>
      </c>
      <c r="H170" t="str">
        <f>"INV 211078"</f>
        <v>INV 211078</v>
      </c>
    </row>
    <row r="171" spans="1:8" x14ac:dyDescent="0.25">
      <c r="A171" t="s">
        <v>37</v>
      </c>
      <c r="B171">
        <v>134946</v>
      </c>
      <c r="C171" s="3">
        <v>25.28</v>
      </c>
      <c r="D171" s="6">
        <v>44277</v>
      </c>
      <c r="E171" t="str">
        <f>"4776*98058*1"</f>
        <v>4776*98058*1</v>
      </c>
      <c r="F171" t="str">
        <f>"JAIL MEDICAL"</f>
        <v>JAIL MEDICAL</v>
      </c>
      <c r="G171" s="3">
        <v>25.28</v>
      </c>
      <c r="H171" t="str">
        <f>"JAIL MEDICAL"</f>
        <v>JAIL MEDICAL</v>
      </c>
    </row>
    <row r="172" spans="1:8" x14ac:dyDescent="0.25">
      <c r="A172" t="s">
        <v>38</v>
      </c>
      <c r="B172">
        <v>4107</v>
      </c>
      <c r="C172" s="3">
        <v>450</v>
      </c>
      <c r="D172" s="6">
        <v>44278</v>
      </c>
      <c r="E172" t="str">
        <f>"2192"</f>
        <v>2192</v>
      </c>
      <c r="F172" t="str">
        <f>"2018-MCF-03"</f>
        <v>2018-MCF-03</v>
      </c>
      <c r="G172" s="3">
        <v>450</v>
      </c>
      <c r="H172" t="str">
        <f>"2018-MCF-03"</f>
        <v>2018-MCF-03</v>
      </c>
    </row>
    <row r="173" spans="1:8" x14ac:dyDescent="0.25">
      <c r="A173" t="s">
        <v>39</v>
      </c>
      <c r="B173">
        <v>134947</v>
      </c>
      <c r="C173" s="3">
        <v>8.4499999999999993</v>
      </c>
      <c r="D173" s="6">
        <v>44277</v>
      </c>
      <c r="E173" t="str">
        <f>"150893"</f>
        <v>150893</v>
      </c>
      <c r="F173" t="str">
        <f>"INV 150893"</f>
        <v>INV 150893</v>
      </c>
      <c r="G173" s="3">
        <v>8.4499999999999993</v>
      </c>
      <c r="H173" t="str">
        <f>"INV 150893"</f>
        <v>INV 150893</v>
      </c>
    </row>
    <row r="174" spans="1:8" x14ac:dyDescent="0.25">
      <c r="A174" t="s">
        <v>40</v>
      </c>
      <c r="B174">
        <v>4070</v>
      </c>
      <c r="C174" s="3">
        <v>349</v>
      </c>
      <c r="D174" s="6">
        <v>44264</v>
      </c>
      <c r="E174" t="str">
        <f>"30009"</f>
        <v>30009</v>
      </c>
      <c r="F174" t="str">
        <f>"CUST#0010/PCT#2"</f>
        <v>CUST#0010/PCT#2</v>
      </c>
      <c r="G174" s="3">
        <v>228</v>
      </c>
      <c r="H174" t="str">
        <f>"CUST#0010/PCT#2"</f>
        <v>CUST#0010/PCT#2</v>
      </c>
    </row>
    <row r="175" spans="1:8" x14ac:dyDescent="0.25">
      <c r="E175" t="str">
        <f>"380089"</f>
        <v>380089</v>
      </c>
      <c r="F175" t="str">
        <f>"CUST#0011/PCT#3"</f>
        <v>CUST#0011/PCT#3</v>
      </c>
      <c r="G175" s="3">
        <v>121</v>
      </c>
      <c r="H175" t="str">
        <f>"CUST#0011/PCT#3"</f>
        <v>CUST#0011/PCT#3</v>
      </c>
    </row>
    <row r="176" spans="1:8" x14ac:dyDescent="0.25">
      <c r="A176" t="s">
        <v>40</v>
      </c>
      <c r="B176">
        <v>4136</v>
      </c>
      <c r="C176" s="3">
        <v>1865.43</v>
      </c>
      <c r="D176" s="6">
        <v>44278</v>
      </c>
      <c r="E176" t="str">
        <f>"380090"</f>
        <v>380090</v>
      </c>
      <c r="F176" t="str">
        <f>"CUST#0009/PCT#1"</f>
        <v>CUST#0009/PCT#1</v>
      </c>
      <c r="G176" s="3">
        <v>1865.43</v>
      </c>
      <c r="H176" t="str">
        <f>"CUST#0009/PCT#1"</f>
        <v>CUST#0009/PCT#1</v>
      </c>
    </row>
    <row r="177" spans="1:8" x14ac:dyDescent="0.25">
      <c r="A177" t="s">
        <v>41</v>
      </c>
      <c r="B177">
        <v>4099</v>
      </c>
      <c r="C177" s="3">
        <v>3750</v>
      </c>
      <c r="D177" s="6">
        <v>44278</v>
      </c>
      <c r="E177" t="str">
        <f>"1626"</f>
        <v>1626</v>
      </c>
      <c r="F177" t="str">
        <f>"RIVERSIDE EAST/PCT#1"</f>
        <v>RIVERSIDE EAST/PCT#1</v>
      </c>
      <c r="G177" s="3">
        <v>800</v>
      </c>
      <c r="H177" t="str">
        <f>"RIVERSIDE EAST/PCT#1"</f>
        <v>RIVERSIDE EAST/PCT#1</v>
      </c>
    </row>
    <row r="178" spans="1:8" x14ac:dyDescent="0.25">
      <c r="E178" t="str">
        <f>"1627"</f>
        <v>1627</v>
      </c>
      <c r="F178" t="str">
        <f>"CONCRETE DRAIN/ULUPAU/PCT#1"</f>
        <v>CONCRETE DRAIN/ULUPAU/PCT#1</v>
      </c>
      <c r="G178" s="3">
        <v>2950</v>
      </c>
      <c r="H178" t="str">
        <f>"CONCRETE DRAIN/ULUPAU/PCT#1"</f>
        <v>CONCRETE DRAIN/ULUPAU/PCT#1</v>
      </c>
    </row>
    <row r="179" spans="1:8" x14ac:dyDescent="0.25">
      <c r="A179" t="s">
        <v>42</v>
      </c>
      <c r="B179">
        <v>134809</v>
      </c>
      <c r="C179" s="3">
        <v>154634.20000000001</v>
      </c>
      <c r="D179" s="6">
        <v>44263</v>
      </c>
      <c r="E179" t="str">
        <f>"202103011847"</f>
        <v>202103011847</v>
      </c>
      <c r="F179" t="str">
        <f>"2ND QUARTER"</f>
        <v>2ND QUARTER</v>
      </c>
      <c r="G179" s="3">
        <v>154634.20000000001</v>
      </c>
      <c r="H179" t="str">
        <f>"2ND QUARTER"</f>
        <v>2ND QUARTER</v>
      </c>
    </row>
    <row r="180" spans="1:8" x14ac:dyDescent="0.25">
      <c r="A180" t="s">
        <v>43</v>
      </c>
      <c r="B180">
        <v>134948</v>
      </c>
      <c r="C180" s="3">
        <v>3482</v>
      </c>
      <c r="D180" s="6">
        <v>44277</v>
      </c>
      <c r="E180" t="str">
        <f>"11-378"</f>
        <v>11-378</v>
      </c>
      <c r="F180" t="str">
        <f t="shared" ref="F180:F211" si="4">"SERVICE"</f>
        <v>SERVICE</v>
      </c>
      <c r="G180" s="3">
        <v>266</v>
      </c>
      <c r="H180" t="str">
        <f t="shared" ref="H180:H211" si="5">"SERVICE"</f>
        <v>SERVICE</v>
      </c>
    </row>
    <row r="181" spans="1:8" x14ac:dyDescent="0.25">
      <c r="E181" t="str">
        <f>"12205-3/22/2021"</f>
        <v>12205-3/22/2021</v>
      </c>
      <c r="F181" t="str">
        <f t="shared" si="4"/>
        <v>SERVICE</v>
      </c>
      <c r="G181" s="3">
        <v>25</v>
      </c>
      <c r="H181" t="str">
        <f t="shared" si="5"/>
        <v>SERVICE</v>
      </c>
    </row>
    <row r="182" spans="1:8" x14ac:dyDescent="0.25">
      <c r="E182" t="str">
        <f>"12418"</f>
        <v>12418</v>
      </c>
      <c r="F182" t="str">
        <f t="shared" si="4"/>
        <v>SERVICE</v>
      </c>
      <c r="G182" s="3">
        <v>250</v>
      </c>
      <c r="H182" t="str">
        <f t="shared" si="5"/>
        <v>SERVICE</v>
      </c>
    </row>
    <row r="183" spans="1:8" x14ac:dyDescent="0.25">
      <c r="E183" t="str">
        <f>"12766-3-11-21"</f>
        <v>12766-3-11-21</v>
      </c>
      <c r="F183" t="str">
        <f t="shared" si="4"/>
        <v>SERVICE</v>
      </c>
      <c r="G183" s="3">
        <v>150</v>
      </c>
      <c r="H183" t="str">
        <f t="shared" si="5"/>
        <v>SERVICE</v>
      </c>
    </row>
    <row r="184" spans="1:8" x14ac:dyDescent="0.25">
      <c r="E184" t="str">
        <f>"13090"</f>
        <v>13090</v>
      </c>
      <c r="F184" t="str">
        <f t="shared" si="4"/>
        <v>SERVICE</v>
      </c>
      <c r="G184" s="3">
        <v>75</v>
      </c>
      <c r="H184" t="str">
        <f t="shared" si="5"/>
        <v>SERVICE</v>
      </c>
    </row>
    <row r="185" spans="1:8" x14ac:dyDescent="0.25">
      <c r="E185" t="str">
        <f>"13099"</f>
        <v>13099</v>
      </c>
      <c r="F185" t="str">
        <f t="shared" si="4"/>
        <v>SERVICE</v>
      </c>
      <c r="G185" s="3">
        <v>150</v>
      </c>
      <c r="H185" t="str">
        <f t="shared" si="5"/>
        <v>SERVICE</v>
      </c>
    </row>
    <row r="186" spans="1:8" x14ac:dyDescent="0.25">
      <c r="E186" t="str">
        <f>"13148"</f>
        <v>13148</v>
      </c>
      <c r="F186" t="str">
        <f t="shared" si="4"/>
        <v>SERVICE</v>
      </c>
      <c r="G186" s="3">
        <v>75</v>
      </c>
      <c r="H186" t="str">
        <f t="shared" si="5"/>
        <v>SERVICE</v>
      </c>
    </row>
    <row r="187" spans="1:8" x14ac:dyDescent="0.25">
      <c r="E187" t="str">
        <f>"13174"</f>
        <v>13174</v>
      </c>
      <c r="F187" t="str">
        <f t="shared" si="4"/>
        <v>SERVICE</v>
      </c>
      <c r="G187" s="3">
        <v>49</v>
      </c>
      <c r="H187" t="str">
        <f t="shared" si="5"/>
        <v>SERVICE</v>
      </c>
    </row>
    <row r="188" spans="1:8" x14ac:dyDescent="0.25">
      <c r="E188" t="str">
        <f>"13276"</f>
        <v>13276</v>
      </c>
      <c r="F188" t="str">
        <f t="shared" si="4"/>
        <v>SERVICE</v>
      </c>
      <c r="G188" s="3">
        <v>217</v>
      </c>
      <c r="H188" t="str">
        <f t="shared" si="5"/>
        <v>SERVICE</v>
      </c>
    </row>
    <row r="189" spans="1:8" x14ac:dyDescent="0.25">
      <c r="E189" t="str">
        <f>"13301-3/10/2021"</f>
        <v>13301-3/10/2021</v>
      </c>
      <c r="F189" t="str">
        <f t="shared" si="4"/>
        <v>SERVICE</v>
      </c>
      <c r="G189" s="3">
        <v>80</v>
      </c>
      <c r="H189" t="str">
        <f t="shared" si="5"/>
        <v>SERVICE</v>
      </c>
    </row>
    <row r="190" spans="1:8" x14ac:dyDescent="0.25">
      <c r="E190" t="str">
        <f>"13379"</f>
        <v>13379</v>
      </c>
      <c r="F190" t="str">
        <f t="shared" si="4"/>
        <v>SERVICE</v>
      </c>
      <c r="G190" s="3">
        <v>300</v>
      </c>
      <c r="H190" t="str">
        <f t="shared" si="5"/>
        <v>SERVICE</v>
      </c>
    </row>
    <row r="191" spans="1:8" x14ac:dyDescent="0.25">
      <c r="E191" t="str">
        <f>"13385"</f>
        <v>13385</v>
      </c>
      <c r="F191" t="str">
        <f t="shared" si="4"/>
        <v>SERVICE</v>
      </c>
      <c r="G191" s="3">
        <v>62</v>
      </c>
      <c r="H191" t="str">
        <f t="shared" si="5"/>
        <v>SERVICE</v>
      </c>
    </row>
    <row r="192" spans="1:8" x14ac:dyDescent="0.25">
      <c r="E192" t="str">
        <f>"13385-3-11-21"</f>
        <v>13385-3-11-21</v>
      </c>
      <c r="F192" t="str">
        <f t="shared" si="4"/>
        <v>SERVICE</v>
      </c>
      <c r="G192" s="3">
        <v>50</v>
      </c>
      <c r="H192" t="str">
        <f t="shared" si="5"/>
        <v>SERVICE</v>
      </c>
    </row>
    <row r="193" spans="5:8" x14ac:dyDescent="0.25">
      <c r="E193" t="str">
        <f>"13394"</f>
        <v>13394</v>
      </c>
      <c r="F193" t="str">
        <f t="shared" si="4"/>
        <v>SERVICE</v>
      </c>
      <c r="G193" s="3">
        <v>150</v>
      </c>
      <c r="H193" t="str">
        <f t="shared" si="5"/>
        <v>SERVICE</v>
      </c>
    </row>
    <row r="194" spans="5:8" x14ac:dyDescent="0.25">
      <c r="E194" t="str">
        <f>"13403-3/10/21"</f>
        <v>13403-3/10/21</v>
      </c>
      <c r="F194" t="str">
        <f t="shared" si="4"/>
        <v>SERVICE</v>
      </c>
      <c r="G194" s="3">
        <v>146</v>
      </c>
      <c r="H194" t="str">
        <f t="shared" si="5"/>
        <v>SERVICE</v>
      </c>
    </row>
    <row r="195" spans="5:8" x14ac:dyDescent="0.25">
      <c r="E195" t="str">
        <f>"13430"</f>
        <v>13430</v>
      </c>
      <c r="F195" t="str">
        <f t="shared" si="4"/>
        <v>SERVICE</v>
      </c>
      <c r="G195" s="3">
        <v>225</v>
      </c>
      <c r="H195" t="str">
        <f t="shared" si="5"/>
        <v>SERVICE</v>
      </c>
    </row>
    <row r="196" spans="5:8" x14ac:dyDescent="0.25">
      <c r="E196" t="str">
        <f>"13462"</f>
        <v>13462</v>
      </c>
      <c r="F196" t="str">
        <f t="shared" si="4"/>
        <v>SERVICE</v>
      </c>
      <c r="G196" s="3">
        <v>75</v>
      </c>
      <c r="H196" t="str">
        <f t="shared" si="5"/>
        <v>SERVICE</v>
      </c>
    </row>
    <row r="197" spans="5:8" x14ac:dyDescent="0.25">
      <c r="E197" t="str">
        <f>"13463"</f>
        <v>13463</v>
      </c>
      <c r="F197" t="str">
        <f t="shared" si="4"/>
        <v>SERVICE</v>
      </c>
      <c r="G197" s="3">
        <v>50</v>
      </c>
      <c r="H197" t="str">
        <f t="shared" si="5"/>
        <v>SERVICE</v>
      </c>
    </row>
    <row r="198" spans="5:8" x14ac:dyDescent="0.25">
      <c r="E198" t="str">
        <f>"13463-3-10-21"</f>
        <v>13463-3-10-21</v>
      </c>
      <c r="F198" t="str">
        <f t="shared" si="4"/>
        <v>SERVICE</v>
      </c>
      <c r="G198" s="3">
        <v>5</v>
      </c>
      <c r="H198" t="str">
        <f t="shared" si="5"/>
        <v>SERVICE</v>
      </c>
    </row>
    <row r="199" spans="5:8" x14ac:dyDescent="0.25">
      <c r="E199" t="str">
        <f>"13463-310-21"</f>
        <v>13463-310-21</v>
      </c>
      <c r="F199" t="str">
        <f t="shared" si="4"/>
        <v>SERVICE</v>
      </c>
      <c r="G199" s="3">
        <v>20</v>
      </c>
      <c r="H199" t="str">
        <f t="shared" si="5"/>
        <v>SERVICE</v>
      </c>
    </row>
    <row r="200" spans="5:8" x14ac:dyDescent="0.25">
      <c r="E200" t="str">
        <f>"13470-3-10-21"</f>
        <v>13470-3-10-21</v>
      </c>
      <c r="F200" t="str">
        <f t="shared" si="4"/>
        <v>SERVICE</v>
      </c>
      <c r="G200" s="3">
        <v>40</v>
      </c>
      <c r="H200" t="str">
        <f t="shared" si="5"/>
        <v>SERVICE</v>
      </c>
    </row>
    <row r="201" spans="5:8" x14ac:dyDescent="0.25">
      <c r="E201" t="str">
        <f>"13470-3/10/21"</f>
        <v>13470-3/10/21</v>
      </c>
      <c r="F201" t="str">
        <f t="shared" si="4"/>
        <v>SERVICE</v>
      </c>
      <c r="G201" s="3">
        <v>40</v>
      </c>
      <c r="H201" t="str">
        <f t="shared" si="5"/>
        <v>SERVICE</v>
      </c>
    </row>
    <row r="202" spans="5:8" x14ac:dyDescent="0.25">
      <c r="E202" t="str">
        <f>"13508"</f>
        <v>13508</v>
      </c>
      <c r="F202" t="str">
        <f t="shared" si="4"/>
        <v>SERVICE</v>
      </c>
      <c r="G202" s="3">
        <v>66</v>
      </c>
      <c r="H202" t="str">
        <f t="shared" si="5"/>
        <v>SERVICE</v>
      </c>
    </row>
    <row r="203" spans="5:8" x14ac:dyDescent="0.25">
      <c r="E203" t="str">
        <f>"13530"</f>
        <v>13530</v>
      </c>
      <c r="F203" t="str">
        <f t="shared" si="4"/>
        <v>SERVICE</v>
      </c>
      <c r="G203" s="3">
        <v>75</v>
      </c>
      <c r="H203" t="str">
        <f t="shared" si="5"/>
        <v>SERVICE</v>
      </c>
    </row>
    <row r="204" spans="5:8" x14ac:dyDescent="0.25">
      <c r="E204" t="str">
        <f>"13560"</f>
        <v>13560</v>
      </c>
      <c r="F204" t="str">
        <f t="shared" si="4"/>
        <v>SERVICE</v>
      </c>
      <c r="G204" s="3">
        <v>107</v>
      </c>
      <c r="H204" t="str">
        <f t="shared" si="5"/>
        <v>SERVICE</v>
      </c>
    </row>
    <row r="205" spans="5:8" x14ac:dyDescent="0.25">
      <c r="E205" t="str">
        <f>"13567"</f>
        <v>13567</v>
      </c>
      <c r="F205" t="str">
        <f t="shared" si="4"/>
        <v>SERVICE</v>
      </c>
      <c r="G205" s="3">
        <v>134</v>
      </c>
      <c r="H205" t="str">
        <f t="shared" si="5"/>
        <v>SERVICE</v>
      </c>
    </row>
    <row r="206" spans="5:8" x14ac:dyDescent="0.25">
      <c r="E206" t="str">
        <f>"13577"</f>
        <v>13577</v>
      </c>
      <c r="F206" t="str">
        <f t="shared" si="4"/>
        <v>SERVICE</v>
      </c>
      <c r="G206" s="3">
        <v>150</v>
      </c>
      <c r="H206" t="str">
        <f t="shared" si="5"/>
        <v>SERVICE</v>
      </c>
    </row>
    <row r="207" spans="5:8" x14ac:dyDescent="0.25">
      <c r="E207" t="str">
        <f>"13578"</f>
        <v>13578</v>
      </c>
      <c r="F207" t="str">
        <f t="shared" si="4"/>
        <v>SERVICE</v>
      </c>
      <c r="G207" s="3">
        <v>75</v>
      </c>
      <c r="H207" t="str">
        <f t="shared" si="5"/>
        <v>SERVICE</v>
      </c>
    </row>
    <row r="208" spans="5:8" x14ac:dyDescent="0.25">
      <c r="E208" t="str">
        <f>"13598"</f>
        <v>13598</v>
      </c>
      <c r="F208" t="str">
        <f t="shared" si="4"/>
        <v>SERVICE</v>
      </c>
      <c r="G208" s="3">
        <v>150</v>
      </c>
      <c r="H208" t="str">
        <f t="shared" si="5"/>
        <v>SERVICE</v>
      </c>
    </row>
    <row r="209" spans="1:8" x14ac:dyDescent="0.25">
      <c r="E209" t="str">
        <f>"13607"</f>
        <v>13607</v>
      </c>
      <c r="F209" t="str">
        <f t="shared" si="4"/>
        <v>SERVICE</v>
      </c>
      <c r="G209" s="3">
        <v>75</v>
      </c>
      <c r="H209" t="str">
        <f t="shared" si="5"/>
        <v>SERVICE</v>
      </c>
    </row>
    <row r="210" spans="1:8" x14ac:dyDescent="0.25">
      <c r="E210" t="str">
        <f>"13614"</f>
        <v>13614</v>
      </c>
      <c r="F210" t="str">
        <f t="shared" si="4"/>
        <v>SERVICE</v>
      </c>
      <c r="G210" s="3">
        <v>75</v>
      </c>
      <c r="H210" t="str">
        <f t="shared" si="5"/>
        <v>SERVICE</v>
      </c>
    </row>
    <row r="211" spans="1:8" x14ac:dyDescent="0.25">
      <c r="E211" t="str">
        <f>"13619"</f>
        <v>13619</v>
      </c>
      <c r="F211" t="str">
        <f t="shared" si="4"/>
        <v>SERVICE</v>
      </c>
      <c r="G211" s="3">
        <v>75</v>
      </c>
      <c r="H211" t="str">
        <f t="shared" si="5"/>
        <v>SERVICE</v>
      </c>
    </row>
    <row r="212" spans="1:8" x14ac:dyDescent="0.25">
      <c r="A212" t="s">
        <v>44</v>
      </c>
      <c r="B212">
        <v>4069</v>
      </c>
      <c r="C212" s="3">
        <v>470.05</v>
      </c>
      <c r="D212" s="6">
        <v>44264</v>
      </c>
      <c r="E212" t="str">
        <f>"202103011846"</f>
        <v>202103011846</v>
      </c>
      <c r="F212" t="str">
        <f>"BASTROP COPIER"</f>
        <v>BASTROP COPIER</v>
      </c>
      <c r="G212" s="3">
        <v>470.05</v>
      </c>
      <c r="H212" t="str">
        <f>"BASTROP COPIER"</f>
        <v>BASTROP COPIER</v>
      </c>
    </row>
    <row r="213" spans="1:8" x14ac:dyDescent="0.25">
      <c r="E213" t="str">
        <f>""</f>
        <v/>
      </c>
      <c r="F213" t="str">
        <f>""</f>
        <v/>
      </c>
      <c r="H213" t="str">
        <f>"BASTROP COPIER"</f>
        <v>BASTROP COPIER</v>
      </c>
    </row>
    <row r="214" spans="1:8" x14ac:dyDescent="0.25">
      <c r="E214" t="str">
        <f>""</f>
        <v/>
      </c>
      <c r="F214" t="str">
        <f>""</f>
        <v/>
      </c>
      <c r="H214" t="str">
        <f>"BASTROP COPIER"</f>
        <v>BASTROP COPIER</v>
      </c>
    </row>
    <row r="215" spans="1:8" x14ac:dyDescent="0.25">
      <c r="E215" t="str">
        <f>""</f>
        <v/>
      </c>
      <c r="F215" t="str">
        <f>""</f>
        <v/>
      </c>
      <c r="H215" t="str">
        <f>"BASTROP COPIER"</f>
        <v>BASTROP COPIER</v>
      </c>
    </row>
    <row r="216" spans="1:8" x14ac:dyDescent="0.25">
      <c r="A216" t="s">
        <v>44</v>
      </c>
      <c r="B216">
        <v>4134</v>
      </c>
      <c r="C216" s="3">
        <v>38</v>
      </c>
      <c r="D216" s="6">
        <v>44278</v>
      </c>
      <c r="E216" t="str">
        <f>"202103152146"</f>
        <v>202103152146</v>
      </c>
      <c r="F216" t="str">
        <f>"ACCT#BC01"</f>
        <v>ACCT#BC01</v>
      </c>
      <c r="G216" s="3">
        <v>38</v>
      </c>
      <c r="H216" t="str">
        <f>"ACCT#BC01"</f>
        <v>ACCT#BC01</v>
      </c>
    </row>
    <row r="217" spans="1:8" x14ac:dyDescent="0.25">
      <c r="A217" t="s">
        <v>45</v>
      </c>
      <c r="B217">
        <v>4063</v>
      </c>
      <c r="C217" s="3">
        <v>17705.5</v>
      </c>
      <c r="D217" s="6">
        <v>44264</v>
      </c>
      <c r="E217" t="str">
        <f>"202103011843"</f>
        <v>202103011843</v>
      </c>
      <c r="F217" t="str">
        <f>"BASTROP COUNTY CARES REIMBURSE"</f>
        <v>BASTROP COUNTY CARES REIMBURSE</v>
      </c>
      <c r="G217" s="3">
        <v>3500</v>
      </c>
      <c r="H217" t="str">
        <f>"BASTROP COUNTY CARES REIMBURSE"</f>
        <v>BASTROP COUNTY CARES REIMBURSE</v>
      </c>
    </row>
    <row r="218" spans="1:8" x14ac:dyDescent="0.25">
      <c r="E218" t="str">
        <f>"202103021914"</f>
        <v>202103021914</v>
      </c>
      <c r="F218" t="str">
        <f>"HOGG FOUNDATION REIMBURSEMENT"</f>
        <v>HOGG FOUNDATION REIMBURSEMENT</v>
      </c>
      <c r="G218" s="3">
        <v>14205.5</v>
      </c>
      <c r="H218" t="str">
        <f>"HOGG FOUNDATION REIMBURSEMENT"</f>
        <v>HOGG FOUNDATION REIMBURSEMENT</v>
      </c>
    </row>
    <row r="219" spans="1:8" x14ac:dyDescent="0.25">
      <c r="A219" t="s">
        <v>45</v>
      </c>
      <c r="B219">
        <v>4122</v>
      </c>
      <c r="C219" s="3">
        <v>16681.43</v>
      </c>
      <c r="D219" s="6">
        <v>44278</v>
      </c>
      <c r="E219" t="str">
        <f>"202103162226"</f>
        <v>202103162226</v>
      </c>
      <c r="F219" t="str">
        <f>"HOGG FOUNDATION GRANT"</f>
        <v>HOGG FOUNDATION GRANT</v>
      </c>
      <c r="G219" s="3">
        <v>13681.43</v>
      </c>
      <c r="H219" t="str">
        <f>"HOGG FOUNDATION GRANT"</f>
        <v>HOGG FOUNDATION GRANT</v>
      </c>
    </row>
    <row r="220" spans="1:8" x14ac:dyDescent="0.25">
      <c r="E220" t="str">
        <f>"202103162227"</f>
        <v>202103162227</v>
      </c>
      <c r="F220" t="str">
        <f>"CARES GRANT REIMBURSEMENT"</f>
        <v>CARES GRANT REIMBURSEMENT</v>
      </c>
      <c r="G220" s="3">
        <v>3000</v>
      </c>
      <c r="H220" t="str">
        <f>"CARES GRANT REIMBURSEMENT"</f>
        <v>CARES GRANT REIMBURSEMENT</v>
      </c>
    </row>
    <row r="221" spans="1:8" x14ac:dyDescent="0.25">
      <c r="A221" t="s">
        <v>46</v>
      </c>
      <c r="B221">
        <v>4151</v>
      </c>
      <c r="C221" s="3">
        <v>299.77999999999997</v>
      </c>
      <c r="D221" s="6">
        <v>44278</v>
      </c>
      <c r="E221" t="str">
        <f>"202103112076"</f>
        <v>202103112076</v>
      </c>
      <c r="F221" t="str">
        <f>"ACCT# 178467"</f>
        <v>ACCT# 178467</v>
      </c>
      <c r="G221" s="3">
        <v>299.77999999999997</v>
      </c>
      <c r="H221" t="str">
        <f>"ACCT# 178467"</f>
        <v>ACCT# 178467</v>
      </c>
    </row>
    <row r="222" spans="1:8" x14ac:dyDescent="0.25">
      <c r="A222" t="s">
        <v>47</v>
      </c>
      <c r="B222">
        <v>4152</v>
      </c>
      <c r="C222" s="3">
        <v>105</v>
      </c>
      <c r="D222" s="6">
        <v>44278</v>
      </c>
      <c r="E222" t="str">
        <f>"202103162232"</f>
        <v>202103162232</v>
      </c>
      <c r="F222" t="str">
        <f>"VEHICLE REGISTRATIONS"</f>
        <v>VEHICLE REGISTRATIONS</v>
      </c>
      <c r="G222" s="3">
        <v>105</v>
      </c>
      <c r="H222" t="str">
        <f>"VEHICLE REGISTRATIONS"</f>
        <v>VEHICLE REGISTRATIONS</v>
      </c>
    </row>
    <row r="223" spans="1:8" x14ac:dyDescent="0.25">
      <c r="A223" t="s">
        <v>48</v>
      </c>
      <c r="B223">
        <v>4156</v>
      </c>
      <c r="C223" s="3">
        <v>91.18</v>
      </c>
      <c r="D223" s="6">
        <v>44278</v>
      </c>
      <c r="E223" t="str">
        <f>"202103162205"</f>
        <v>202103162205</v>
      </c>
      <c r="F223" t="str">
        <f>"INDIGENT HEALTH"</f>
        <v>INDIGENT HEALTH</v>
      </c>
      <c r="G223" s="3">
        <v>91.18</v>
      </c>
      <c r="H223" t="str">
        <f>"INDIGENT HEALTH"</f>
        <v>INDIGENT HEALTH</v>
      </c>
    </row>
    <row r="224" spans="1:8" x14ac:dyDescent="0.25">
      <c r="A224" t="s">
        <v>49</v>
      </c>
      <c r="B224">
        <v>134810</v>
      </c>
      <c r="C224" s="3">
        <v>115.5</v>
      </c>
      <c r="D224" s="6">
        <v>44263</v>
      </c>
      <c r="E224" t="str">
        <f>"1174482"</f>
        <v>1174482</v>
      </c>
      <c r="F224" t="str">
        <f>"INV 1174482"</f>
        <v>INV 1174482</v>
      </c>
      <c r="G224" s="3">
        <v>115.5</v>
      </c>
      <c r="H224" t="str">
        <f>"INV 1174482"</f>
        <v>INV 1174482</v>
      </c>
    </row>
    <row r="225" spans="1:8" x14ac:dyDescent="0.25">
      <c r="A225" t="s">
        <v>49</v>
      </c>
      <c r="B225">
        <v>134949</v>
      </c>
      <c r="C225" s="3">
        <v>272.72000000000003</v>
      </c>
      <c r="D225" s="6">
        <v>44277</v>
      </c>
      <c r="E225" t="str">
        <f>"1177113"</f>
        <v>1177113</v>
      </c>
      <c r="F225" t="str">
        <f>"CLIENT ID#5495160A"</f>
        <v>CLIENT ID#5495160A</v>
      </c>
      <c r="G225" s="3">
        <v>272.72000000000003</v>
      </c>
      <c r="H225" t="str">
        <f>"CLIENT ID#5495160A"</f>
        <v>CLIENT ID#5495160A</v>
      </c>
    </row>
    <row r="226" spans="1:8" x14ac:dyDescent="0.25">
      <c r="A226" t="s">
        <v>50</v>
      </c>
      <c r="B226">
        <v>134811</v>
      </c>
      <c r="C226" s="3">
        <v>1372</v>
      </c>
      <c r="D226" s="6">
        <v>44263</v>
      </c>
      <c r="E226" t="str">
        <f>"202103011848"</f>
        <v>202103011848</v>
      </c>
      <c r="F226" t="str">
        <f>"MH CASE L. SLAUGHTER"</f>
        <v>MH CASE L. SLAUGHTER</v>
      </c>
      <c r="G226" s="3">
        <v>686</v>
      </c>
      <c r="H226" t="str">
        <f>"MH CASE L. SLAUGHTER"</f>
        <v>MH CASE L. SLAUGHTER</v>
      </c>
    </row>
    <row r="227" spans="1:8" x14ac:dyDescent="0.25">
      <c r="E227" t="str">
        <f>"202103011852"</f>
        <v>202103011852</v>
      </c>
      <c r="F227" t="str">
        <f>"MH CASE B. BRANHAM"</f>
        <v>MH CASE B. BRANHAM</v>
      </c>
      <c r="G227" s="3">
        <v>686</v>
      </c>
      <c r="H227" t="str">
        <f>"MH CASE B. BRANHAM"</f>
        <v>MH CASE B. BRANHAM</v>
      </c>
    </row>
    <row r="228" spans="1:8" x14ac:dyDescent="0.25">
      <c r="A228" t="s">
        <v>51</v>
      </c>
      <c r="B228">
        <v>134950</v>
      </c>
      <c r="C228" s="3">
        <v>160</v>
      </c>
      <c r="D228" s="6">
        <v>44277</v>
      </c>
      <c r="E228" t="str">
        <f>"13430"</f>
        <v>13430</v>
      </c>
      <c r="F228" t="str">
        <f>"SERVICE"</f>
        <v>SERVICE</v>
      </c>
      <c r="G228" s="3">
        <v>80</v>
      </c>
      <c r="H228" t="str">
        <f>"SERVICE"</f>
        <v>SERVICE</v>
      </c>
    </row>
    <row r="229" spans="1:8" x14ac:dyDescent="0.25">
      <c r="E229" t="str">
        <f>"13515"</f>
        <v>13515</v>
      </c>
      <c r="F229" t="str">
        <f>"SERVICE"</f>
        <v>SERVICE</v>
      </c>
      <c r="G229" s="3">
        <v>80</v>
      </c>
      <c r="H229" t="str">
        <f>"SERVICE"</f>
        <v>SERVICE</v>
      </c>
    </row>
    <row r="230" spans="1:8" x14ac:dyDescent="0.25">
      <c r="A230" t="s">
        <v>52</v>
      </c>
      <c r="B230">
        <v>134812</v>
      </c>
      <c r="C230" s="3">
        <v>602.19000000000005</v>
      </c>
      <c r="D230" s="6">
        <v>44263</v>
      </c>
      <c r="E230" t="str">
        <f>"75842513"</f>
        <v>75842513</v>
      </c>
      <c r="F230" t="str">
        <f>"INV 75842513"</f>
        <v>INV 75842513</v>
      </c>
      <c r="G230" s="3">
        <v>602.19000000000005</v>
      </c>
      <c r="H230" t="str">
        <f>"INV 75842513"</f>
        <v>INV 75842513</v>
      </c>
    </row>
    <row r="231" spans="1:8" x14ac:dyDescent="0.25">
      <c r="A231" t="s">
        <v>52</v>
      </c>
      <c r="B231">
        <v>134951</v>
      </c>
      <c r="C231" s="3">
        <v>1406.79</v>
      </c>
      <c r="D231" s="6">
        <v>44277</v>
      </c>
      <c r="E231" t="str">
        <f>"75852766"</f>
        <v>75852766</v>
      </c>
      <c r="F231" t="str">
        <f>"INV 75852166"</f>
        <v>INV 75852166</v>
      </c>
      <c r="G231" s="3">
        <v>1406.79</v>
      </c>
      <c r="H231" t="str">
        <f>"INV 75852166"</f>
        <v>INV 75852166</v>
      </c>
    </row>
    <row r="232" spans="1:8" x14ac:dyDescent="0.25">
      <c r="E232" t="str">
        <f>""</f>
        <v/>
      </c>
      <c r="F232" t="str">
        <f>""</f>
        <v/>
      </c>
      <c r="H232" t="str">
        <f>"INV 75860790"</f>
        <v>INV 75860790</v>
      </c>
    </row>
    <row r="233" spans="1:8" x14ac:dyDescent="0.25">
      <c r="A233" t="s">
        <v>53</v>
      </c>
      <c r="B233">
        <v>4153</v>
      </c>
      <c r="C233" s="3">
        <v>2554</v>
      </c>
      <c r="D233" s="6">
        <v>44278</v>
      </c>
      <c r="E233" t="str">
        <f>"25094"</f>
        <v>25094</v>
      </c>
      <c r="F233" t="str">
        <f>"INV 25094"</f>
        <v>INV 25094</v>
      </c>
      <c r="G233" s="3">
        <v>2554</v>
      </c>
      <c r="H233" t="str">
        <f>"INV 25094"</f>
        <v>INV 25094</v>
      </c>
    </row>
    <row r="234" spans="1:8" x14ac:dyDescent="0.25">
      <c r="A234" t="s">
        <v>54</v>
      </c>
      <c r="B234">
        <v>4115</v>
      </c>
      <c r="C234" s="3">
        <v>2970.2</v>
      </c>
      <c r="D234" s="6">
        <v>44278</v>
      </c>
      <c r="E234" t="str">
        <f>"5805"</f>
        <v>5805</v>
      </c>
      <c r="F234" t="str">
        <f>"LABOR/PCT#4"</f>
        <v>LABOR/PCT#4</v>
      </c>
      <c r="G234" s="3">
        <v>1580.59</v>
      </c>
      <c r="H234" t="str">
        <f>"LABOR/PCT#4"</f>
        <v>LABOR/PCT#4</v>
      </c>
    </row>
    <row r="235" spans="1:8" x14ac:dyDescent="0.25">
      <c r="E235" t="str">
        <f>"5823"</f>
        <v>5823</v>
      </c>
      <c r="F235" t="str">
        <f>"LABOR/ 2008 FORD"</f>
        <v>LABOR/ 2008 FORD</v>
      </c>
      <c r="G235" s="3">
        <v>1243.25</v>
      </c>
      <c r="H235" t="str">
        <f>"LABOR/ 2008 FORD"</f>
        <v>LABOR/ 2008 FORD</v>
      </c>
    </row>
    <row r="236" spans="1:8" x14ac:dyDescent="0.25">
      <c r="E236" t="str">
        <f>"5824"</f>
        <v>5824</v>
      </c>
      <c r="F236" t="str">
        <f>"LABOR/PARTS/PCT#4"</f>
        <v>LABOR/PARTS/PCT#4</v>
      </c>
      <c r="G236" s="3">
        <v>146.36000000000001</v>
      </c>
      <c r="H236" t="str">
        <f>"LABOR/PARTS/PCT#4"</f>
        <v>LABOR/PARTS/PCT#4</v>
      </c>
    </row>
    <row r="237" spans="1:8" x14ac:dyDescent="0.25">
      <c r="A237" t="s">
        <v>55</v>
      </c>
      <c r="B237">
        <v>134813</v>
      </c>
      <c r="C237" s="3">
        <v>254.4</v>
      </c>
      <c r="D237" s="6">
        <v>44263</v>
      </c>
      <c r="E237" t="str">
        <f>"84078908160"</f>
        <v>84078908160</v>
      </c>
      <c r="F237" t="str">
        <f>"INV 84078908160"</f>
        <v>INV 84078908160</v>
      </c>
      <c r="G237" s="3">
        <v>254.4</v>
      </c>
      <c r="H237" t="str">
        <f>"INV 84078908160"</f>
        <v>INV 84078908160</v>
      </c>
    </row>
    <row r="238" spans="1:8" x14ac:dyDescent="0.25">
      <c r="A238" t="s">
        <v>55</v>
      </c>
      <c r="B238">
        <v>134952</v>
      </c>
      <c r="C238" s="3">
        <v>370.32</v>
      </c>
      <c r="D238" s="6">
        <v>44277</v>
      </c>
      <c r="E238" t="str">
        <f>"84078908207 / 272"</f>
        <v>84078908207 / 272</v>
      </c>
      <c r="F238" t="str">
        <f>"INV 84078908207"</f>
        <v>INV 84078908207</v>
      </c>
      <c r="G238" s="3">
        <v>370.32</v>
      </c>
      <c r="H238" t="str">
        <f>"INV 84078908207"</f>
        <v>INV 84078908207</v>
      </c>
    </row>
    <row r="239" spans="1:8" x14ac:dyDescent="0.25">
      <c r="E239" t="str">
        <f>""</f>
        <v/>
      </c>
      <c r="F239" t="str">
        <f>""</f>
        <v/>
      </c>
      <c r="H239" t="str">
        <f>"INV 84078908272"</f>
        <v>INV 84078908272</v>
      </c>
    </row>
    <row r="240" spans="1:8" x14ac:dyDescent="0.25">
      <c r="A240" t="s">
        <v>56</v>
      </c>
      <c r="B240">
        <v>134953</v>
      </c>
      <c r="C240" s="3">
        <v>230.11</v>
      </c>
      <c r="D240" s="6">
        <v>44277</v>
      </c>
      <c r="E240" t="str">
        <f>"202103162194"</f>
        <v>202103162194</v>
      </c>
      <c r="F240" t="str">
        <f>"CRIMESTOPPER FEES FEB 2021"</f>
        <v>CRIMESTOPPER FEES FEB 2021</v>
      </c>
      <c r="G240" s="3">
        <v>230.11</v>
      </c>
      <c r="H240" t="str">
        <f>"CRIMESTOPPER FEES FEB 2021"</f>
        <v>CRIMESTOPPER FEES FEB 2021</v>
      </c>
    </row>
    <row r="241" spans="1:8" x14ac:dyDescent="0.25">
      <c r="A241" t="s">
        <v>57</v>
      </c>
      <c r="B241">
        <v>134912</v>
      </c>
      <c r="C241" s="3">
        <v>4820.22</v>
      </c>
      <c r="D241" s="6">
        <v>44271</v>
      </c>
      <c r="E241" t="str">
        <f>"202103122122"</f>
        <v>202103122122</v>
      </c>
      <c r="F241" t="str">
        <f>"ACCT#5000057374 / 03032021"</f>
        <v>ACCT#5000057374 / 03032021</v>
      </c>
      <c r="G241" s="3">
        <v>4464.76</v>
      </c>
      <c r="H241" t="str">
        <f>"BLUEBONNET ELECTRIC COOPERATIV"</f>
        <v>BLUEBONNET ELECTRIC COOPERATIV</v>
      </c>
    </row>
    <row r="242" spans="1:8" x14ac:dyDescent="0.25">
      <c r="E242" t="str">
        <f>""</f>
        <v/>
      </c>
      <c r="F242" t="str">
        <f>""</f>
        <v/>
      </c>
      <c r="H242" t="str">
        <f>"BLUEBONNET ELECTRIC COOPERATIV"</f>
        <v>BLUEBONNET ELECTRIC COOPERATIV</v>
      </c>
    </row>
    <row r="243" spans="1:8" x14ac:dyDescent="0.25">
      <c r="E243" t="str">
        <f>""</f>
        <v/>
      </c>
      <c r="F243" t="str">
        <f>""</f>
        <v/>
      </c>
      <c r="H243" t="str">
        <f>"BLUEBONNET ELECTRIC COOPERATIV"</f>
        <v>BLUEBONNET ELECTRIC COOPERATIV</v>
      </c>
    </row>
    <row r="244" spans="1:8" x14ac:dyDescent="0.25">
      <c r="E244" t="str">
        <f>""</f>
        <v/>
      </c>
      <c r="F244" t="str">
        <f>""</f>
        <v/>
      </c>
      <c r="H244" t="str">
        <f>"BLUEBONNET ELECTRIC COOPERATIV"</f>
        <v>BLUEBONNET ELECTRIC COOPERATIV</v>
      </c>
    </row>
    <row r="245" spans="1:8" x14ac:dyDescent="0.25">
      <c r="E245" t="str">
        <f>"202103122124"</f>
        <v>202103122124</v>
      </c>
      <c r="F245" t="str">
        <f>"ACCT#55000090397 / 03012021"</f>
        <v>ACCT#55000090397 / 03012021</v>
      </c>
      <c r="G245" s="3">
        <v>355.46</v>
      </c>
      <c r="H245" t="str">
        <f>"ACCT#55000090397 / 03012021"</f>
        <v>ACCT#55000090397 / 03012021</v>
      </c>
    </row>
    <row r="246" spans="1:8" x14ac:dyDescent="0.25">
      <c r="A246" t="s">
        <v>58</v>
      </c>
      <c r="B246">
        <v>4086</v>
      </c>
      <c r="C246" s="3">
        <v>600</v>
      </c>
      <c r="D246" s="6">
        <v>44264</v>
      </c>
      <c r="E246" t="str">
        <f>"25-02-2021"</f>
        <v>25-02-2021</v>
      </c>
      <c r="F246" t="str">
        <f>"INV 25-02-2021"</f>
        <v>INV 25-02-2021</v>
      </c>
      <c r="G246" s="3">
        <v>600</v>
      </c>
      <c r="H246" t="str">
        <f>"INV 25-02-2021"</f>
        <v>INV 25-02-2021</v>
      </c>
    </row>
    <row r="247" spans="1:8" x14ac:dyDescent="0.25">
      <c r="A247" t="s">
        <v>59</v>
      </c>
      <c r="B247">
        <v>134954</v>
      </c>
      <c r="C247" s="3">
        <v>179.65</v>
      </c>
      <c r="D247" s="6">
        <v>44277</v>
      </c>
      <c r="E247" t="str">
        <f>"UT000556520"</f>
        <v>UT000556520</v>
      </c>
      <c r="F247" t="str">
        <f>"INV UT1000556520"</f>
        <v>INV UT1000556520</v>
      </c>
      <c r="G247" s="3">
        <v>179.65</v>
      </c>
      <c r="H247" t="str">
        <f>"INV UT1000556520"</f>
        <v>INV UT1000556520</v>
      </c>
    </row>
    <row r="248" spans="1:8" x14ac:dyDescent="0.25">
      <c r="A248" t="s">
        <v>60</v>
      </c>
      <c r="B248">
        <v>134814</v>
      </c>
      <c r="C248" s="3">
        <v>1760.53</v>
      </c>
      <c r="D248" s="6">
        <v>44263</v>
      </c>
      <c r="E248" t="str">
        <f>"15908"</f>
        <v>15908</v>
      </c>
      <c r="F248" t="str">
        <f>"INV 15908 / UNIT 1175"</f>
        <v>INV 15908 / UNIT 1175</v>
      </c>
      <c r="G248" s="3">
        <v>1760.53</v>
      </c>
      <c r="H248" t="str">
        <f>"INV 15908 / UNIT 1175"</f>
        <v>INV 15908 / UNIT 1175</v>
      </c>
    </row>
    <row r="249" spans="1:8" x14ac:dyDescent="0.25">
      <c r="A249" t="s">
        <v>61</v>
      </c>
      <c r="B249">
        <v>134815</v>
      </c>
      <c r="C249" s="3">
        <v>6502.44</v>
      </c>
      <c r="D249" s="6">
        <v>44263</v>
      </c>
      <c r="E249" t="str">
        <f>"1218836"</f>
        <v>1218836</v>
      </c>
      <c r="F249" t="str">
        <f>"CUST#300362"</f>
        <v>CUST#300362</v>
      </c>
      <c r="G249" s="3">
        <v>4134.2</v>
      </c>
      <c r="H249" t="str">
        <f>"CUST#300362"</f>
        <v>CUST#300362</v>
      </c>
    </row>
    <row r="250" spans="1:8" x14ac:dyDescent="0.25">
      <c r="E250" t="str">
        <f>"12202630"</f>
        <v>12202630</v>
      </c>
      <c r="F250" t="str">
        <f>"CUST#300362"</f>
        <v>CUST#300362</v>
      </c>
      <c r="G250" s="3">
        <v>526.79999999999995</v>
      </c>
      <c r="H250" t="str">
        <f>"CUST#300362"</f>
        <v>CUST#300362</v>
      </c>
    </row>
    <row r="251" spans="1:8" x14ac:dyDescent="0.25">
      <c r="E251" t="str">
        <f>"12210410"</f>
        <v>12210410</v>
      </c>
      <c r="F251" t="str">
        <f>"CUST#300362"</f>
        <v>CUST#300362</v>
      </c>
      <c r="G251" s="3">
        <v>1420</v>
      </c>
      <c r="H251" t="str">
        <f>"CUST#300362"</f>
        <v>CUST#300362</v>
      </c>
    </row>
    <row r="252" spans="1:8" x14ac:dyDescent="0.25">
      <c r="E252" t="str">
        <f>"12219144"</f>
        <v>12219144</v>
      </c>
      <c r="F252" t="str">
        <f>"CUST#300362"</f>
        <v>CUST#300362</v>
      </c>
      <c r="G252" s="3">
        <v>421.44</v>
      </c>
      <c r="H252" t="str">
        <f>"CUST#300362"</f>
        <v>CUST#300362</v>
      </c>
    </row>
    <row r="253" spans="1:8" x14ac:dyDescent="0.25">
      <c r="A253" t="s">
        <v>62</v>
      </c>
      <c r="B253">
        <v>134816</v>
      </c>
      <c r="C253" s="3">
        <v>6590.28</v>
      </c>
      <c r="D253" s="6">
        <v>44263</v>
      </c>
      <c r="E253" t="str">
        <f>"118674"</f>
        <v>118674</v>
      </c>
      <c r="F253" t="str">
        <f>"ACCT#1268/PCT#3"</f>
        <v>ACCT#1268/PCT#3</v>
      </c>
      <c r="G253" s="3">
        <v>3081.32</v>
      </c>
      <c r="H253" t="str">
        <f>"ACCT#1268/PCT#3"</f>
        <v>ACCT#1268/PCT#3</v>
      </c>
    </row>
    <row r="254" spans="1:8" x14ac:dyDescent="0.25">
      <c r="E254" t="str">
        <f>"118905"</f>
        <v>118905</v>
      </c>
      <c r="F254" t="str">
        <f>"ACCT#1268/PCT#3"</f>
        <v>ACCT#1268/PCT#3</v>
      </c>
      <c r="G254" s="3">
        <v>2670.64</v>
      </c>
      <c r="H254" t="str">
        <f>"ACCT#1268/PCT#3"</f>
        <v>ACCT#1268/PCT#3</v>
      </c>
    </row>
    <row r="255" spans="1:8" x14ac:dyDescent="0.25">
      <c r="E255" t="str">
        <f>"119101"</f>
        <v>119101</v>
      </c>
      <c r="F255" t="str">
        <f>"ACCT#1268/PCT#3"</f>
        <v>ACCT#1268/PCT#3</v>
      </c>
      <c r="G255" s="3">
        <v>838.32</v>
      </c>
      <c r="H255" t="str">
        <f>"ACCT#1268/PCT#3"</f>
        <v>ACCT#1268/PCT#3</v>
      </c>
    </row>
    <row r="256" spans="1:8" x14ac:dyDescent="0.25">
      <c r="A256" t="s">
        <v>62</v>
      </c>
      <c r="B256">
        <v>134955</v>
      </c>
      <c r="C256" s="3">
        <v>3432.4</v>
      </c>
      <c r="D256" s="6">
        <v>44277</v>
      </c>
      <c r="E256" t="str">
        <f>"119353"</f>
        <v>119353</v>
      </c>
      <c r="F256" t="str">
        <f>"ACCT#1267/PCT#2"</f>
        <v>ACCT#1267/PCT#2</v>
      </c>
      <c r="G256" s="3">
        <v>2386.6</v>
      </c>
      <c r="H256" t="str">
        <f>"ACCT#1267/PCT#3"</f>
        <v>ACCT#1267/PCT#3</v>
      </c>
    </row>
    <row r="257" spans="1:8" x14ac:dyDescent="0.25">
      <c r="E257" t="str">
        <f>"119354"</f>
        <v>119354</v>
      </c>
      <c r="F257" t="str">
        <f>"ACCT#1268/PCT#3"</f>
        <v>ACCT#1268/PCT#3</v>
      </c>
      <c r="G257" s="3">
        <v>663</v>
      </c>
      <c r="H257" t="str">
        <f>"ACCT#1268/PCT#3"</f>
        <v>ACCT#1268/PCT#3</v>
      </c>
    </row>
    <row r="258" spans="1:8" x14ac:dyDescent="0.25">
      <c r="E258" t="str">
        <f>"119631"</f>
        <v>119631</v>
      </c>
      <c r="F258" t="str">
        <f>"ACCT#1268/PCT#3"</f>
        <v>ACCT#1268/PCT#3</v>
      </c>
      <c r="G258" s="3">
        <v>382.8</v>
      </c>
      <c r="H258" t="str">
        <f>"ACCT#1268/PCT#3"</f>
        <v>ACCT#1268/PCT#3</v>
      </c>
    </row>
    <row r="259" spans="1:8" x14ac:dyDescent="0.25">
      <c r="A259" t="s">
        <v>63</v>
      </c>
      <c r="B259">
        <v>4166</v>
      </c>
      <c r="C259" s="3">
        <v>250</v>
      </c>
      <c r="D259" s="6">
        <v>44278</v>
      </c>
      <c r="E259" t="str">
        <f>"202103152168"</f>
        <v>202103152168</v>
      </c>
      <c r="F259" t="str">
        <f>"AC 2020-1022/925 358 4483 A001"</f>
        <v>AC 2020-1022/925 358 4483 A001</v>
      </c>
      <c r="G259" s="3">
        <v>250</v>
      </c>
      <c r="H259" t="str">
        <f>"AC 2020-1022/925 358 4483 A001"</f>
        <v>AC 2020-1022/925 358 4483 A001</v>
      </c>
    </row>
    <row r="260" spans="1:8" x14ac:dyDescent="0.25">
      <c r="A260" t="s">
        <v>64</v>
      </c>
      <c r="B260">
        <v>134817</v>
      </c>
      <c r="C260" s="3">
        <v>45</v>
      </c>
      <c r="D260" s="6">
        <v>44263</v>
      </c>
      <c r="E260" t="str">
        <f>"423-7695"</f>
        <v>423-7695</v>
      </c>
      <c r="F260" t="str">
        <f>"CENTRAL ADOPTION REGISTRY FUND"</f>
        <v>CENTRAL ADOPTION REGISTRY FUND</v>
      </c>
      <c r="G260" s="3">
        <v>15</v>
      </c>
      <c r="H260" t="str">
        <f>"CENTRAL ADOPTION REGISTRY FUND"</f>
        <v>CENTRAL ADOPTION REGISTRY FUND</v>
      </c>
    </row>
    <row r="261" spans="1:8" x14ac:dyDescent="0.25">
      <c r="E261" t="str">
        <f>"423-7706"</f>
        <v>423-7706</v>
      </c>
      <c r="F261" t="str">
        <f>"CENTRAL ADOPTION REGISTRY FEE"</f>
        <v>CENTRAL ADOPTION REGISTRY FEE</v>
      </c>
      <c r="G261" s="3">
        <v>15</v>
      </c>
      <c r="H261" t="str">
        <f>"CENTRAL ADOPTION REGISTRY FEE"</f>
        <v>CENTRAL ADOPTION REGISTRY FEE</v>
      </c>
    </row>
    <row r="262" spans="1:8" x14ac:dyDescent="0.25">
      <c r="E262" t="str">
        <f>"423-7709"</f>
        <v>423-7709</v>
      </c>
      <c r="F262" t="str">
        <f>"CENTRAL ADOPTION REGISTRY FEE"</f>
        <v>CENTRAL ADOPTION REGISTRY FEE</v>
      </c>
      <c r="G262" s="3">
        <v>15</v>
      </c>
      <c r="H262" t="str">
        <f>"CENTRAL ADOPTION REGISTRY FEE"</f>
        <v>CENTRAL ADOPTION REGISTRY FEE</v>
      </c>
    </row>
    <row r="263" spans="1:8" x14ac:dyDescent="0.25">
      <c r="A263" t="s">
        <v>65</v>
      </c>
      <c r="B263">
        <v>134956</v>
      </c>
      <c r="C263" s="3">
        <v>19</v>
      </c>
      <c r="D263" s="6">
        <v>44277</v>
      </c>
      <c r="E263" t="str">
        <f>"13280-3-10-21"</f>
        <v>13280-3-10-21</v>
      </c>
      <c r="F263" t="str">
        <f>"SERVICE"</f>
        <v>SERVICE</v>
      </c>
      <c r="G263" s="3">
        <v>19</v>
      </c>
      <c r="H263" t="str">
        <f>"SERVICE"</f>
        <v>SERVICE</v>
      </c>
    </row>
    <row r="264" spans="1:8" x14ac:dyDescent="0.25">
      <c r="A264" t="s">
        <v>66</v>
      </c>
      <c r="B264">
        <v>134957</v>
      </c>
      <c r="C264" s="3">
        <v>467.11</v>
      </c>
      <c r="D264" s="6">
        <v>44277</v>
      </c>
      <c r="E264" t="str">
        <f>"23053"</f>
        <v>23053</v>
      </c>
      <c r="F264" t="str">
        <f>"BCAS leashes"</f>
        <v>BCAS leashes</v>
      </c>
      <c r="G264" s="3">
        <v>467.11</v>
      </c>
      <c r="H264" t="str">
        <f>"BCAS leashes blue"</f>
        <v>BCAS leashes blue</v>
      </c>
    </row>
    <row r="265" spans="1:8" x14ac:dyDescent="0.25">
      <c r="E265" t="str">
        <f>""</f>
        <v/>
      </c>
      <c r="F265" t="str">
        <f>""</f>
        <v/>
      </c>
      <c r="H265" t="str">
        <f>"Freight"</f>
        <v>Freight</v>
      </c>
    </row>
    <row r="266" spans="1:8" x14ac:dyDescent="0.25">
      <c r="A266" t="s">
        <v>67</v>
      </c>
      <c r="B266">
        <v>134958</v>
      </c>
      <c r="C266" s="3">
        <v>110</v>
      </c>
      <c r="D266" s="6">
        <v>44277</v>
      </c>
      <c r="E266" t="str">
        <f>"30740"</f>
        <v>30740</v>
      </c>
      <c r="F266" t="str">
        <f>"INV 30740"</f>
        <v>INV 30740</v>
      </c>
      <c r="G266" s="3">
        <v>35</v>
      </c>
      <c r="H266" t="str">
        <f>"INV 30740"</f>
        <v>INV 30740</v>
      </c>
    </row>
    <row r="267" spans="1:8" x14ac:dyDescent="0.25">
      <c r="E267" t="str">
        <f>"30741"</f>
        <v>30741</v>
      </c>
      <c r="F267" t="str">
        <f>"INV 30741 C. HARGROVE"</f>
        <v>INV 30741 C. HARGROVE</v>
      </c>
      <c r="G267" s="3">
        <v>75</v>
      </c>
      <c r="H267" t="str">
        <f>"INV 30741 C. HARGROVE"</f>
        <v>INV 30741 C. HARGROVE</v>
      </c>
    </row>
    <row r="268" spans="1:8" x14ac:dyDescent="0.25">
      <c r="A268" t="s">
        <v>68</v>
      </c>
      <c r="B268">
        <v>134818</v>
      </c>
      <c r="C268" s="3">
        <v>1717.2</v>
      </c>
      <c r="D268" s="6">
        <v>44263</v>
      </c>
      <c r="E268" t="str">
        <f>"513609"</f>
        <v>513609</v>
      </c>
      <c r="F268" t="str">
        <f>"ULUPAU CIRCLE /PCT#1"</f>
        <v>ULUPAU CIRCLE /PCT#1</v>
      </c>
      <c r="G268" s="3">
        <v>1717.2</v>
      </c>
      <c r="H268" t="str">
        <f>"ULUPAU CIRCLE /PCT#1"</f>
        <v>ULUPAU CIRCLE /PCT#1</v>
      </c>
    </row>
    <row r="269" spans="1:8" x14ac:dyDescent="0.25">
      <c r="A269" t="s">
        <v>69</v>
      </c>
      <c r="B269">
        <v>4071</v>
      </c>
      <c r="C269" s="3">
        <v>328.47</v>
      </c>
      <c r="D269" s="6">
        <v>44264</v>
      </c>
      <c r="E269" t="str">
        <f>"01815710"</f>
        <v>01815710</v>
      </c>
      <c r="F269" t="str">
        <f>"BILL ID#000690/PCT#4"</f>
        <v>BILL ID#000690/PCT#4</v>
      </c>
      <c r="G269" s="3">
        <v>328.47</v>
      </c>
      <c r="H269" t="str">
        <f>"BILL ID#000690/PCT#4"</f>
        <v>BILL ID#000690/PCT#4</v>
      </c>
    </row>
    <row r="270" spans="1:8" x14ac:dyDescent="0.25">
      <c r="A270" t="s">
        <v>70</v>
      </c>
      <c r="B270">
        <v>948</v>
      </c>
      <c r="C270" s="3">
        <v>1508.17</v>
      </c>
      <c r="D270" s="6">
        <v>44263</v>
      </c>
      <c r="E270" t="str">
        <f>"202103031965"</f>
        <v>202103031965</v>
      </c>
      <c r="F270" t="str">
        <f>"Statement"</f>
        <v>Statement</v>
      </c>
      <c r="G270" s="3">
        <v>1508.17</v>
      </c>
      <c r="H270" t="str">
        <f>"canva"</f>
        <v>canva</v>
      </c>
    </row>
    <row r="271" spans="1:8" x14ac:dyDescent="0.25">
      <c r="E271" t="str">
        <f>""</f>
        <v/>
      </c>
      <c r="F271" t="str">
        <f>""</f>
        <v/>
      </c>
      <c r="H271" t="str">
        <f>"emat"</f>
        <v>emat</v>
      </c>
    </row>
    <row r="272" spans="1:8" x14ac:dyDescent="0.25">
      <c r="E272" t="str">
        <f>""</f>
        <v/>
      </c>
      <c r="F272" t="str">
        <f>""</f>
        <v/>
      </c>
      <c r="H272" t="str">
        <f>"apco"</f>
        <v>apco</v>
      </c>
    </row>
    <row r="273" spans="1:8" x14ac:dyDescent="0.25">
      <c r="E273" t="str">
        <f>""</f>
        <v/>
      </c>
      <c r="F273" t="str">
        <f>""</f>
        <v/>
      </c>
      <c r="H273" t="str">
        <f>"ring"</f>
        <v>ring</v>
      </c>
    </row>
    <row r="274" spans="1:8" x14ac:dyDescent="0.25">
      <c r="E274" t="str">
        <f>""</f>
        <v/>
      </c>
      <c r="F274" t="str">
        <f>""</f>
        <v/>
      </c>
      <c r="H274" t="str">
        <f>"cisco"</f>
        <v>cisco</v>
      </c>
    </row>
    <row r="275" spans="1:8" x14ac:dyDescent="0.25">
      <c r="E275" t="str">
        <f>""</f>
        <v/>
      </c>
      <c r="F275" t="str">
        <f>""</f>
        <v/>
      </c>
      <c r="H275" t="str">
        <f>"google"</f>
        <v>google</v>
      </c>
    </row>
    <row r="276" spans="1:8" x14ac:dyDescent="0.25">
      <c r="E276" t="str">
        <f>""</f>
        <v/>
      </c>
      <c r="F276" t="str">
        <f>""</f>
        <v/>
      </c>
      <c r="H276" t="str">
        <f>"cisco"</f>
        <v>cisco</v>
      </c>
    </row>
    <row r="277" spans="1:8" x14ac:dyDescent="0.25">
      <c r="E277" t="str">
        <f>""</f>
        <v/>
      </c>
      <c r="F277" t="str">
        <f>""</f>
        <v/>
      </c>
      <c r="H277" t="str">
        <f>"harbor freight"</f>
        <v>harbor freight</v>
      </c>
    </row>
    <row r="278" spans="1:8" x14ac:dyDescent="0.25">
      <c r="E278" t="str">
        <f>""</f>
        <v/>
      </c>
      <c r="F278" t="str">
        <f>""</f>
        <v/>
      </c>
      <c r="H278" t="str">
        <f>"rosanna"</f>
        <v>rosanna</v>
      </c>
    </row>
    <row r="279" spans="1:8" x14ac:dyDescent="0.25">
      <c r="E279" t="str">
        <f>""</f>
        <v/>
      </c>
      <c r="F279" t="str">
        <f>""</f>
        <v/>
      </c>
      <c r="H279" t="str">
        <f>"robert"</f>
        <v>robert</v>
      </c>
    </row>
    <row r="280" spans="1:8" x14ac:dyDescent="0.25">
      <c r="E280" t="str">
        <f>""</f>
        <v/>
      </c>
      <c r="F280" t="str">
        <f>""</f>
        <v/>
      </c>
      <c r="H280" t="str">
        <f>"walmart"</f>
        <v>walmart</v>
      </c>
    </row>
    <row r="281" spans="1:8" x14ac:dyDescent="0.25">
      <c r="E281" t="str">
        <f>""</f>
        <v/>
      </c>
      <c r="F281" t="str">
        <f>""</f>
        <v/>
      </c>
      <c r="H281" t="str">
        <f>"woodspring"</f>
        <v>woodspring</v>
      </c>
    </row>
    <row r="282" spans="1:8" x14ac:dyDescent="0.25">
      <c r="E282" t="str">
        <f>""</f>
        <v/>
      </c>
      <c r="F282" t="str">
        <f>""</f>
        <v/>
      </c>
      <c r="H282" t="str">
        <f>"sling"</f>
        <v>sling</v>
      </c>
    </row>
    <row r="283" spans="1:8" x14ac:dyDescent="0.25">
      <c r="E283" t="str">
        <f>""</f>
        <v/>
      </c>
      <c r="F283" t="str">
        <f>""</f>
        <v/>
      </c>
      <c r="H283" t="str">
        <f>"clinic hq"</f>
        <v>clinic hq</v>
      </c>
    </row>
    <row r="284" spans="1:8" x14ac:dyDescent="0.25">
      <c r="E284" t="str">
        <f>""</f>
        <v/>
      </c>
      <c r="F284" t="str">
        <f>""</f>
        <v/>
      </c>
      <c r="H284" t="str">
        <f>"rapid car wash"</f>
        <v>rapid car wash</v>
      </c>
    </row>
    <row r="285" spans="1:8" x14ac:dyDescent="0.25">
      <c r="E285" t="str">
        <f>""</f>
        <v/>
      </c>
      <c r="F285" t="str">
        <f>""</f>
        <v/>
      </c>
      <c r="H285" t="str">
        <f>"tractor supply"</f>
        <v>tractor supply</v>
      </c>
    </row>
    <row r="286" spans="1:8" x14ac:dyDescent="0.25">
      <c r="E286" t="str">
        <f>""</f>
        <v/>
      </c>
      <c r="F286" t="str">
        <f>""</f>
        <v/>
      </c>
      <c r="H286" t="str">
        <f>"gov payments"</f>
        <v>gov payments</v>
      </c>
    </row>
    <row r="287" spans="1:8" x14ac:dyDescent="0.25">
      <c r="E287" t="str">
        <f>""</f>
        <v/>
      </c>
      <c r="F287" t="str">
        <f>""</f>
        <v/>
      </c>
      <c r="H287" t="str">
        <f>"construction"</f>
        <v>construction</v>
      </c>
    </row>
    <row r="288" spans="1:8" x14ac:dyDescent="0.25">
      <c r="A288" t="s">
        <v>70</v>
      </c>
      <c r="B288">
        <v>949</v>
      </c>
      <c r="C288" s="3">
        <v>14.99</v>
      </c>
      <c r="D288" s="6">
        <v>44263</v>
      </c>
      <c r="E288" t="str">
        <f>"202103031966"</f>
        <v>202103031966</v>
      </c>
      <c r="F288" t="str">
        <f>"STATEMENT FOR CARD 0574"</f>
        <v>STATEMENT FOR CARD 0574</v>
      </c>
      <c r="G288" s="3">
        <v>14.99</v>
      </c>
      <c r="H288" t="str">
        <f>"ACADEMY SPORTS"</f>
        <v>ACADEMY SPORTS</v>
      </c>
    </row>
    <row r="289" spans="1:8" x14ac:dyDescent="0.25">
      <c r="A289" t="s">
        <v>71</v>
      </c>
      <c r="B289">
        <v>4066</v>
      </c>
      <c r="C289" s="3">
        <v>4371.5</v>
      </c>
      <c r="D289" s="6">
        <v>44264</v>
      </c>
      <c r="E289" t="str">
        <f>"202103021909"</f>
        <v>202103021909</v>
      </c>
      <c r="F289" t="str">
        <f>"423-7110"</f>
        <v>423-7110</v>
      </c>
      <c r="G289" s="3">
        <v>1357</v>
      </c>
      <c r="H289" t="str">
        <f>"423-7110"</f>
        <v>423-7110</v>
      </c>
    </row>
    <row r="290" spans="1:8" x14ac:dyDescent="0.25">
      <c r="E290" t="str">
        <f>"202103021910"</f>
        <v>202103021910</v>
      </c>
      <c r="F290" t="str">
        <f>"423-6152"</f>
        <v>423-6152</v>
      </c>
      <c r="G290" s="3">
        <v>2827</v>
      </c>
      <c r="H290" t="str">
        <f>"423-6152"</f>
        <v>423-6152</v>
      </c>
    </row>
    <row r="291" spans="1:8" x14ac:dyDescent="0.25">
      <c r="E291" t="str">
        <f>"202103021913"</f>
        <v>202103021913</v>
      </c>
      <c r="F291" t="str">
        <f>"423-2327"</f>
        <v>423-2327</v>
      </c>
      <c r="G291" s="3">
        <v>187.5</v>
      </c>
      <c r="H291" t="str">
        <f>"423-2327"</f>
        <v>423-2327</v>
      </c>
    </row>
    <row r="292" spans="1:8" x14ac:dyDescent="0.25">
      <c r="A292" t="s">
        <v>72</v>
      </c>
      <c r="B292">
        <v>134959</v>
      </c>
      <c r="C292" s="3">
        <v>4300</v>
      </c>
      <c r="D292" s="6">
        <v>44277</v>
      </c>
      <c r="E292" t="str">
        <f>"23121"</f>
        <v>23121</v>
      </c>
      <c r="F292" t="str">
        <f>"Cellebrite Renewal"</f>
        <v>Cellebrite Renewal</v>
      </c>
      <c r="G292" s="3">
        <v>4300</v>
      </c>
      <c r="H292" t="str">
        <f>"A-SOW-11-003"</f>
        <v>A-SOW-11-003</v>
      </c>
    </row>
    <row r="293" spans="1:8" x14ac:dyDescent="0.25">
      <c r="A293" t="s">
        <v>73</v>
      </c>
      <c r="B293">
        <v>134789</v>
      </c>
      <c r="C293" s="3">
        <v>2772.3</v>
      </c>
      <c r="D293" s="6">
        <v>44259</v>
      </c>
      <c r="E293" t="str">
        <f>"202103031968"</f>
        <v>202103031968</v>
      </c>
      <c r="F293" t="str">
        <f>"ACCT#8000081165-5 / 02192021"</f>
        <v>ACCT#8000081165-5 / 02192021</v>
      </c>
      <c r="G293" s="3">
        <v>2772.3</v>
      </c>
      <c r="H293" t="str">
        <f>"CENTERPOINT ENERGY"</f>
        <v>CENTERPOINT ENERGY</v>
      </c>
    </row>
    <row r="294" spans="1:8" x14ac:dyDescent="0.25">
      <c r="E294" t="str">
        <f>""</f>
        <v/>
      </c>
      <c r="F294" t="str">
        <f>""</f>
        <v/>
      </c>
      <c r="H294" t="str">
        <f>"CENTERPOINT ENERGY"</f>
        <v>CENTERPOINT ENERGY</v>
      </c>
    </row>
    <row r="295" spans="1:8" x14ac:dyDescent="0.25">
      <c r="A295" t="s">
        <v>73</v>
      </c>
      <c r="B295">
        <v>135092</v>
      </c>
      <c r="C295" s="3">
        <v>3393.42</v>
      </c>
      <c r="D295" s="6">
        <v>44286</v>
      </c>
      <c r="E295" t="str">
        <f>"202103312377"</f>
        <v>202103312377</v>
      </c>
      <c r="F295" t="str">
        <f>"ACCT#8000081165-5/03222021"</f>
        <v>ACCT#8000081165-5/03222021</v>
      </c>
      <c r="G295" s="3">
        <v>3393.42</v>
      </c>
      <c r="H295" t="str">
        <f>"ACCT#8000081165-5/03222021"</f>
        <v>ACCT#8000081165-5/03222021</v>
      </c>
    </row>
    <row r="296" spans="1:8" x14ac:dyDescent="0.25">
      <c r="E296" t="str">
        <f>""</f>
        <v/>
      </c>
      <c r="F296" t="str">
        <f>""</f>
        <v/>
      </c>
      <c r="H296" t="str">
        <f>"ACCT#8000081165-5/03222021"</f>
        <v>ACCT#8000081165-5/03222021</v>
      </c>
    </row>
    <row r="297" spans="1:8" x14ac:dyDescent="0.25">
      <c r="A297" t="s">
        <v>74</v>
      </c>
      <c r="B297">
        <v>134960</v>
      </c>
      <c r="C297" s="3">
        <v>1200</v>
      </c>
      <c r="D297" s="6">
        <v>44277</v>
      </c>
      <c r="E297" t="str">
        <f>"202103172241"</f>
        <v>202103172241</v>
      </c>
      <c r="F297" t="str">
        <f>"TIMOTHY LYLE HENNING"</f>
        <v>TIMOTHY LYLE HENNING</v>
      </c>
      <c r="G297" s="3">
        <v>1200</v>
      </c>
      <c r="H297" t="str">
        <f>"Hard Drive Dest"</f>
        <v>Hard Drive Dest</v>
      </c>
    </row>
    <row r="298" spans="1:8" x14ac:dyDescent="0.25">
      <c r="A298" t="s">
        <v>75</v>
      </c>
      <c r="B298">
        <v>134961</v>
      </c>
      <c r="C298" s="3">
        <v>596.15</v>
      </c>
      <c r="D298" s="6">
        <v>44277</v>
      </c>
      <c r="E298" t="str">
        <f>"202103112095"</f>
        <v>202103112095</v>
      </c>
      <c r="F298" t="str">
        <f>"19-19647"</f>
        <v>19-19647</v>
      </c>
      <c r="G298" s="3">
        <v>75</v>
      </c>
      <c r="H298" t="str">
        <f>"19-19647"</f>
        <v>19-19647</v>
      </c>
    </row>
    <row r="299" spans="1:8" x14ac:dyDescent="0.25">
      <c r="E299" t="str">
        <f>"202103112096"</f>
        <v>202103112096</v>
      </c>
      <c r="F299" t="str">
        <f>"19-19684"</f>
        <v>19-19684</v>
      </c>
      <c r="G299" s="3">
        <v>100</v>
      </c>
      <c r="H299" t="str">
        <f>"19-19684"</f>
        <v>19-19684</v>
      </c>
    </row>
    <row r="300" spans="1:8" x14ac:dyDescent="0.25">
      <c r="E300" t="str">
        <f>"202103112097"</f>
        <v>202103112097</v>
      </c>
      <c r="F300" t="str">
        <f>"21-20593"</f>
        <v>21-20593</v>
      </c>
      <c r="G300" s="3">
        <v>100</v>
      </c>
      <c r="H300" t="str">
        <f>"21-20593"</f>
        <v>21-20593</v>
      </c>
    </row>
    <row r="301" spans="1:8" x14ac:dyDescent="0.25">
      <c r="E301" t="str">
        <f>"202103112098"</f>
        <v>202103112098</v>
      </c>
      <c r="F301" t="str">
        <f>"19-19849"</f>
        <v>19-19849</v>
      </c>
      <c r="G301" s="3">
        <v>175</v>
      </c>
      <c r="H301" t="str">
        <f>"19-19849"</f>
        <v>19-19849</v>
      </c>
    </row>
    <row r="302" spans="1:8" x14ac:dyDescent="0.25">
      <c r="E302" t="str">
        <f>"202103112099"</f>
        <v>202103112099</v>
      </c>
      <c r="F302" t="str">
        <f>"20-20357"</f>
        <v>20-20357</v>
      </c>
      <c r="G302" s="3">
        <v>146.15</v>
      </c>
      <c r="H302" t="str">
        <f>"20-20357"</f>
        <v>20-20357</v>
      </c>
    </row>
    <row r="303" spans="1:8" x14ac:dyDescent="0.25">
      <c r="A303" t="s">
        <v>76</v>
      </c>
      <c r="B303">
        <v>4165</v>
      </c>
      <c r="C303" s="3">
        <v>3450</v>
      </c>
      <c r="D303" s="6">
        <v>44278</v>
      </c>
      <c r="E303" t="str">
        <f>"202103102047"</f>
        <v>202103102047</v>
      </c>
      <c r="F303" t="str">
        <f>"423-7686"</f>
        <v>423-7686</v>
      </c>
      <c r="G303" s="3">
        <v>100</v>
      </c>
      <c r="H303" t="str">
        <f>"423-7686"</f>
        <v>423-7686</v>
      </c>
    </row>
    <row r="304" spans="1:8" x14ac:dyDescent="0.25">
      <c r="E304" t="str">
        <f>"202103102048"</f>
        <v>202103102048</v>
      </c>
      <c r="F304" t="str">
        <f>"312192020D"</f>
        <v>312192020D</v>
      </c>
      <c r="G304" s="3">
        <v>400</v>
      </c>
      <c r="H304" t="str">
        <f>"312192020D"</f>
        <v>312192020D</v>
      </c>
    </row>
    <row r="305" spans="1:8" x14ac:dyDescent="0.25">
      <c r="E305" t="str">
        <f>"202103102049"</f>
        <v>202103102049</v>
      </c>
      <c r="F305" t="str">
        <f>"2019-0327A"</f>
        <v>2019-0327A</v>
      </c>
      <c r="G305" s="3">
        <v>400</v>
      </c>
      <c r="H305" t="str">
        <f>"2019-0327A"</f>
        <v>2019-0327A</v>
      </c>
    </row>
    <row r="306" spans="1:8" x14ac:dyDescent="0.25">
      <c r="E306" t="str">
        <f>"202103102051"</f>
        <v>202103102051</v>
      </c>
      <c r="F306" t="str">
        <f>"20-20454"</f>
        <v>20-20454</v>
      </c>
      <c r="G306" s="3">
        <v>300</v>
      </c>
      <c r="H306" t="str">
        <f>"20-20454"</f>
        <v>20-20454</v>
      </c>
    </row>
    <row r="307" spans="1:8" x14ac:dyDescent="0.25">
      <c r="E307" t="str">
        <f>"202103102052"</f>
        <v>202103102052</v>
      </c>
      <c r="F307" t="str">
        <f>"312192020C"</f>
        <v>312192020C</v>
      </c>
      <c r="G307" s="3">
        <v>250</v>
      </c>
      <c r="H307" t="str">
        <f>"312192020C"</f>
        <v>312192020C</v>
      </c>
    </row>
    <row r="308" spans="1:8" x14ac:dyDescent="0.25">
      <c r="E308" t="str">
        <f>"202103102053"</f>
        <v>202103102053</v>
      </c>
      <c r="F308" t="str">
        <f>"JP110042020"</f>
        <v>JP110042020</v>
      </c>
      <c r="G308" s="3">
        <v>250</v>
      </c>
      <c r="H308" t="str">
        <f>"JP110042020"</f>
        <v>JP110042020</v>
      </c>
    </row>
    <row r="309" spans="1:8" x14ac:dyDescent="0.25">
      <c r="E309" t="str">
        <f>"202103102054"</f>
        <v>202103102054</v>
      </c>
      <c r="F309" t="str">
        <f>"56-489 56-490"</f>
        <v>56-489 56-490</v>
      </c>
      <c r="G309" s="3">
        <v>500</v>
      </c>
      <c r="H309" t="str">
        <f>"56-489 56-490"</f>
        <v>56-489 56-490</v>
      </c>
    </row>
    <row r="310" spans="1:8" x14ac:dyDescent="0.25">
      <c r="E310" t="str">
        <f>"202103102055"</f>
        <v>202103102055</v>
      </c>
      <c r="F310" t="str">
        <f>"21-20565"</f>
        <v>21-20565</v>
      </c>
      <c r="G310" s="3">
        <v>400</v>
      </c>
      <c r="H310" t="str">
        <f>"21-20565"</f>
        <v>21-20565</v>
      </c>
    </row>
    <row r="311" spans="1:8" x14ac:dyDescent="0.25">
      <c r="E311" t="str">
        <f>"202103102056"</f>
        <v>202103102056</v>
      </c>
      <c r="F311" t="str">
        <f>"19-19948"</f>
        <v>19-19948</v>
      </c>
      <c r="G311" s="3">
        <v>250</v>
      </c>
      <c r="H311" t="str">
        <f>"19-19948"</f>
        <v>19-19948</v>
      </c>
    </row>
    <row r="312" spans="1:8" x14ac:dyDescent="0.25">
      <c r="E312" t="str">
        <f>"202103102057"</f>
        <v>202103102057</v>
      </c>
      <c r="F312" t="str">
        <f>"20-20085"</f>
        <v>20-20085</v>
      </c>
      <c r="G312" s="3">
        <v>100</v>
      </c>
      <c r="H312" t="str">
        <f>"20-20085"</f>
        <v>20-20085</v>
      </c>
    </row>
    <row r="313" spans="1:8" x14ac:dyDescent="0.25">
      <c r="E313" t="str">
        <f>"202103102063"</f>
        <v>202103102063</v>
      </c>
      <c r="F313" t="str">
        <f>"56-490 56-489"</f>
        <v>56-490 56-489</v>
      </c>
      <c r="G313" s="3">
        <v>500</v>
      </c>
      <c r="H313" t="str">
        <f>"56-490 56-489"</f>
        <v>56-490 56-489</v>
      </c>
    </row>
    <row r="314" spans="1:8" x14ac:dyDescent="0.25">
      <c r="A314" t="s">
        <v>77</v>
      </c>
      <c r="B314">
        <v>134819</v>
      </c>
      <c r="C314" s="3">
        <v>150</v>
      </c>
      <c r="D314" s="6">
        <v>44263</v>
      </c>
      <c r="E314" t="str">
        <f>"9122402459"</f>
        <v>9122402459</v>
      </c>
      <c r="F314" t="str">
        <f>"INV 9122402459"</f>
        <v>INV 9122402459</v>
      </c>
      <c r="G314" s="3">
        <v>100</v>
      </c>
      <c r="H314" t="str">
        <f>"INV 9122402459"</f>
        <v>INV 9122402459</v>
      </c>
    </row>
    <row r="315" spans="1:8" x14ac:dyDescent="0.25">
      <c r="E315" t="str">
        <f>"9122402460"</f>
        <v>9122402460</v>
      </c>
      <c r="F315" t="str">
        <f>"INV 9122402460"</f>
        <v>INV 9122402460</v>
      </c>
      <c r="G315" s="3">
        <v>50</v>
      </c>
      <c r="H315" t="str">
        <f>"INV 9122402460"</f>
        <v>INV 9122402460</v>
      </c>
    </row>
    <row r="316" spans="1:8" x14ac:dyDescent="0.25">
      <c r="A316" t="s">
        <v>78</v>
      </c>
      <c r="B316">
        <v>134820</v>
      </c>
      <c r="C316" s="3">
        <v>256.08</v>
      </c>
      <c r="D316" s="6">
        <v>44263</v>
      </c>
      <c r="E316" t="str">
        <f>"202103031954"</f>
        <v>202103031954</v>
      </c>
      <c r="F316" t="str">
        <f>"PAYER#14108463/ANIMAL SHELTER"</f>
        <v>PAYER#14108463/ANIMAL SHELTER</v>
      </c>
      <c r="G316" s="3">
        <v>256.08</v>
      </c>
      <c r="H316" t="str">
        <f>"PAYER#14108463/ANIMAL SHELTER"</f>
        <v>PAYER#14108463/ANIMAL SHELTER</v>
      </c>
    </row>
    <row r="317" spans="1:8" x14ac:dyDescent="0.25">
      <c r="A317" t="s">
        <v>78</v>
      </c>
      <c r="B317">
        <v>134962</v>
      </c>
      <c r="C317" s="3">
        <v>4325.13</v>
      </c>
      <c r="D317" s="6">
        <v>44277</v>
      </c>
      <c r="E317" t="str">
        <f>"202103112087"</f>
        <v>202103112087</v>
      </c>
      <c r="F317" t="str">
        <f>"PAYER#14108430/PCT#4"</f>
        <v>PAYER#14108430/PCT#4</v>
      </c>
      <c r="G317" s="3">
        <v>1085.94</v>
      </c>
      <c r="H317" t="str">
        <f>"PAYER#14108430/PCT#4"</f>
        <v>PAYER#14108430/PCT#4</v>
      </c>
    </row>
    <row r="318" spans="1:8" x14ac:dyDescent="0.25">
      <c r="E318" t="str">
        <f>"202103112091"</f>
        <v>202103112091</v>
      </c>
      <c r="F318" t="str">
        <f>"PAYER#14108431/PCT#1"</f>
        <v>PAYER#14108431/PCT#1</v>
      </c>
      <c r="G318" s="3">
        <v>967.89</v>
      </c>
      <c r="H318" t="str">
        <f>"PAYER#14108431/PCT#1"</f>
        <v>PAYER#14108431/PCT#1</v>
      </c>
    </row>
    <row r="319" spans="1:8" x14ac:dyDescent="0.25">
      <c r="E319" t="str">
        <f>"202103112094"</f>
        <v>202103112094</v>
      </c>
      <c r="F319" t="str">
        <f>"PAYER#14108367/PCT#2"</f>
        <v>PAYER#14108367/PCT#2</v>
      </c>
      <c r="G319" s="3">
        <v>488.05</v>
      </c>
      <c r="H319" t="str">
        <f>"PAYER#14108367/PCT#2"</f>
        <v>PAYER#14108367/PCT#2</v>
      </c>
    </row>
    <row r="320" spans="1:8" x14ac:dyDescent="0.25">
      <c r="E320" t="str">
        <f>"202103152145"</f>
        <v>202103152145</v>
      </c>
      <c r="F320" t="str">
        <f>"PAYER#14108375/GENERAL SV"</f>
        <v>PAYER#14108375/GENERAL SV</v>
      </c>
      <c r="G320" s="3">
        <v>1723.86</v>
      </c>
      <c r="H320" t="str">
        <f>"PAYER#14108375/GENERAL SV"</f>
        <v>PAYER#14108375/GENERAL SV</v>
      </c>
    </row>
    <row r="321" spans="1:8" x14ac:dyDescent="0.25">
      <c r="E321" t="str">
        <f>"202103152157"</f>
        <v>202103152157</v>
      </c>
      <c r="F321" t="str">
        <f>"PAYER#14108431/SIGN SHOP"</f>
        <v>PAYER#14108431/SIGN SHOP</v>
      </c>
      <c r="G321" s="3">
        <v>59.39</v>
      </c>
      <c r="H321" t="str">
        <f>"PAYER#14108431/SIGN SHOP"</f>
        <v>PAYER#14108431/SIGN SHOP</v>
      </c>
    </row>
    <row r="322" spans="1:8" x14ac:dyDescent="0.25">
      <c r="A322" t="s">
        <v>78</v>
      </c>
      <c r="B322">
        <v>134963</v>
      </c>
      <c r="C322" s="3">
        <v>318.23</v>
      </c>
      <c r="D322" s="6">
        <v>44277</v>
      </c>
      <c r="E322" t="str">
        <f>"8405025395"</f>
        <v>8405025395</v>
      </c>
      <c r="F322" t="str">
        <f>"CUST#10377368"</f>
        <v>CUST#10377368</v>
      </c>
      <c r="G322" s="3">
        <v>53.06</v>
      </c>
      <c r="H322" t="str">
        <f>"CUST#10377368"</f>
        <v>CUST#10377368</v>
      </c>
    </row>
    <row r="323" spans="1:8" x14ac:dyDescent="0.25">
      <c r="E323" t="str">
        <f>"8405043115"</f>
        <v>8405043115</v>
      </c>
      <c r="F323" t="str">
        <f>"CUST#10377368/PCT#3"</f>
        <v>CUST#10377368/PCT#3</v>
      </c>
      <c r="G323" s="3">
        <v>265.17</v>
      </c>
      <c r="H323" t="str">
        <f>"CUST#10377368/PCT#3"</f>
        <v>CUST#10377368/PCT#3</v>
      </c>
    </row>
    <row r="324" spans="1:8" x14ac:dyDescent="0.25">
      <c r="A324" t="s">
        <v>79</v>
      </c>
      <c r="B324">
        <v>988</v>
      </c>
      <c r="C324" s="3">
        <v>9563.4599999999991</v>
      </c>
      <c r="D324" s="6">
        <v>44280</v>
      </c>
      <c r="E324" t="str">
        <f>"202103252350"</f>
        <v>202103252350</v>
      </c>
      <c r="F324" t="str">
        <f>"ACCT# 72-5613 / 02032021"</f>
        <v>ACCT# 72-5613 / 02032021</v>
      </c>
      <c r="G324" s="3">
        <v>-299.08</v>
      </c>
      <c r="H324" t="str">
        <f>"ACCT# 72-5613 / 02032021"</f>
        <v>ACCT# 72-5613 / 02032021</v>
      </c>
    </row>
    <row r="325" spans="1:8" x14ac:dyDescent="0.25">
      <c r="E325" t="str">
        <f>"202103252347"</f>
        <v>202103252347</v>
      </c>
      <c r="F325" t="str">
        <f>"ACCT#72-6513 / 03032021"</f>
        <v>ACCT#72-6513 / 03032021</v>
      </c>
      <c r="G325" s="3">
        <v>9563.4599999999991</v>
      </c>
      <c r="H325" t="str">
        <f>"ACCT#72-6513 / 03032021"</f>
        <v>ACCT#72-6513 / 03032021</v>
      </c>
    </row>
    <row r="326" spans="1:8" x14ac:dyDescent="0.25">
      <c r="E326" t="str">
        <f>"202103252348"</f>
        <v>202103252348</v>
      </c>
      <c r="F326" t="str">
        <f>"ACCT# 72-5613 / 02032021"</f>
        <v>ACCT# 72-5613 / 02032021</v>
      </c>
      <c r="G326" s="3">
        <v>299.08</v>
      </c>
      <c r="H326" t="str">
        <f>"ACCT# 72-5613 / 02032021"</f>
        <v>ACCT# 72-5613 / 02032021</v>
      </c>
    </row>
    <row r="327" spans="1:8" x14ac:dyDescent="0.25">
      <c r="A327" t="s">
        <v>80</v>
      </c>
      <c r="B327">
        <v>134821</v>
      </c>
      <c r="C327" s="3">
        <v>400</v>
      </c>
      <c r="D327" s="6">
        <v>44263</v>
      </c>
      <c r="E327" t="str">
        <f>"BA_BSTP_CO-032020"</f>
        <v>BA_BSTP_CO-032020</v>
      </c>
      <c r="F327" t="str">
        <f>"WORK ORD#439455/JEP TELECOM SV"</f>
        <v>WORK ORD#439455/JEP TELECOM SV</v>
      </c>
      <c r="G327" s="3">
        <v>400</v>
      </c>
      <c r="H327" t="str">
        <f>"WORK ORD#439455/JEP TELECOM SV"</f>
        <v>WORK ORD#439455/JEP TELECOM SV</v>
      </c>
    </row>
    <row r="328" spans="1:8" x14ac:dyDescent="0.25">
      <c r="A328" t="s">
        <v>81</v>
      </c>
      <c r="B328">
        <v>134913</v>
      </c>
      <c r="C328" s="3">
        <v>41662.69</v>
      </c>
      <c r="D328" s="6">
        <v>44271</v>
      </c>
      <c r="E328" t="str">
        <f>"202103122118"</f>
        <v>202103122118</v>
      </c>
      <c r="F328" t="str">
        <f>"ACCT#02-2083-04 / 02282021"</f>
        <v>ACCT#02-2083-04 / 02282021</v>
      </c>
      <c r="G328" s="3">
        <v>5690.48</v>
      </c>
      <c r="H328" t="str">
        <f>"ACCT#02-2083-04 / 02282021"</f>
        <v>ACCT#02-2083-04 / 02282021</v>
      </c>
    </row>
    <row r="329" spans="1:8" x14ac:dyDescent="0.25">
      <c r="E329" t="str">
        <f>"202103122119"</f>
        <v>202103122119</v>
      </c>
      <c r="F329" t="str">
        <f>"COUNTY DEV CENTER / 02282021"</f>
        <v>COUNTY DEV CENTER / 02282021</v>
      </c>
      <c r="G329" s="3">
        <v>1825.89</v>
      </c>
      <c r="H329" t="str">
        <f>"COUNTY DEV CENTER / 02282021"</f>
        <v>COUNTY DEV CENTER / 02282021</v>
      </c>
    </row>
    <row r="330" spans="1:8" x14ac:dyDescent="0.25">
      <c r="E330" t="str">
        <f>"202103122120"</f>
        <v>202103122120</v>
      </c>
      <c r="F330" t="str">
        <f>"COUNTY LAW CTR / 02282021"</f>
        <v>COUNTY LAW CTR / 02282021</v>
      </c>
      <c r="G330" s="3">
        <v>19408.330000000002</v>
      </c>
      <c r="H330" t="str">
        <f>"COUNTY LAW CTR / 02282021"</f>
        <v>COUNTY LAW CTR / 02282021</v>
      </c>
    </row>
    <row r="331" spans="1:8" x14ac:dyDescent="0.25">
      <c r="E331" t="str">
        <f>"202103122121"</f>
        <v>202103122121</v>
      </c>
      <c r="F331" t="str">
        <f>"BASTROP COURT HOUSE / 02282021"</f>
        <v>BASTROP COURT HOUSE / 02282021</v>
      </c>
      <c r="G331" s="3">
        <v>14737.99</v>
      </c>
      <c r="H331" t="str">
        <f>"BASTROP COURT HOUSE / 02282021"</f>
        <v>BASTROP COURT HOUSE / 02282021</v>
      </c>
    </row>
    <row r="332" spans="1:8" x14ac:dyDescent="0.25">
      <c r="A332" t="s">
        <v>81</v>
      </c>
      <c r="B332">
        <v>134964</v>
      </c>
      <c r="C332" s="3">
        <v>750</v>
      </c>
      <c r="D332" s="6">
        <v>44277</v>
      </c>
      <c r="E332" t="str">
        <f>"202103152147"</f>
        <v>202103152147</v>
      </c>
      <c r="F332" t="str">
        <f>"PARKING LOT RENTAL"</f>
        <v>PARKING LOT RENTAL</v>
      </c>
      <c r="G332" s="3">
        <v>750</v>
      </c>
      <c r="H332" t="str">
        <f>"PARKING LOT RENTAL"</f>
        <v>PARKING LOT RENTAL</v>
      </c>
    </row>
    <row r="333" spans="1:8" x14ac:dyDescent="0.25">
      <c r="A333" t="s">
        <v>82</v>
      </c>
      <c r="B333">
        <v>134914</v>
      </c>
      <c r="C333" s="3">
        <v>3112.27</v>
      </c>
      <c r="D333" s="6">
        <v>44271</v>
      </c>
      <c r="E333" t="str">
        <f>"202103122140"</f>
        <v>202103122140</v>
      </c>
      <c r="F333" t="str">
        <f>"ACCT#007-0000389-000/03012021"</f>
        <v>ACCT#007-0000389-000/03012021</v>
      </c>
      <c r="G333" s="3">
        <v>22.86</v>
      </c>
      <c r="H333" t="str">
        <f>"CITY OF SMITHVILLE"</f>
        <v>CITY OF SMITHVILLE</v>
      </c>
    </row>
    <row r="334" spans="1:8" x14ac:dyDescent="0.25">
      <c r="E334" t="str">
        <f>"202103122141"</f>
        <v>202103122141</v>
      </c>
      <c r="F334" t="str">
        <f>"ACCT#044-0001240-000/03012021"</f>
        <v>ACCT#044-0001240-000/03012021</v>
      </c>
      <c r="G334" s="3">
        <v>338.74</v>
      </c>
      <c r="H334" t="str">
        <f>"CITY OF SMITHVILLE"</f>
        <v>CITY OF SMITHVILLE</v>
      </c>
    </row>
    <row r="335" spans="1:8" x14ac:dyDescent="0.25">
      <c r="E335" t="str">
        <f>"202103122142"</f>
        <v>202103122142</v>
      </c>
      <c r="F335" t="str">
        <f>"ACCT#044-0001250-000/03012021"</f>
        <v>ACCT#044-0001250-000/03012021</v>
      </c>
      <c r="G335" s="3">
        <v>129.85</v>
      </c>
      <c r="H335" t="str">
        <f>"CITY OF SMITHVILLE"</f>
        <v>CITY OF SMITHVILLE</v>
      </c>
    </row>
    <row r="336" spans="1:8" x14ac:dyDescent="0.25">
      <c r="E336" t="str">
        <f>"202103122143"</f>
        <v>202103122143</v>
      </c>
      <c r="F336" t="str">
        <f>"ACCT#044-0001252-000/03/012021"</f>
        <v>ACCT#044-0001252-000/03/012021</v>
      </c>
      <c r="G336" s="3">
        <v>2041.13</v>
      </c>
      <c r="H336" t="str">
        <f>"ACCT#044-0001252-000/03/012021"</f>
        <v>ACCT#044-0001252-000/03/012021</v>
      </c>
    </row>
    <row r="337" spans="1:8" x14ac:dyDescent="0.25">
      <c r="E337" t="str">
        <f>"202103122144"</f>
        <v>202103122144</v>
      </c>
      <c r="F337" t="str">
        <f>"ACCT#044-0001253-000/03012021"</f>
        <v>ACCT#044-0001253-000/03012021</v>
      </c>
      <c r="G337" s="3">
        <v>246.57</v>
      </c>
      <c r="H337" t="str">
        <f>"CITY OF SMITHVILLE"</f>
        <v>CITY OF SMITHVILLE</v>
      </c>
    </row>
    <row r="338" spans="1:8" x14ac:dyDescent="0.25">
      <c r="E338" t="str">
        <f>"202103162198"</f>
        <v>202103162198</v>
      </c>
      <c r="F338" t="str">
        <f>"ACCT#007-0000388-000/03012021"</f>
        <v>ACCT#007-0000388-000/03012021</v>
      </c>
      <c r="G338" s="3">
        <v>333.12</v>
      </c>
      <c r="H338" t="str">
        <f>"ACCT#007-0000388-000/03012021"</f>
        <v>ACCT#007-0000388-000/03012021</v>
      </c>
    </row>
    <row r="339" spans="1:8" x14ac:dyDescent="0.25">
      <c r="A339" t="s">
        <v>82</v>
      </c>
      <c r="B339">
        <v>135093</v>
      </c>
      <c r="C339" s="3">
        <v>4121</v>
      </c>
      <c r="D339" s="6">
        <v>44286</v>
      </c>
      <c r="E339" t="str">
        <f>"202103312371"</f>
        <v>202103312371</v>
      </c>
      <c r="F339" t="str">
        <f>"ACCT#007-0000388-000/03262021"</f>
        <v>ACCT#007-0000388-000/03262021</v>
      </c>
      <c r="G339" s="3">
        <v>517.48</v>
      </c>
      <c r="H339" t="str">
        <f>"ACCT#007-0000388-000/03262021"</f>
        <v>ACCT#007-0000388-000/03262021</v>
      </c>
    </row>
    <row r="340" spans="1:8" x14ac:dyDescent="0.25">
      <c r="E340" t="str">
        <f>"202103312372"</f>
        <v>202103312372</v>
      </c>
      <c r="F340" t="str">
        <f>"ACCT#007-0000389-000/03262021"</f>
        <v>ACCT#007-0000389-000/03262021</v>
      </c>
      <c r="G340" s="3">
        <v>80.709999999999994</v>
      </c>
      <c r="H340" t="str">
        <f>"CITY OF SMITHVILLE"</f>
        <v>CITY OF SMITHVILLE</v>
      </c>
    </row>
    <row r="341" spans="1:8" x14ac:dyDescent="0.25">
      <c r="E341" t="str">
        <f>"202103312373"</f>
        <v>202103312373</v>
      </c>
      <c r="F341" t="str">
        <f>"ACCT#044-0001240-000/03262021"</f>
        <v>ACCT#044-0001240-000/03262021</v>
      </c>
      <c r="G341" s="3">
        <v>464.68</v>
      </c>
      <c r="H341" t="str">
        <f>"ACCT#044-0001240-000/03262021"</f>
        <v>ACCT#044-0001240-000/03262021</v>
      </c>
    </row>
    <row r="342" spans="1:8" x14ac:dyDescent="0.25">
      <c r="E342" t="str">
        <f>"202103312374"</f>
        <v>202103312374</v>
      </c>
      <c r="F342" t="str">
        <f>"ACCT#044-0001250-000/03262021"</f>
        <v>ACCT#044-0001250-000/03262021</v>
      </c>
      <c r="G342" s="3">
        <v>159.55000000000001</v>
      </c>
      <c r="H342" t="str">
        <f>"CITY OF SMITHVILLE"</f>
        <v>CITY OF SMITHVILLE</v>
      </c>
    </row>
    <row r="343" spans="1:8" x14ac:dyDescent="0.25">
      <c r="E343" t="str">
        <f>"202103312375"</f>
        <v>202103312375</v>
      </c>
      <c r="F343" t="str">
        <f>"ACCT#044-0001252-000/03262021"</f>
        <v>ACCT#044-0001252-000/03262021</v>
      </c>
      <c r="G343" s="3">
        <v>2590.5</v>
      </c>
      <c r="H343" t="str">
        <f>"CITY OF SMITHVILLE"</f>
        <v>CITY OF SMITHVILLE</v>
      </c>
    </row>
    <row r="344" spans="1:8" x14ac:dyDescent="0.25">
      <c r="E344" t="str">
        <f>"202103312376"</f>
        <v>202103312376</v>
      </c>
      <c r="F344" t="str">
        <f>"ACCT#044-0001253-000/03262021"</f>
        <v>ACCT#044-0001253-000/03262021</v>
      </c>
      <c r="G344" s="3">
        <v>308.08</v>
      </c>
      <c r="H344" t="str">
        <f>"CITY OF SMITHVILLE"</f>
        <v>CITY OF SMITHVILLE</v>
      </c>
    </row>
    <row r="345" spans="1:8" x14ac:dyDescent="0.25">
      <c r="A345" t="s">
        <v>83</v>
      </c>
      <c r="B345">
        <v>4102</v>
      </c>
      <c r="C345" s="3">
        <v>749</v>
      </c>
      <c r="D345" s="6">
        <v>44278</v>
      </c>
      <c r="E345" t="str">
        <f>"0072920"</f>
        <v>0072920</v>
      </c>
      <c r="F345" t="str">
        <f>"INV PMA-0072920"</f>
        <v>INV PMA-0072920</v>
      </c>
      <c r="G345" s="3">
        <v>749</v>
      </c>
      <c r="H345" t="str">
        <f>"INV PMA-0072920"</f>
        <v>INV PMA-0072920</v>
      </c>
    </row>
    <row r="346" spans="1:8" x14ac:dyDescent="0.25">
      <c r="A346" t="s">
        <v>84</v>
      </c>
      <c r="B346">
        <v>4138</v>
      </c>
      <c r="C346" s="3">
        <v>160.04</v>
      </c>
      <c r="D346" s="6">
        <v>44278</v>
      </c>
      <c r="E346" t="str">
        <f>"202103162207"</f>
        <v>202103162207</v>
      </c>
      <c r="F346" t="str">
        <f>"INDIGENT HEALTH"</f>
        <v>INDIGENT HEALTH</v>
      </c>
      <c r="G346" s="3">
        <v>160.04</v>
      </c>
      <c r="H346" t="str">
        <f>"INDIGENT HEALTH"</f>
        <v>INDIGENT HEALTH</v>
      </c>
    </row>
    <row r="347" spans="1:8" x14ac:dyDescent="0.25">
      <c r="E347" t="str">
        <f>""</f>
        <v/>
      </c>
      <c r="F347" t="str">
        <f>""</f>
        <v/>
      </c>
      <c r="H347" t="str">
        <f>"INDIGENT HEALTH"</f>
        <v>INDIGENT HEALTH</v>
      </c>
    </row>
    <row r="348" spans="1:8" x14ac:dyDescent="0.25">
      <c r="A348" t="s">
        <v>85</v>
      </c>
      <c r="B348">
        <v>134965</v>
      </c>
      <c r="C348" s="3">
        <v>33.14</v>
      </c>
      <c r="D348" s="6">
        <v>44277</v>
      </c>
      <c r="E348" t="str">
        <f>"202103162206"</f>
        <v>202103162206</v>
      </c>
      <c r="F348" t="str">
        <f>"INDIGENT HEALTH"</f>
        <v>INDIGENT HEALTH</v>
      </c>
      <c r="G348" s="3">
        <v>33.14</v>
      </c>
      <c r="H348" t="str">
        <f>"INDIGENT HEALTH"</f>
        <v>INDIGENT HEALTH</v>
      </c>
    </row>
    <row r="349" spans="1:8" x14ac:dyDescent="0.25">
      <c r="A349" t="s">
        <v>86</v>
      </c>
      <c r="B349">
        <v>4108</v>
      </c>
      <c r="C349" s="3">
        <v>150.1</v>
      </c>
      <c r="D349" s="6">
        <v>44278</v>
      </c>
      <c r="E349" t="str">
        <f>"12457106228"</f>
        <v>12457106228</v>
      </c>
      <c r="F349" t="str">
        <f>"INV 12457106228"</f>
        <v>INV 12457106228</v>
      </c>
      <c r="G349" s="3">
        <v>150.1</v>
      </c>
      <c r="H349" t="str">
        <f>"INV 12457106228"</f>
        <v>INV 12457106228</v>
      </c>
    </row>
    <row r="350" spans="1:8" x14ac:dyDescent="0.25">
      <c r="E350" t="str">
        <f>""</f>
        <v/>
      </c>
      <c r="F350" t="str">
        <f>""</f>
        <v/>
      </c>
      <c r="H350" t="str">
        <f>"CREDIT"</f>
        <v>CREDIT</v>
      </c>
    </row>
    <row r="351" spans="1:8" x14ac:dyDescent="0.25">
      <c r="A351" t="s">
        <v>87</v>
      </c>
      <c r="B351">
        <v>4111</v>
      </c>
      <c r="C351" s="3">
        <v>1157.4100000000001</v>
      </c>
      <c r="D351" s="6">
        <v>44278</v>
      </c>
      <c r="E351" t="str">
        <f>"202103162208"</f>
        <v>202103162208</v>
      </c>
      <c r="F351" t="str">
        <f>"INDIGENT HEALTH"</f>
        <v>INDIGENT HEALTH</v>
      </c>
      <c r="G351" s="3">
        <v>1157.4100000000001</v>
      </c>
      <c r="H351" t="str">
        <f>"INDIGENT HEALTH"</f>
        <v>INDIGENT HEALTH</v>
      </c>
    </row>
    <row r="352" spans="1:8" x14ac:dyDescent="0.25">
      <c r="E352" t="str">
        <f>""</f>
        <v/>
      </c>
      <c r="F352" t="str">
        <f>""</f>
        <v/>
      </c>
      <c r="H352" t="str">
        <f>"INDIGENT HEALTH"</f>
        <v>INDIGENT HEALTH</v>
      </c>
    </row>
    <row r="353" spans="1:8" x14ac:dyDescent="0.25">
      <c r="A353" t="s">
        <v>88</v>
      </c>
      <c r="B353">
        <v>134822</v>
      </c>
      <c r="C353" s="3">
        <v>2412.7199999999998</v>
      </c>
      <c r="D353" s="6">
        <v>44263</v>
      </c>
      <c r="E353" t="str">
        <f>"22227396"</f>
        <v>22227396</v>
      </c>
      <c r="F353" t="str">
        <f>"ACCT#2052700385107/PCT#4"</f>
        <v>ACCT#2052700385107/PCT#4</v>
      </c>
      <c r="G353" s="3">
        <v>2412.7199999999998</v>
      </c>
      <c r="H353" t="str">
        <f>"ACCT#2052700385107/PCT#4"</f>
        <v>ACCT#2052700385107/PCT#4</v>
      </c>
    </row>
    <row r="354" spans="1:8" x14ac:dyDescent="0.25">
      <c r="A354" t="s">
        <v>88</v>
      </c>
      <c r="B354">
        <v>134966</v>
      </c>
      <c r="C354" s="3">
        <v>1296</v>
      </c>
      <c r="D354" s="6">
        <v>44277</v>
      </c>
      <c r="E354" t="str">
        <f>"22342590"</f>
        <v>22342590</v>
      </c>
      <c r="F354" t="str">
        <f>"ACCT#205270035107/PCT#4"</f>
        <v>ACCT#205270035107/PCT#4</v>
      </c>
      <c r="G354" s="3">
        <v>1296</v>
      </c>
      <c r="H354" t="str">
        <f>"ACCT#205270035107/PCT#4"</f>
        <v>ACCT#205270035107/PCT#4</v>
      </c>
    </row>
    <row r="355" spans="1:8" x14ac:dyDescent="0.25">
      <c r="A355" t="s">
        <v>89</v>
      </c>
      <c r="B355">
        <v>134967</v>
      </c>
      <c r="C355" s="3">
        <v>200</v>
      </c>
      <c r="D355" s="6">
        <v>44277</v>
      </c>
      <c r="E355" t="str">
        <f>"M671"</f>
        <v>M671</v>
      </c>
      <c r="F355" t="str">
        <f>"SPONSORSHIP/ADENA LEWIS"</f>
        <v>SPONSORSHIP/ADENA LEWIS</v>
      </c>
      <c r="G355" s="3">
        <v>200</v>
      </c>
      <c r="H355" t="str">
        <f>"SPONSORSHIP/ADENA LEWIS"</f>
        <v>SPONSORSHIP/ADENA LEWIS</v>
      </c>
    </row>
    <row r="356" spans="1:8" x14ac:dyDescent="0.25">
      <c r="A356" t="s">
        <v>90</v>
      </c>
      <c r="B356">
        <v>4073</v>
      </c>
      <c r="C356" s="3">
        <v>350815.5</v>
      </c>
      <c r="D356" s="6">
        <v>44264</v>
      </c>
      <c r="E356" t="str">
        <f>"597-19"</f>
        <v>597-19</v>
      </c>
      <c r="F356" t="str">
        <f>"SelfPropelledChipspreader"</f>
        <v>SelfPropelledChipspreader</v>
      </c>
      <c r="G356" s="3">
        <v>350815.5</v>
      </c>
      <c r="H356" t="str">
        <f>"SelfPropelledChipspreader"</f>
        <v>SelfPropelledChipspreader</v>
      </c>
    </row>
    <row r="357" spans="1:8" x14ac:dyDescent="0.25">
      <c r="E357" t="str">
        <f>""</f>
        <v/>
      </c>
      <c r="F357" t="str">
        <f>""</f>
        <v/>
      </c>
      <c r="H357" t="str">
        <f>"4Wheel DriveSystem"</f>
        <v>4Wheel DriveSystem</v>
      </c>
    </row>
    <row r="358" spans="1:8" x14ac:dyDescent="0.25">
      <c r="E358" t="str">
        <f>""</f>
        <v/>
      </c>
      <c r="F358" t="str">
        <f>""</f>
        <v/>
      </c>
      <c r="H358" t="str">
        <f>"VariableW/SpreadHopp"</f>
        <v>VariableW/SpreadHopp</v>
      </c>
    </row>
    <row r="359" spans="1:8" x14ac:dyDescent="0.25">
      <c r="E359" t="str">
        <f>""</f>
        <v/>
      </c>
      <c r="F359" t="str">
        <f>""</f>
        <v/>
      </c>
      <c r="H359" t="str">
        <f>"HydraulicPoweredRais"</f>
        <v>HydraulicPoweredRais</v>
      </c>
    </row>
    <row r="360" spans="1:8" x14ac:dyDescent="0.25">
      <c r="E360" t="str">
        <f>""</f>
        <v/>
      </c>
      <c r="F360" t="str">
        <f>""</f>
        <v/>
      </c>
      <c r="H360" t="str">
        <f>"ElectricVibration"</f>
        <v>ElectricVibration</v>
      </c>
    </row>
    <row r="361" spans="1:8" x14ac:dyDescent="0.25">
      <c r="E361" t="str">
        <f>""</f>
        <v/>
      </c>
      <c r="F361" t="str">
        <f>""</f>
        <v/>
      </c>
      <c r="H361" t="str">
        <f>"PoweredSeat/Console"</f>
        <v>PoweredSeat/Console</v>
      </c>
    </row>
    <row r="362" spans="1:8" x14ac:dyDescent="0.25">
      <c r="E362" t="str">
        <f>""</f>
        <v/>
      </c>
      <c r="F362" t="str">
        <f>""</f>
        <v/>
      </c>
      <c r="H362" t="str">
        <f>"FlashingCableSupport"</f>
        <v>FlashingCableSupport</v>
      </c>
    </row>
    <row r="363" spans="1:8" x14ac:dyDescent="0.25">
      <c r="E363" t="str">
        <f>""</f>
        <v/>
      </c>
      <c r="F363" t="str">
        <f>""</f>
        <v/>
      </c>
      <c r="H363" t="str">
        <f>"StobeBeaconTelscopic"</f>
        <v>StobeBeaconTelscopic</v>
      </c>
    </row>
    <row r="364" spans="1:8" x14ac:dyDescent="0.25">
      <c r="E364" t="str">
        <f>""</f>
        <v/>
      </c>
      <c r="F364" t="str">
        <f>""</f>
        <v/>
      </c>
      <c r="H364" t="str">
        <f>"LEDFlasingLights"</f>
        <v>LEDFlasingLights</v>
      </c>
    </row>
    <row r="365" spans="1:8" x14ac:dyDescent="0.25">
      <c r="E365" t="str">
        <f>""</f>
        <v/>
      </c>
      <c r="F365" t="str">
        <f>""</f>
        <v/>
      </c>
      <c r="H365" t="str">
        <f>"OperatorShadeCanopy"</f>
        <v>OperatorShadeCanopy</v>
      </c>
    </row>
    <row r="366" spans="1:8" x14ac:dyDescent="0.25">
      <c r="E366" t="str">
        <f>""</f>
        <v/>
      </c>
      <c r="F366" t="str">
        <f>""</f>
        <v/>
      </c>
      <c r="H366" t="str">
        <f>"ReversingEngineFan"</f>
        <v>ReversingEngineFan</v>
      </c>
    </row>
    <row r="367" spans="1:8" x14ac:dyDescent="0.25">
      <c r="E367" t="str">
        <f>""</f>
        <v/>
      </c>
      <c r="F367" t="str">
        <f>""</f>
        <v/>
      </c>
      <c r="H367" t="str">
        <f>"RearControlPanelHand"</f>
        <v>RearControlPanelHand</v>
      </c>
    </row>
    <row r="368" spans="1:8" x14ac:dyDescent="0.25">
      <c r="E368" t="str">
        <f>""</f>
        <v/>
      </c>
      <c r="F368" t="str">
        <f>""</f>
        <v/>
      </c>
      <c r="H368" t="str">
        <f>"ContractDiscount"</f>
        <v>ContractDiscount</v>
      </c>
    </row>
    <row r="369" spans="1:8" x14ac:dyDescent="0.25">
      <c r="E369" t="str">
        <f>""</f>
        <v/>
      </c>
      <c r="F369" t="str">
        <f>""</f>
        <v/>
      </c>
      <c r="H369" t="str">
        <f>"FactoryFreightDealer"</f>
        <v>FactoryFreightDealer</v>
      </c>
    </row>
    <row r="370" spans="1:8" x14ac:dyDescent="0.25">
      <c r="A370" t="s">
        <v>90</v>
      </c>
      <c r="B370">
        <v>4137</v>
      </c>
      <c r="C370" s="3">
        <v>5177.3599999999997</v>
      </c>
      <c r="D370" s="6">
        <v>44278</v>
      </c>
      <c r="E370" t="str">
        <f>"WG01067"</f>
        <v>WG01067</v>
      </c>
      <c r="F370" t="str">
        <f>"ACCT#063/PCT#4"</f>
        <v>ACCT#063/PCT#4</v>
      </c>
      <c r="G370" s="3">
        <v>5177.3599999999997</v>
      </c>
      <c r="H370" t="str">
        <f>"ACCT#063/PCT#4"</f>
        <v>ACCT#063/PCT#4</v>
      </c>
    </row>
    <row r="371" spans="1:8" x14ac:dyDescent="0.25">
      <c r="A371" t="s">
        <v>91</v>
      </c>
      <c r="B371">
        <v>134968</v>
      </c>
      <c r="C371" s="3">
        <v>2637.3</v>
      </c>
      <c r="D371" s="6">
        <v>44277</v>
      </c>
      <c r="E371" t="str">
        <f>"75320"</f>
        <v>75320</v>
      </c>
      <c r="F371" t="str">
        <f>"INV 75320"</f>
        <v>INV 75320</v>
      </c>
      <c r="G371" s="3">
        <v>2637.3</v>
      </c>
      <c r="H371" t="str">
        <f>"INV 75320"</f>
        <v>INV 75320</v>
      </c>
    </row>
    <row r="372" spans="1:8" x14ac:dyDescent="0.25">
      <c r="E372" t="str">
        <f>""</f>
        <v/>
      </c>
      <c r="F372" t="str">
        <f>""</f>
        <v/>
      </c>
      <c r="H372" t="str">
        <f>"INV 75320"</f>
        <v>INV 75320</v>
      </c>
    </row>
    <row r="373" spans="1:8" x14ac:dyDescent="0.25">
      <c r="A373" t="s">
        <v>92</v>
      </c>
      <c r="B373">
        <v>134969</v>
      </c>
      <c r="C373" s="3">
        <v>2160</v>
      </c>
      <c r="D373" s="6">
        <v>44277</v>
      </c>
      <c r="E373" t="str">
        <f>"202103152171"</f>
        <v>202103152171</v>
      </c>
      <c r="F373" t="str">
        <f>"DUES OF 2021 COMMISSIONERS"</f>
        <v>DUES OF 2021 COMMISSIONERS</v>
      </c>
      <c r="G373" s="3">
        <v>2160</v>
      </c>
      <c r="H373" t="str">
        <f>"DUES OF 2021 COMMISSIONERS"</f>
        <v>DUES OF 2021 COMMISSIONERS</v>
      </c>
    </row>
    <row r="374" spans="1:8" x14ac:dyDescent="0.25">
      <c r="A374" t="s">
        <v>93</v>
      </c>
      <c r="B374">
        <v>134970</v>
      </c>
      <c r="C374" s="3">
        <v>150</v>
      </c>
      <c r="D374" s="6">
        <v>44277</v>
      </c>
      <c r="E374" t="str">
        <f>"13403"</f>
        <v>13403</v>
      </c>
      <c r="F374" t="str">
        <f>"SERVICE"</f>
        <v>SERVICE</v>
      </c>
      <c r="G374" s="3">
        <v>75</v>
      </c>
      <c r="H374" t="str">
        <f>"SERVICE"</f>
        <v>SERVICE</v>
      </c>
    </row>
    <row r="375" spans="1:8" x14ac:dyDescent="0.25">
      <c r="E375" t="str">
        <f>"13607"</f>
        <v>13607</v>
      </c>
      <c r="F375" t="str">
        <f>"SERVICE"</f>
        <v>SERVICE</v>
      </c>
      <c r="G375" s="3">
        <v>75</v>
      </c>
      <c r="H375" t="str">
        <f>"SERVICE"</f>
        <v>SERVICE</v>
      </c>
    </row>
    <row r="376" spans="1:8" x14ac:dyDescent="0.25">
      <c r="A376" t="s">
        <v>94</v>
      </c>
      <c r="B376">
        <v>4072</v>
      </c>
      <c r="C376" s="3">
        <v>95.18</v>
      </c>
      <c r="D376" s="6">
        <v>44264</v>
      </c>
      <c r="E376" t="str">
        <f>"256348"</f>
        <v>256348</v>
      </c>
      <c r="F376" t="str">
        <f>"CUST#4011/PCT#4"</f>
        <v>CUST#4011/PCT#4</v>
      </c>
      <c r="G376" s="3">
        <v>95.18</v>
      </c>
      <c r="H376" t="str">
        <f>"CUST#4011/PCT#4"</f>
        <v>CUST#4011/PCT#4</v>
      </c>
    </row>
    <row r="377" spans="1:8" x14ac:dyDescent="0.25">
      <c r="A377" t="s">
        <v>95</v>
      </c>
      <c r="B377">
        <v>134971</v>
      </c>
      <c r="C377" s="3">
        <v>4423.55</v>
      </c>
      <c r="D377" s="6">
        <v>44277</v>
      </c>
      <c r="E377" t="str">
        <f>"20-26242"</f>
        <v>20-26242</v>
      </c>
      <c r="F377" t="str">
        <f>"BUTLER ANIMAL HEALTH HOLDING C"</f>
        <v>BUTLER ANIMAL HEALTH HOLDING C</v>
      </c>
      <c r="G377" s="3">
        <v>3184.89</v>
      </c>
      <c r="H377" t="str">
        <f>"Rescue Disinfectant"</f>
        <v>Rescue Disinfectant</v>
      </c>
    </row>
    <row r="378" spans="1:8" x14ac:dyDescent="0.25">
      <c r="E378" t="str">
        <f>""</f>
        <v/>
      </c>
      <c r="F378" t="str">
        <f>""</f>
        <v/>
      </c>
      <c r="H378" t="str">
        <f>"Shipping"</f>
        <v>Shipping</v>
      </c>
    </row>
    <row r="379" spans="1:8" x14ac:dyDescent="0.25">
      <c r="E379" t="str">
        <f>"UF42071"</f>
        <v>UF42071</v>
      </c>
      <c r="F379" t="str">
        <f>"ACCT#68930-000"</f>
        <v>ACCT#68930-000</v>
      </c>
      <c r="G379" s="3">
        <v>102.98</v>
      </c>
      <c r="H379" t="str">
        <f t="shared" ref="H379:H386" si="6">"ACCT#68930-000"</f>
        <v>ACCT#68930-000</v>
      </c>
    </row>
    <row r="380" spans="1:8" x14ac:dyDescent="0.25">
      <c r="E380" t="str">
        <f>"UF45626"</f>
        <v>UF45626</v>
      </c>
      <c r="F380" t="str">
        <f>"ACCT#68930-000"</f>
        <v>ACCT#68930-000</v>
      </c>
      <c r="G380" s="3">
        <v>21.96</v>
      </c>
      <c r="H380" t="str">
        <f t="shared" si="6"/>
        <v>ACCT#68930-000</v>
      </c>
    </row>
    <row r="381" spans="1:8" x14ac:dyDescent="0.25">
      <c r="E381" t="str">
        <f>""</f>
        <v/>
      </c>
      <c r="F381" t="str">
        <f>""</f>
        <v/>
      </c>
      <c r="H381" t="str">
        <f t="shared" si="6"/>
        <v>ACCT#68930-000</v>
      </c>
    </row>
    <row r="382" spans="1:8" x14ac:dyDescent="0.25">
      <c r="E382" t="str">
        <f>"UF48555"</f>
        <v>UF48555</v>
      </c>
      <c r="F382" t="str">
        <f>"ACCT#68930-000"</f>
        <v>ACCT#68930-000</v>
      </c>
      <c r="G382" s="3">
        <v>603.75</v>
      </c>
      <c r="H382" t="str">
        <f t="shared" si="6"/>
        <v>ACCT#68930-000</v>
      </c>
    </row>
    <row r="383" spans="1:8" x14ac:dyDescent="0.25">
      <c r="E383" t="str">
        <f>"UF67270"</f>
        <v>UF67270</v>
      </c>
      <c r="F383" t="str">
        <f>"ACCT#68930-000"</f>
        <v>ACCT#68930-000</v>
      </c>
      <c r="G383" s="3">
        <v>131.4</v>
      </c>
      <c r="H383" t="str">
        <f t="shared" si="6"/>
        <v>ACCT#68930-000</v>
      </c>
    </row>
    <row r="384" spans="1:8" x14ac:dyDescent="0.25">
      <c r="E384" t="str">
        <f>"UF85828"</f>
        <v>UF85828</v>
      </c>
      <c r="F384" t="str">
        <f>"ACCT#68930-000"</f>
        <v>ACCT#68930-000</v>
      </c>
      <c r="G384" s="3">
        <v>185.09</v>
      </c>
      <c r="H384" t="str">
        <f t="shared" si="6"/>
        <v>ACCT#68930-000</v>
      </c>
    </row>
    <row r="385" spans="1:8" x14ac:dyDescent="0.25">
      <c r="E385" t="str">
        <f>""</f>
        <v/>
      </c>
      <c r="F385" t="str">
        <f>""</f>
        <v/>
      </c>
      <c r="H385" t="str">
        <f t="shared" si="6"/>
        <v>ACCT#68930-000</v>
      </c>
    </row>
    <row r="386" spans="1:8" x14ac:dyDescent="0.25">
      <c r="E386" t="str">
        <f>"UG39119"</f>
        <v>UG39119</v>
      </c>
      <c r="F386" t="str">
        <f>"ACCT#68930-000"</f>
        <v>ACCT#68930-000</v>
      </c>
      <c r="G386" s="3">
        <v>193.48</v>
      </c>
      <c r="H386" t="str">
        <f t="shared" si="6"/>
        <v>ACCT#68930-000</v>
      </c>
    </row>
    <row r="387" spans="1:8" x14ac:dyDescent="0.25">
      <c r="A387" t="s">
        <v>96</v>
      </c>
      <c r="B387">
        <v>134823</v>
      </c>
      <c r="C387" s="3">
        <v>25</v>
      </c>
      <c r="D387" s="6">
        <v>44263</v>
      </c>
      <c r="E387" t="str">
        <f>"13163"</f>
        <v>13163</v>
      </c>
      <c r="F387" t="str">
        <f>"RESTITUTION M. MANZANARES"</f>
        <v>RESTITUTION M. MANZANARES</v>
      </c>
      <c r="G387" s="3">
        <v>25</v>
      </c>
      <c r="H387" t="str">
        <f>"RESTITUTION M. MANZANARES"</f>
        <v>RESTITUTION M. MANZANARES</v>
      </c>
    </row>
    <row r="388" spans="1:8" x14ac:dyDescent="0.25">
      <c r="A388" t="s">
        <v>97</v>
      </c>
      <c r="B388">
        <v>134824</v>
      </c>
      <c r="C388" s="3">
        <v>500</v>
      </c>
      <c r="D388" s="6">
        <v>44263</v>
      </c>
      <c r="E388" t="str">
        <f>"202103021929"</f>
        <v>202103021929</v>
      </c>
      <c r="F388" t="str">
        <f>"FEBRUARY INVOICE"</f>
        <v>FEBRUARY INVOICE</v>
      </c>
      <c r="G388" s="3">
        <v>500</v>
      </c>
      <c r="H388" t="str">
        <f>"FEBRUARY INVOICE"</f>
        <v>FEBRUARY INVOICE</v>
      </c>
    </row>
    <row r="389" spans="1:8" x14ac:dyDescent="0.25">
      <c r="A389" t="s">
        <v>98</v>
      </c>
      <c r="B389">
        <v>134825</v>
      </c>
      <c r="C389" s="3">
        <v>110</v>
      </c>
      <c r="D389" s="6">
        <v>44263</v>
      </c>
      <c r="E389" t="str">
        <f>"202103031958"</f>
        <v>202103031958</v>
      </c>
      <c r="F389" t="str">
        <f>"CLERK DUES - AMELIA BROWN"</f>
        <v>CLERK DUES - AMELIA BROWN</v>
      </c>
      <c r="G389" s="3">
        <v>20</v>
      </c>
      <c r="H389" t="str">
        <f>"CLERK DUES - AMELIA BROWN"</f>
        <v>CLERK DUES - AMELIA BROWN</v>
      </c>
    </row>
    <row r="390" spans="1:8" x14ac:dyDescent="0.25">
      <c r="E390" t="str">
        <f>"202103031959"</f>
        <v>202103031959</v>
      </c>
      <c r="F390" t="str">
        <f>"CLERK DUES - DENA TINER"</f>
        <v>CLERK DUES - DENA TINER</v>
      </c>
      <c r="G390" s="3">
        <v>20</v>
      </c>
      <c r="H390" t="str">
        <f>"CLERK DUES - DENA TINER"</f>
        <v>CLERK DUES - DENA TINER</v>
      </c>
    </row>
    <row r="391" spans="1:8" x14ac:dyDescent="0.25">
      <c r="E391" t="str">
        <f>"202103031960"</f>
        <v>202103031960</v>
      </c>
      <c r="F391" t="str">
        <f>"CONSTABLE DUES - TIM SPARKMAN"</f>
        <v>CONSTABLE DUES - TIM SPARKMAN</v>
      </c>
      <c r="G391" s="3">
        <v>25</v>
      </c>
      <c r="H391" t="str">
        <f>"CLERK DUES - TIM SPARKMAN"</f>
        <v>CLERK DUES - TIM SPARKMAN</v>
      </c>
    </row>
    <row r="392" spans="1:8" x14ac:dyDescent="0.25">
      <c r="E392" t="str">
        <f>"202103031961"</f>
        <v>202103031961</v>
      </c>
      <c r="F392" t="str">
        <f>"JP DUES - KATHERINE HANNA"</f>
        <v>JP DUES - KATHERINE HANNA</v>
      </c>
      <c r="G392" s="3">
        <v>25</v>
      </c>
      <c r="H392" t="str">
        <f>"JP DUES - KATHERINE HANNA"</f>
        <v>JP DUES - KATHERINE HANNA</v>
      </c>
    </row>
    <row r="393" spans="1:8" x14ac:dyDescent="0.25">
      <c r="E393" t="str">
        <f>"202103031962"</f>
        <v>202103031962</v>
      </c>
      <c r="F393" t="str">
        <f>"CLERK DUES - DIANE MONTOYA"</f>
        <v>CLERK DUES - DIANE MONTOYA</v>
      </c>
      <c r="G393" s="3">
        <v>20</v>
      </c>
      <c r="H393" t="str">
        <f>"CLERK DUES - DIANE MONTOYA"</f>
        <v>CLERK DUES - DIANE MONTOYA</v>
      </c>
    </row>
    <row r="394" spans="1:8" x14ac:dyDescent="0.25">
      <c r="A394" t="s">
        <v>99</v>
      </c>
      <c r="B394">
        <v>134826</v>
      </c>
      <c r="C394" s="3">
        <v>560.88</v>
      </c>
      <c r="D394" s="6">
        <v>44263</v>
      </c>
      <c r="E394" t="str">
        <f>"1384416"</f>
        <v>1384416</v>
      </c>
      <c r="F394" t="str">
        <f>"CUST#23813"</f>
        <v>CUST#23813</v>
      </c>
      <c r="G394" s="3">
        <v>560.88</v>
      </c>
      <c r="H394" t="str">
        <f>"CUST#23813"</f>
        <v>CUST#23813</v>
      </c>
    </row>
    <row r="395" spans="1:8" x14ac:dyDescent="0.25">
      <c r="A395" t="s">
        <v>100</v>
      </c>
      <c r="B395">
        <v>134827</v>
      </c>
      <c r="C395" s="3">
        <v>4950</v>
      </c>
      <c r="D395" s="6">
        <v>44263</v>
      </c>
      <c r="E395" t="str">
        <f>"1275"</f>
        <v>1275</v>
      </c>
      <c r="F395" t="str">
        <f>"RIVERSIDE DRIVE/PCT#1"</f>
        <v>RIVERSIDE DRIVE/PCT#1</v>
      </c>
      <c r="G395" s="3">
        <v>4950</v>
      </c>
      <c r="H395" t="str">
        <f>"RIVERSIDE DRIVE/PCT#1"</f>
        <v>RIVERSIDE DRIVE/PCT#1</v>
      </c>
    </row>
    <row r="396" spans="1:8" x14ac:dyDescent="0.25">
      <c r="A396" t="s">
        <v>101</v>
      </c>
      <c r="B396">
        <v>134972</v>
      </c>
      <c r="C396" s="3">
        <v>240</v>
      </c>
      <c r="D396" s="6">
        <v>44277</v>
      </c>
      <c r="E396" t="str">
        <f>"13567"</f>
        <v>13567</v>
      </c>
      <c r="F396" t="str">
        <f>"SERVICE"</f>
        <v>SERVICE</v>
      </c>
      <c r="G396" s="3">
        <v>80</v>
      </c>
      <c r="H396" t="str">
        <f>"SERVICE"</f>
        <v>SERVICE</v>
      </c>
    </row>
    <row r="397" spans="1:8" x14ac:dyDescent="0.25">
      <c r="E397" t="str">
        <f>"13577"</f>
        <v>13577</v>
      </c>
      <c r="F397" t="str">
        <f>"SERVICE"</f>
        <v>SERVICE</v>
      </c>
      <c r="G397" s="3">
        <v>160</v>
      </c>
      <c r="H397" t="str">
        <f>"SERVICE"</f>
        <v>SERVICE</v>
      </c>
    </row>
    <row r="398" spans="1:8" x14ac:dyDescent="0.25">
      <c r="A398" t="s">
        <v>102</v>
      </c>
      <c r="B398">
        <v>134973</v>
      </c>
      <c r="C398" s="3">
        <v>187.5</v>
      </c>
      <c r="D398" s="6">
        <v>44277</v>
      </c>
      <c r="E398" t="str">
        <f>"22957"</f>
        <v>22957</v>
      </c>
      <c r="F398" t="str">
        <f>"RMA030427 XPANEL UPDATE"</f>
        <v>RMA030427 XPANEL UPDATE</v>
      </c>
      <c r="G398" s="3">
        <v>187.5</v>
      </c>
      <c r="H398" t="str">
        <f>"RMA030427 XPANEL UPDATE"</f>
        <v>RMA030427 XPANEL UPDATE</v>
      </c>
    </row>
    <row r="399" spans="1:8" x14ac:dyDescent="0.25">
      <c r="A399" t="s">
        <v>103</v>
      </c>
      <c r="B399">
        <v>134974</v>
      </c>
      <c r="C399" s="3">
        <v>449</v>
      </c>
      <c r="D399" s="6">
        <v>44277</v>
      </c>
      <c r="E399" t="str">
        <f>"8456"</f>
        <v>8456</v>
      </c>
      <c r="F399" t="str">
        <f>"PROGRAM PURCHASE/VETERANS SVCS"</f>
        <v>PROGRAM PURCHASE/VETERANS SVCS</v>
      </c>
      <c r="G399" s="3">
        <v>449</v>
      </c>
      <c r="H399" t="str">
        <f>"PROGRAM PURCHASE"</f>
        <v>PROGRAM PURCHASE</v>
      </c>
    </row>
    <row r="400" spans="1:8" x14ac:dyDescent="0.25">
      <c r="A400" t="s">
        <v>104</v>
      </c>
      <c r="B400">
        <v>4135</v>
      </c>
      <c r="C400" s="3">
        <v>100</v>
      </c>
      <c r="D400" s="6">
        <v>44278</v>
      </c>
      <c r="E400" t="str">
        <f>"202103112077"</f>
        <v>202103112077</v>
      </c>
      <c r="F400" t="str">
        <f>"DAVID B BROOKS/FEB"</f>
        <v>DAVID B BROOKS/FEB</v>
      </c>
      <c r="G400" s="3">
        <v>100</v>
      </c>
      <c r="H400" t="str">
        <f>"DAVID B BROOKS/FEB"</f>
        <v>DAVID B BROOKS/FEB</v>
      </c>
    </row>
    <row r="401" spans="1:8" x14ac:dyDescent="0.25">
      <c r="A401" t="s">
        <v>105</v>
      </c>
      <c r="B401">
        <v>4109</v>
      </c>
      <c r="C401" s="3">
        <v>1190</v>
      </c>
      <c r="D401" s="6">
        <v>44278</v>
      </c>
      <c r="E401" t="str">
        <f>"202103112100"</f>
        <v>202103112100</v>
      </c>
      <c r="F401" t="str">
        <f>"19-19967"</f>
        <v>19-19967</v>
      </c>
      <c r="G401" s="3">
        <v>202.5</v>
      </c>
      <c r="H401" t="str">
        <f>"19-19967"</f>
        <v>19-19967</v>
      </c>
    </row>
    <row r="402" spans="1:8" x14ac:dyDescent="0.25">
      <c r="E402" t="str">
        <f>"202103112101"</f>
        <v>202103112101</v>
      </c>
      <c r="F402" t="str">
        <f>"20-20056"</f>
        <v>20-20056</v>
      </c>
      <c r="G402" s="3">
        <v>270</v>
      </c>
      <c r="H402" t="str">
        <f>"20-20056"</f>
        <v>20-20056</v>
      </c>
    </row>
    <row r="403" spans="1:8" x14ac:dyDescent="0.25">
      <c r="E403" t="str">
        <f>"202103112102"</f>
        <v>202103112102</v>
      </c>
      <c r="F403" t="str">
        <f>"20-20130"</f>
        <v>20-20130</v>
      </c>
      <c r="G403" s="3">
        <v>187.5</v>
      </c>
      <c r="H403" t="str">
        <f>"20-20130"</f>
        <v>20-20130</v>
      </c>
    </row>
    <row r="404" spans="1:8" x14ac:dyDescent="0.25">
      <c r="E404" t="str">
        <f>"202103112103"</f>
        <v>202103112103</v>
      </c>
      <c r="F404" t="str">
        <f>"20-20086"</f>
        <v>20-20086</v>
      </c>
      <c r="G404" s="3">
        <v>182.5</v>
      </c>
      <c r="H404" t="str">
        <f>"20-20086"</f>
        <v>20-20086</v>
      </c>
    </row>
    <row r="405" spans="1:8" x14ac:dyDescent="0.25">
      <c r="E405" t="str">
        <f>"202103112115"</f>
        <v>202103112115</v>
      </c>
      <c r="F405" t="str">
        <f>"21-20562"</f>
        <v>21-20562</v>
      </c>
      <c r="G405" s="3">
        <v>157.5</v>
      </c>
      <c r="H405" t="str">
        <f>"21-20562"</f>
        <v>21-20562</v>
      </c>
    </row>
    <row r="406" spans="1:8" x14ac:dyDescent="0.25">
      <c r="E406" t="str">
        <f>"202103112116"</f>
        <v>202103112116</v>
      </c>
      <c r="F406" t="str">
        <f>"21-20594"</f>
        <v>21-20594</v>
      </c>
      <c r="G406" s="3">
        <v>190</v>
      </c>
      <c r="H406" t="str">
        <f>"21-20594"</f>
        <v>21-20594</v>
      </c>
    </row>
    <row r="407" spans="1:8" x14ac:dyDescent="0.25">
      <c r="A407" t="s">
        <v>106</v>
      </c>
      <c r="B407">
        <v>134975</v>
      </c>
      <c r="C407" s="3">
        <v>57</v>
      </c>
      <c r="D407" s="6">
        <v>44277</v>
      </c>
      <c r="E407" t="str">
        <f>"141190"</f>
        <v>141190</v>
      </c>
      <c r="F407" t="str">
        <f>"INV 141190"</f>
        <v>INV 141190</v>
      </c>
      <c r="G407" s="3">
        <v>57</v>
      </c>
      <c r="H407" t="str">
        <f>"INV 141190"</f>
        <v>INV 141190</v>
      </c>
    </row>
    <row r="408" spans="1:8" x14ac:dyDescent="0.25">
      <c r="A408" t="s">
        <v>107</v>
      </c>
      <c r="B408">
        <v>134828</v>
      </c>
      <c r="C408" s="3">
        <v>535.55999999999995</v>
      </c>
      <c r="D408" s="6">
        <v>44263</v>
      </c>
      <c r="E408" t="str">
        <f>"2150927"</f>
        <v>2150927</v>
      </c>
      <c r="F408" t="str">
        <f>"INV 2150927"</f>
        <v>INV 2150927</v>
      </c>
      <c r="G408" s="3">
        <v>535.55999999999995</v>
      </c>
      <c r="H408" t="str">
        <f>"INV 2150927"</f>
        <v>INV 2150927</v>
      </c>
    </row>
    <row r="409" spans="1:8" x14ac:dyDescent="0.25">
      <c r="A409" t="s">
        <v>107</v>
      </c>
      <c r="B409">
        <v>134976</v>
      </c>
      <c r="C409" s="3">
        <v>1071.1199999999999</v>
      </c>
      <c r="D409" s="6">
        <v>44277</v>
      </c>
      <c r="E409" t="str">
        <f>"2156238"</f>
        <v>2156238</v>
      </c>
      <c r="F409" t="str">
        <f>"INV 2156238  2161633"</f>
        <v>INV 2156238  2161633</v>
      </c>
      <c r="G409" s="3">
        <v>1071.1199999999999</v>
      </c>
      <c r="H409" t="str">
        <f>"INV 2156238"</f>
        <v>INV 2156238</v>
      </c>
    </row>
    <row r="410" spans="1:8" x14ac:dyDescent="0.25">
      <c r="E410" t="str">
        <f>""</f>
        <v/>
      </c>
      <c r="F410" t="str">
        <f>""</f>
        <v/>
      </c>
      <c r="H410" t="str">
        <f>"INV 2161633"</f>
        <v>INV 2161633</v>
      </c>
    </row>
    <row r="411" spans="1:8" x14ac:dyDescent="0.25">
      <c r="A411" t="s">
        <v>108</v>
      </c>
      <c r="B411">
        <v>134829</v>
      </c>
      <c r="C411" s="3">
        <v>15.99</v>
      </c>
      <c r="D411" s="6">
        <v>44263</v>
      </c>
      <c r="E411" t="str">
        <f>"202103031951"</f>
        <v>202103031951</v>
      </c>
      <c r="F411" t="str">
        <f>"HIPAA TRAINING/ D. THOMAS"</f>
        <v>HIPAA TRAINING/ D. THOMAS</v>
      </c>
      <c r="G411" s="3">
        <v>15.99</v>
      </c>
      <c r="H411" t="str">
        <f>"HIPAA TRAINING/ D. THOMAS"</f>
        <v>HIPAA TRAINING/ D. THOMAS</v>
      </c>
    </row>
    <row r="412" spans="1:8" x14ac:dyDescent="0.25">
      <c r="A412" t="s">
        <v>109</v>
      </c>
      <c r="B412">
        <v>134830</v>
      </c>
      <c r="C412" s="3">
        <v>235.61</v>
      </c>
      <c r="D412" s="6">
        <v>44263</v>
      </c>
      <c r="E412" t="str">
        <f>"22774"</f>
        <v>22774</v>
      </c>
      <c r="F412" t="str">
        <f>"Dell Order"</f>
        <v>Dell Order</v>
      </c>
      <c r="G412" s="3">
        <v>114.58</v>
      </c>
      <c r="H412" t="str">
        <f>"90WattPowerCord"</f>
        <v>90WattPowerCord</v>
      </c>
    </row>
    <row r="413" spans="1:8" x14ac:dyDescent="0.25">
      <c r="E413" t="str">
        <f>"22777"</f>
        <v>22777</v>
      </c>
      <c r="F413" t="str">
        <f>"Dell Order for Purchasing"</f>
        <v>Dell Order for Purchasing</v>
      </c>
      <c r="G413" s="3">
        <v>44.09</v>
      </c>
      <c r="H413" t="str">
        <f>"DellExternalUSBDW881"</f>
        <v>DellExternalUSBDW881</v>
      </c>
    </row>
    <row r="414" spans="1:8" x14ac:dyDescent="0.25">
      <c r="E414" t="str">
        <f>"22871"</f>
        <v>22871</v>
      </c>
      <c r="F414" t="str">
        <f>"XPS 15 POWER CORD"</f>
        <v>XPS 15 POWER CORD</v>
      </c>
      <c r="G414" s="3">
        <v>76.94</v>
      </c>
      <c r="H414" t="str">
        <f>"XPS 15 POWER CORD"</f>
        <v>XPS 15 POWER CORD</v>
      </c>
    </row>
    <row r="415" spans="1:8" x14ac:dyDescent="0.25">
      <c r="A415" t="s">
        <v>109</v>
      </c>
      <c r="B415">
        <v>134977</v>
      </c>
      <c r="C415" s="3">
        <v>1135.52</v>
      </c>
      <c r="D415" s="6">
        <v>44277</v>
      </c>
      <c r="E415" t="str">
        <f>"22881"</f>
        <v>22881</v>
      </c>
      <c r="F415" t="str">
        <f>"Rugged Batteries"</f>
        <v>Rugged Batteries</v>
      </c>
      <c r="G415" s="3">
        <v>205.18</v>
      </c>
      <c r="H415" t="str">
        <f>"Rugged Batteries"</f>
        <v>Rugged Batteries</v>
      </c>
    </row>
    <row r="416" spans="1:8" x14ac:dyDescent="0.25">
      <c r="E416" t="str">
        <f>""</f>
        <v/>
      </c>
      <c r="F416" t="str">
        <f>""</f>
        <v/>
      </c>
      <c r="H416" t="str">
        <f>"Rugged Batteries"</f>
        <v>Rugged Batteries</v>
      </c>
    </row>
    <row r="417" spans="1:8" x14ac:dyDescent="0.25">
      <c r="E417" t="str">
        <f>"23017"</f>
        <v>23017</v>
      </c>
      <c r="F417" t="str">
        <f>"Dell Speakers"</f>
        <v>Dell Speakers</v>
      </c>
      <c r="G417" s="3">
        <v>76.94</v>
      </c>
      <c r="H417" t="str">
        <f>"Dell Speakers PCT 3"</f>
        <v>Dell Speakers PCT 3</v>
      </c>
    </row>
    <row r="418" spans="1:8" x14ac:dyDescent="0.25">
      <c r="E418" t="str">
        <f>"23091"</f>
        <v>23091</v>
      </c>
      <c r="F418" t="str">
        <f>"Solid State Drives"</f>
        <v>Solid State Drives</v>
      </c>
      <c r="G418" s="3">
        <v>853.4</v>
      </c>
      <c r="H418" t="str">
        <f>"VisionTekDLX120GB"</f>
        <v>VisionTekDLX120GB</v>
      </c>
    </row>
    <row r="419" spans="1:8" x14ac:dyDescent="0.25">
      <c r="E419" t="str">
        <f>""</f>
        <v/>
      </c>
      <c r="F419" t="str">
        <f>""</f>
        <v/>
      </c>
      <c r="H419" t="str">
        <f>"256GBSSDHXSINTERNAL"</f>
        <v>256GBSSDHXSINTERNAL</v>
      </c>
    </row>
    <row r="420" spans="1:8" x14ac:dyDescent="0.25">
      <c r="A420" t="s">
        <v>110</v>
      </c>
      <c r="B420">
        <v>134978</v>
      </c>
      <c r="C420" s="3">
        <v>111.45</v>
      </c>
      <c r="D420" s="6">
        <v>44277</v>
      </c>
      <c r="E420" t="str">
        <f>"27568"</f>
        <v>27568</v>
      </c>
      <c r="F420" t="str">
        <f>"INV 27568"</f>
        <v>INV 27568</v>
      </c>
      <c r="G420" s="3">
        <v>45.5</v>
      </c>
      <c r="H420" t="str">
        <f>"INV 27568"</f>
        <v>INV 27568</v>
      </c>
    </row>
    <row r="421" spans="1:8" x14ac:dyDescent="0.25">
      <c r="E421" t="str">
        <f>"27586"</f>
        <v>27586</v>
      </c>
      <c r="F421" t="str">
        <f>"MASTERLOCK/JIM ALLEN"</f>
        <v>MASTERLOCK/JIM ALLEN</v>
      </c>
      <c r="G421" s="3">
        <v>31.95</v>
      </c>
      <c r="H421" t="str">
        <f>"MASTERLOCK/JIM ALLEN"</f>
        <v>MASTERLOCK/JIM ALLEN</v>
      </c>
    </row>
    <row r="422" spans="1:8" x14ac:dyDescent="0.25">
      <c r="E422" t="str">
        <f>"27597"</f>
        <v>27597</v>
      </c>
      <c r="F422" t="str">
        <f>"SPARE KEY/PCT#3"</f>
        <v>SPARE KEY/PCT#3</v>
      </c>
      <c r="G422" s="3">
        <v>34</v>
      </c>
      <c r="H422" t="str">
        <f>"SPARE KEY/PCT#3"</f>
        <v>SPARE KEY/PCT#3</v>
      </c>
    </row>
    <row r="423" spans="1:8" x14ac:dyDescent="0.25">
      <c r="A423" t="s">
        <v>111</v>
      </c>
      <c r="B423">
        <v>134831</v>
      </c>
      <c r="C423" s="3">
        <v>20283.25</v>
      </c>
      <c r="D423" s="6">
        <v>44263</v>
      </c>
      <c r="E423" t="str">
        <f>"21011104N"</f>
        <v>21011104N</v>
      </c>
      <c r="F423" t="str">
        <f>"CUST#PKE50000"</f>
        <v>CUST#PKE50000</v>
      </c>
      <c r="G423" s="3">
        <v>20283.25</v>
      </c>
      <c r="H423" t="str">
        <f>"CUST#PKE50000"</f>
        <v>CUST#PKE50000</v>
      </c>
    </row>
    <row r="424" spans="1:8" x14ac:dyDescent="0.25">
      <c r="E424" t="str">
        <f>""</f>
        <v/>
      </c>
      <c r="F424" t="str">
        <f>""</f>
        <v/>
      </c>
      <c r="H424" t="str">
        <f>"CUST#PKE50000"</f>
        <v>CUST#PKE50000</v>
      </c>
    </row>
    <row r="425" spans="1:8" x14ac:dyDescent="0.25">
      <c r="A425" t="s">
        <v>112</v>
      </c>
      <c r="B425">
        <v>134979</v>
      </c>
      <c r="C425" s="3">
        <v>130</v>
      </c>
      <c r="D425" s="6">
        <v>44277</v>
      </c>
      <c r="E425" t="str">
        <f>"742491"</f>
        <v>742491</v>
      </c>
      <c r="F425" t="str">
        <f>"ACCT#391416"</f>
        <v>ACCT#391416</v>
      </c>
      <c r="G425" s="3">
        <v>130</v>
      </c>
      <c r="H425" t="str">
        <f>"ACCT#391416"</f>
        <v>ACCT#391416</v>
      </c>
    </row>
    <row r="426" spans="1:8" x14ac:dyDescent="0.25">
      <c r="A426" t="s">
        <v>113</v>
      </c>
      <c r="B426">
        <v>134832</v>
      </c>
      <c r="C426" s="3">
        <v>476.63</v>
      </c>
      <c r="D426" s="6">
        <v>44263</v>
      </c>
      <c r="E426" t="str">
        <f>"1707"</f>
        <v>1707</v>
      </c>
      <c r="F426" t="str">
        <f>"INV 1701"</f>
        <v>INV 1701</v>
      </c>
      <c r="G426" s="3">
        <v>476.63</v>
      </c>
      <c r="H426" t="str">
        <f>"INV 1701 (K-9)"</f>
        <v>INV 1701 (K-9)</v>
      </c>
    </row>
    <row r="427" spans="1:8" x14ac:dyDescent="0.25">
      <c r="E427" t="str">
        <f>""</f>
        <v/>
      </c>
      <c r="F427" t="str">
        <f>""</f>
        <v/>
      </c>
      <c r="H427" t="str">
        <f>"INV 1701 (ESTRAY)"</f>
        <v>INV 1701 (ESTRAY)</v>
      </c>
    </row>
    <row r="428" spans="1:8" x14ac:dyDescent="0.25">
      <c r="A428" t="s">
        <v>114</v>
      </c>
      <c r="B428">
        <v>134833</v>
      </c>
      <c r="C428" s="3">
        <v>993.28</v>
      </c>
      <c r="D428" s="6">
        <v>44263</v>
      </c>
      <c r="E428" t="str">
        <f>"202103031949"</f>
        <v>202103031949</v>
      </c>
      <c r="F428" t="str">
        <f>"ACCT#27917/PCT#4"</f>
        <v>ACCT#27917/PCT#4</v>
      </c>
      <c r="G428" s="3">
        <v>993.28</v>
      </c>
      <c r="H428" t="str">
        <f>"ACCT#27917/PCT#4"</f>
        <v>ACCT#27917/PCT#4</v>
      </c>
    </row>
    <row r="429" spans="1:8" x14ac:dyDescent="0.25">
      <c r="A429" t="s">
        <v>115</v>
      </c>
      <c r="B429">
        <v>134834</v>
      </c>
      <c r="C429" s="3">
        <v>25</v>
      </c>
      <c r="D429" s="6">
        <v>44263</v>
      </c>
      <c r="E429" t="str">
        <f>"13163"</f>
        <v>13163</v>
      </c>
      <c r="F429" t="str">
        <f>"RESTITUTION M. MANZANARES"</f>
        <v>RESTITUTION M. MANZANARES</v>
      </c>
      <c r="G429" s="3">
        <v>25</v>
      </c>
      <c r="H429" t="str">
        <f>"RESTITUTION M. MANZANARES"</f>
        <v>RESTITUTION M. MANZANARES</v>
      </c>
    </row>
    <row r="430" spans="1:8" x14ac:dyDescent="0.25">
      <c r="A430" t="s">
        <v>116</v>
      </c>
      <c r="B430">
        <v>4120</v>
      </c>
      <c r="C430" s="3">
        <v>1847.49</v>
      </c>
      <c r="D430" s="6">
        <v>44278</v>
      </c>
      <c r="E430" t="str">
        <f>"29845B"</f>
        <v>29845B</v>
      </c>
      <c r="F430" t="str">
        <f>"INV 29845B"</f>
        <v>INV 29845B</v>
      </c>
      <c r="G430" s="3">
        <v>1847.49</v>
      </c>
      <c r="H430" t="str">
        <f>"INV 29845B"</f>
        <v>INV 29845B</v>
      </c>
    </row>
    <row r="431" spans="1:8" x14ac:dyDescent="0.25">
      <c r="A431" t="s">
        <v>117</v>
      </c>
      <c r="B431">
        <v>134835</v>
      </c>
      <c r="C431" s="3">
        <v>305</v>
      </c>
      <c r="D431" s="6">
        <v>44263</v>
      </c>
      <c r="E431" t="str">
        <f>"4426351"</f>
        <v>4426351</v>
      </c>
      <c r="F431" t="str">
        <f>"BROKEN WATER PIPE/PCT#2"</f>
        <v>BROKEN WATER PIPE/PCT#2</v>
      </c>
      <c r="G431" s="3">
        <v>305</v>
      </c>
      <c r="H431" t="str">
        <f>"BROKEN WATER PIPE/PCT#2"</f>
        <v>BROKEN WATER PIPE/PCT#2</v>
      </c>
    </row>
    <row r="432" spans="1:8" x14ac:dyDescent="0.25">
      <c r="A432" t="s">
        <v>118</v>
      </c>
      <c r="B432">
        <v>4089</v>
      </c>
      <c r="C432" s="3">
        <v>3356.55</v>
      </c>
      <c r="D432" s="6">
        <v>44264</v>
      </c>
      <c r="E432" t="str">
        <f>"202103021872"</f>
        <v>202103021872</v>
      </c>
      <c r="F432" t="str">
        <f>"CC-20190131A"</f>
        <v>CC-20190131A</v>
      </c>
      <c r="G432" s="3">
        <v>400</v>
      </c>
      <c r="H432" t="str">
        <f>"CC-20190131A"</f>
        <v>CC-20190131A</v>
      </c>
    </row>
    <row r="433" spans="1:8" x14ac:dyDescent="0.25">
      <c r="E433" t="str">
        <f>"202103021873"</f>
        <v>202103021873</v>
      </c>
      <c r="F433" t="str">
        <f>"57453"</f>
        <v>57453</v>
      </c>
      <c r="G433" s="3">
        <v>250</v>
      </c>
      <c r="H433" t="str">
        <f>"57453"</f>
        <v>57453</v>
      </c>
    </row>
    <row r="434" spans="1:8" x14ac:dyDescent="0.25">
      <c r="E434" t="str">
        <f>"202103021874"</f>
        <v>202103021874</v>
      </c>
      <c r="F434" t="str">
        <f>"57483"</f>
        <v>57483</v>
      </c>
      <c r="G434" s="3">
        <v>250</v>
      </c>
      <c r="H434" t="str">
        <f>"57483"</f>
        <v>57483</v>
      </c>
    </row>
    <row r="435" spans="1:8" x14ac:dyDescent="0.25">
      <c r="E435" t="str">
        <f>"202103021875"</f>
        <v>202103021875</v>
      </c>
      <c r="F435" t="str">
        <f>"57470-57471"</f>
        <v>57470-57471</v>
      </c>
      <c r="G435" s="3">
        <v>375</v>
      </c>
      <c r="H435" t="str">
        <f>"57470-57471"</f>
        <v>57470-57471</v>
      </c>
    </row>
    <row r="436" spans="1:8" x14ac:dyDescent="0.25">
      <c r="E436" t="str">
        <f>"202103021876"</f>
        <v>202103021876</v>
      </c>
      <c r="F436" t="str">
        <f>"12-15104"</f>
        <v>12-15104</v>
      </c>
      <c r="G436" s="3">
        <v>137.5</v>
      </c>
      <c r="H436" t="str">
        <f>"12-15104"</f>
        <v>12-15104</v>
      </c>
    </row>
    <row r="437" spans="1:8" x14ac:dyDescent="0.25">
      <c r="E437" t="str">
        <f>"202103021877"</f>
        <v>202103021877</v>
      </c>
      <c r="F437" t="str">
        <f>"20-20403"</f>
        <v>20-20403</v>
      </c>
      <c r="G437" s="3">
        <v>150</v>
      </c>
      <c r="H437" t="str">
        <f>"20-20403"</f>
        <v>20-20403</v>
      </c>
    </row>
    <row r="438" spans="1:8" x14ac:dyDescent="0.25">
      <c r="E438" t="str">
        <f>"202103021878"</f>
        <v>202103021878</v>
      </c>
      <c r="F438" t="str">
        <f>"19-19967"</f>
        <v>19-19967</v>
      </c>
      <c r="G438" s="3">
        <v>243.75</v>
      </c>
      <c r="H438" t="str">
        <f>"19-19967"</f>
        <v>19-19967</v>
      </c>
    </row>
    <row r="439" spans="1:8" x14ac:dyDescent="0.25">
      <c r="E439" t="str">
        <f>"202103021879"</f>
        <v>202103021879</v>
      </c>
      <c r="F439" t="str">
        <f>"19-199914"</f>
        <v>19-199914</v>
      </c>
      <c r="G439" s="3">
        <v>681.25</v>
      </c>
      <c r="H439" t="str">
        <f>"19-199914"</f>
        <v>19-199914</v>
      </c>
    </row>
    <row r="440" spans="1:8" x14ac:dyDescent="0.25">
      <c r="E440" t="str">
        <f>"202103021902"</f>
        <v>202103021902</v>
      </c>
      <c r="F440" t="str">
        <f>"12-15104"</f>
        <v>12-15104</v>
      </c>
      <c r="G440" s="3">
        <v>137.5</v>
      </c>
      <c r="H440" t="str">
        <f>"12-15104"</f>
        <v>12-15104</v>
      </c>
    </row>
    <row r="441" spans="1:8" x14ac:dyDescent="0.25">
      <c r="E441" t="str">
        <f>"202103021903"</f>
        <v>202103021903</v>
      </c>
      <c r="F441" t="str">
        <f>"20-20403"</f>
        <v>20-20403</v>
      </c>
      <c r="G441" s="3">
        <v>150</v>
      </c>
      <c r="H441" t="str">
        <f>"20-20403"</f>
        <v>20-20403</v>
      </c>
    </row>
    <row r="442" spans="1:8" x14ac:dyDescent="0.25">
      <c r="E442" t="str">
        <f>"202103021905"</f>
        <v>202103021905</v>
      </c>
      <c r="F442" t="str">
        <f>"19-19967"</f>
        <v>19-19967</v>
      </c>
      <c r="G442" s="3">
        <v>243.75</v>
      </c>
      <c r="H442" t="str">
        <f>"19-19967"</f>
        <v>19-19967</v>
      </c>
    </row>
    <row r="443" spans="1:8" x14ac:dyDescent="0.25">
      <c r="E443" t="str">
        <f>"202103021912"</f>
        <v>202103021912</v>
      </c>
      <c r="F443" t="str">
        <f>"23703"</f>
        <v>23703</v>
      </c>
      <c r="G443" s="3">
        <v>337.8</v>
      </c>
      <c r="H443" t="str">
        <f>"23703"</f>
        <v>23703</v>
      </c>
    </row>
    <row r="444" spans="1:8" x14ac:dyDescent="0.25">
      <c r="A444" t="s">
        <v>118</v>
      </c>
      <c r="B444">
        <v>4167</v>
      </c>
      <c r="C444" s="3">
        <v>587.5</v>
      </c>
      <c r="D444" s="6">
        <v>44278</v>
      </c>
      <c r="E444" t="str">
        <f>"202103102069"</f>
        <v>202103102069</v>
      </c>
      <c r="F444" t="str">
        <f>"57782 57783"</f>
        <v>57782 57783</v>
      </c>
      <c r="G444" s="3">
        <v>375</v>
      </c>
      <c r="H444" t="str">
        <f>"57782 57783"</f>
        <v>57782 57783</v>
      </c>
    </row>
    <row r="445" spans="1:8" x14ac:dyDescent="0.25">
      <c r="E445" t="str">
        <f>"202103102073"</f>
        <v>202103102073</v>
      </c>
      <c r="F445" t="str">
        <f>"21-20593"</f>
        <v>21-20593</v>
      </c>
      <c r="G445" s="3">
        <v>212.5</v>
      </c>
      <c r="H445" t="str">
        <f>"21-20593"</f>
        <v>21-20593</v>
      </c>
    </row>
    <row r="446" spans="1:8" x14ac:dyDescent="0.25">
      <c r="A446" t="s">
        <v>119</v>
      </c>
      <c r="B446">
        <v>134836</v>
      </c>
      <c r="C446" s="3">
        <v>2640</v>
      </c>
      <c r="D446" s="6">
        <v>44263</v>
      </c>
      <c r="E446" t="str">
        <f>"026"</f>
        <v>026</v>
      </c>
      <c r="F446" t="str">
        <f>"ROAD BASE/PCT#3"</f>
        <v>ROAD BASE/PCT#3</v>
      </c>
      <c r="G446" s="3">
        <v>2640</v>
      </c>
      <c r="H446" t="str">
        <f>"ROAD BASE/PCT#3"</f>
        <v>ROAD BASE/PCT#3</v>
      </c>
    </row>
    <row r="447" spans="1:8" x14ac:dyDescent="0.25">
      <c r="A447" t="s">
        <v>120</v>
      </c>
      <c r="B447">
        <v>4139</v>
      </c>
      <c r="C447" s="3">
        <v>4728.04</v>
      </c>
      <c r="D447" s="6">
        <v>44278</v>
      </c>
      <c r="E447" t="str">
        <f>"6260315054"</f>
        <v>6260315054</v>
      </c>
      <c r="F447" t="str">
        <f>"INV 6260315054"</f>
        <v>INV 6260315054</v>
      </c>
      <c r="G447" s="3">
        <v>1096.8800000000001</v>
      </c>
      <c r="H447" t="str">
        <f>"INV 6260315054"</f>
        <v>INV 6260315054</v>
      </c>
    </row>
    <row r="448" spans="1:8" x14ac:dyDescent="0.25">
      <c r="E448" t="str">
        <f>"6260315056"</f>
        <v>6260315056</v>
      </c>
      <c r="F448" t="str">
        <f>"INV 6260315056"</f>
        <v>INV 6260315056</v>
      </c>
      <c r="G448" s="3">
        <v>821.69</v>
      </c>
      <c r="H448" t="str">
        <f>"INV 6260315056"</f>
        <v>INV 6260315056</v>
      </c>
    </row>
    <row r="449" spans="1:8" x14ac:dyDescent="0.25">
      <c r="E449" t="str">
        <f>"6260315057"</f>
        <v>6260315057</v>
      </c>
      <c r="F449" t="str">
        <f>"INV 6260315057"</f>
        <v>INV 6260315057</v>
      </c>
      <c r="G449" s="3">
        <v>729.47</v>
      </c>
      <c r="H449" t="str">
        <f>"INV 6260315057"</f>
        <v>INV 6260315057</v>
      </c>
    </row>
    <row r="450" spans="1:8" x14ac:dyDescent="0.25">
      <c r="E450" t="str">
        <f>"6260345055"</f>
        <v>6260345055</v>
      </c>
      <c r="F450" t="str">
        <f>"INV 6260315055"</f>
        <v>INV 6260315055</v>
      </c>
      <c r="G450" s="3">
        <v>2080</v>
      </c>
      <c r="H450" t="str">
        <f>"INV 6260315055"</f>
        <v>INV 6260315055</v>
      </c>
    </row>
    <row r="451" spans="1:8" x14ac:dyDescent="0.25">
      <c r="A451" t="s">
        <v>121</v>
      </c>
      <c r="B451">
        <v>134980</v>
      </c>
      <c r="C451" s="3">
        <v>7794.53</v>
      </c>
      <c r="D451" s="6">
        <v>44277</v>
      </c>
      <c r="E451" t="str">
        <f>"1181330"</f>
        <v>1181330</v>
      </c>
      <c r="F451" t="str">
        <f t="shared" ref="F451:F459" si="7">"ACCT#B06875"</f>
        <v>ACCT#B06875</v>
      </c>
      <c r="G451" s="3">
        <v>1070.4000000000001</v>
      </c>
      <c r="H451" t="str">
        <f t="shared" ref="H451:H459" si="8">"ACCT#B06875"</f>
        <v>ACCT#B06875</v>
      </c>
    </row>
    <row r="452" spans="1:8" x14ac:dyDescent="0.25">
      <c r="E452" t="str">
        <f>"1181360"</f>
        <v>1181360</v>
      </c>
      <c r="F452" t="str">
        <f t="shared" si="7"/>
        <v>ACCT#B06875</v>
      </c>
      <c r="G452" s="3">
        <v>115.8</v>
      </c>
      <c r="H452" t="str">
        <f t="shared" si="8"/>
        <v>ACCT#B06875</v>
      </c>
    </row>
    <row r="453" spans="1:8" x14ac:dyDescent="0.25">
      <c r="E453" t="str">
        <f>"1181497"</f>
        <v>1181497</v>
      </c>
      <c r="F453" t="str">
        <f t="shared" si="7"/>
        <v>ACCT#B06875</v>
      </c>
      <c r="G453" s="3">
        <v>110.65</v>
      </c>
      <c r="H453" t="str">
        <f t="shared" si="8"/>
        <v>ACCT#B06875</v>
      </c>
    </row>
    <row r="454" spans="1:8" x14ac:dyDescent="0.25">
      <c r="E454" t="str">
        <f>"1181741"</f>
        <v>1181741</v>
      </c>
      <c r="F454" t="str">
        <f t="shared" si="7"/>
        <v>ACCT#B06875</v>
      </c>
      <c r="G454" s="3">
        <v>127.19</v>
      </c>
      <c r="H454" t="str">
        <f t="shared" si="8"/>
        <v>ACCT#B06875</v>
      </c>
    </row>
    <row r="455" spans="1:8" x14ac:dyDescent="0.25">
      <c r="E455" t="str">
        <f>"1182033"</f>
        <v>1182033</v>
      </c>
      <c r="F455" t="str">
        <f t="shared" si="7"/>
        <v>ACCT#B06875</v>
      </c>
      <c r="G455" s="3">
        <v>2603.1999999999998</v>
      </c>
      <c r="H455" t="str">
        <f t="shared" si="8"/>
        <v>ACCT#B06875</v>
      </c>
    </row>
    <row r="456" spans="1:8" x14ac:dyDescent="0.25">
      <c r="E456" t="str">
        <f>"1182063"</f>
        <v>1182063</v>
      </c>
      <c r="F456" t="str">
        <f t="shared" si="7"/>
        <v>ACCT#B06875</v>
      </c>
      <c r="G456" s="3">
        <v>308.8</v>
      </c>
      <c r="H456" t="str">
        <f t="shared" si="8"/>
        <v>ACCT#B06875</v>
      </c>
    </row>
    <row r="457" spans="1:8" x14ac:dyDescent="0.25">
      <c r="E457" t="str">
        <f>"1182314"</f>
        <v>1182314</v>
      </c>
      <c r="F457" t="str">
        <f t="shared" si="7"/>
        <v>ACCT#B06875</v>
      </c>
      <c r="G457" s="3">
        <v>1067.6300000000001</v>
      </c>
      <c r="H457" t="str">
        <f t="shared" si="8"/>
        <v>ACCT#B06875</v>
      </c>
    </row>
    <row r="458" spans="1:8" x14ac:dyDescent="0.25">
      <c r="E458" t="str">
        <f>"1182372"</f>
        <v>1182372</v>
      </c>
      <c r="F458" t="str">
        <f t="shared" si="7"/>
        <v>ACCT#B06875</v>
      </c>
      <c r="G458" s="3">
        <v>1060.26</v>
      </c>
      <c r="H458" t="str">
        <f t="shared" si="8"/>
        <v>ACCT#B06875</v>
      </c>
    </row>
    <row r="459" spans="1:8" x14ac:dyDescent="0.25">
      <c r="E459" t="str">
        <f>"1182771"</f>
        <v>1182771</v>
      </c>
      <c r="F459" t="str">
        <f t="shared" si="7"/>
        <v>ACCT#B06875</v>
      </c>
      <c r="G459" s="3">
        <v>1330.6</v>
      </c>
      <c r="H459" t="str">
        <f t="shared" si="8"/>
        <v>ACCT#B06875</v>
      </c>
    </row>
    <row r="460" spans="1:8" x14ac:dyDescent="0.25">
      <c r="A460" t="s">
        <v>122</v>
      </c>
      <c r="B460">
        <v>134915</v>
      </c>
      <c r="C460" s="3">
        <v>1109.93</v>
      </c>
      <c r="D460" s="6">
        <v>44271</v>
      </c>
      <c r="E460" t="str">
        <f>"202103122132"</f>
        <v>202103122132</v>
      </c>
      <c r="F460" t="str">
        <f>"ACCT#007-0008410-002/02282021"</f>
        <v>ACCT#007-0008410-002/02282021</v>
      </c>
      <c r="G460" s="3">
        <v>230.79</v>
      </c>
      <c r="H460" t="str">
        <f>"ACCT#007-0008410-002/02282021"</f>
        <v>ACCT#007-0008410-002/02282021</v>
      </c>
    </row>
    <row r="461" spans="1:8" x14ac:dyDescent="0.25">
      <c r="E461" t="str">
        <f>"202103122133"</f>
        <v>202103122133</v>
      </c>
      <c r="F461" t="str">
        <f>"ACCT#007-0011501-000/02282021"</f>
        <v>ACCT#007-0011501-000/02282021</v>
      </c>
      <c r="G461" s="3">
        <v>111.52</v>
      </c>
      <c r="H461" t="str">
        <f>"CITY OF ELGIN UTILITIES"</f>
        <v>CITY OF ELGIN UTILITIES</v>
      </c>
    </row>
    <row r="462" spans="1:8" x14ac:dyDescent="0.25">
      <c r="E462" t="str">
        <f>"202103122134"</f>
        <v>202103122134</v>
      </c>
      <c r="F462" t="str">
        <f>"ACCT#007-0011510-000/02282021"</f>
        <v>ACCT#007-0011510-000/02282021</v>
      </c>
      <c r="G462" s="3">
        <v>245.49</v>
      </c>
      <c r="H462" t="str">
        <f>"ACCT#007-0011510-000/02282021"</f>
        <v>ACCT#007-0011510-000/02282021</v>
      </c>
    </row>
    <row r="463" spans="1:8" x14ac:dyDescent="0.25">
      <c r="E463" t="str">
        <f>"202103122135"</f>
        <v>202103122135</v>
      </c>
      <c r="F463" t="str">
        <f>"ACCT#007-0011530-000/02282021"</f>
        <v>ACCT#007-0011530-000/02282021</v>
      </c>
      <c r="G463" s="3">
        <v>99.65</v>
      </c>
      <c r="H463" t="str">
        <f>"CITY OF ELGIN UTILITIES"</f>
        <v>CITY OF ELGIN UTILITIES</v>
      </c>
    </row>
    <row r="464" spans="1:8" x14ac:dyDescent="0.25">
      <c r="E464" t="str">
        <f>"202103122136"</f>
        <v>202103122136</v>
      </c>
      <c r="F464" t="str">
        <f>"ACCT#007-0011534-000/02282021"</f>
        <v>ACCT#007-0011534-000/02282021</v>
      </c>
      <c r="G464" s="3">
        <v>172.7</v>
      </c>
      <c r="H464" t="str">
        <f>"CITY OF ELGIN UTILITIES"</f>
        <v>CITY OF ELGIN UTILITIES</v>
      </c>
    </row>
    <row r="465" spans="1:8" x14ac:dyDescent="0.25">
      <c r="E465" t="str">
        <f>"202103122137"</f>
        <v>202103122137</v>
      </c>
      <c r="F465" t="str">
        <f>"ACCT#007-0011535-000/02282021"</f>
        <v>ACCT#007-0011535-000/02282021</v>
      </c>
      <c r="G465" s="3">
        <v>114.99</v>
      </c>
      <c r="H465" t="str">
        <f>"CITY OF ELGIN UTILITIES"</f>
        <v>CITY OF ELGIN UTILITIES</v>
      </c>
    </row>
    <row r="466" spans="1:8" x14ac:dyDescent="0.25">
      <c r="E466" t="str">
        <f>"202103122138"</f>
        <v>202103122138</v>
      </c>
      <c r="F466" t="str">
        <f>"ACCT#007-0011544-000/02282021"</f>
        <v>ACCT#007-0011544-000/02282021</v>
      </c>
      <c r="G466" s="3">
        <v>134.79</v>
      </c>
      <c r="H466" t="str">
        <f>"CITY OF ELGIN UTILITIES"</f>
        <v>CITY OF ELGIN UTILITIES</v>
      </c>
    </row>
    <row r="467" spans="1:8" x14ac:dyDescent="0.25">
      <c r="A467" t="s">
        <v>123</v>
      </c>
      <c r="B467">
        <v>134981</v>
      </c>
      <c r="C467" s="3">
        <v>85.51</v>
      </c>
      <c r="D467" s="6">
        <v>44277</v>
      </c>
      <c r="E467" t="str">
        <f>"202103112081"</f>
        <v>202103112081</v>
      </c>
      <c r="F467" t="str">
        <f>"TRAVEL/ELLEN OWENS"</f>
        <v>TRAVEL/ELLEN OWENS</v>
      </c>
      <c r="G467" s="3">
        <v>85.51</v>
      </c>
      <c r="H467" t="str">
        <f>"TRAVEL/ELLEN OWENS"</f>
        <v>TRAVEL/ELLEN OWENS</v>
      </c>
    </row>
    <row r="468" spans="1:8" x14ac:dyDescent="0.25">
      <c r="A468" t="s">
        <v>124</v>
      </c>
      <c r="B468">
        <v>134837</v>
      </c>
      <c r="C468" s="3">
        <v>1355.16</v>
      </c>
      <c r="D468" s="6">
        <v>44263</v>
      </c>
      <c r="E468" t="str">
        <f>"145-47190-01"</f>
        <v>145-47190-01</v>
      </c>
      <c r="F468" t="str">
        <f>"INV 145-47190-01"</f>
        <v>INV 145-47190-01</v>
      </c>
      <c r="G468" s="3">
        <v>648.4</v>
      </c>
      <c r="H468" t="str">
        <f>"INV 145-47190-01"</f>
        <v>INV 145-47190-01</v>
      </c>
    </row>
    <row r="469" spans="1:8" x14ac:dyDescent="0.25">
      <c r="E469" t="str">
        <f>"145-47452-01"</f>
        <v>145-47452-01</v>
      </c>
      <c r="F469" t="str">
        <f>"ACCT#0888336"</f>
        <v>ACCT#0888336</v>
      </c>
      <c r="G469" s="3">
        <v>706.76</v>
      </c>
      <c r="H469" t="str">
        <f>"ACCT#0888336"</f>
        <v>ACCT#0888336</v>
      </c>
    </row>
    <row r="470" spans="1:8" x14ac:dyDescent="0.25">
      <c r="A470" t="s">
        <v>124</v>
      </c>
      <c r="B470">
        <v>134982</v>
      </c>
      <c r="C470" s="3">
        <v>713.89</v>
      </c>
      <c r="D470" s="6">
        <v>44277</v>
      </c>
      <c r="E470" t="str">
        <f>"1454745201"</f>
        <v>1454745201</v>
      </c>
      <c r="F470" t="str">
        <f>"CUST#0888336"</f>
        <v>CUST#0888336</v>
      </c>
      <c r="G470" s="3">
        <v>713.89</v>
      </c>
      <c r="H470" t="str">
        <f>"CUST#0888336"</f>
        <v>CUST#0888336</v>
      </c>
    </row>
    <row r="471" spans="1:8" x14ac:dyDescent="0.25">
      <c r="A471" t="s">
        <v>125</v>
      </c>
      <c r="B471">
        <v>134983</v>
      </c>
      <c r="C471" s="3">
        <v>2365.92</v>
      </c>
      <c r="D471" s="6">
        <v>44277</v>
      </c>
      <c r="E471" t="str">
        <f>"945133"</f>
        <v>945133</v>
      </c>
      <c r="F471" t="str">
        <f>"FENCE/PCT#2"</f>
        <v>FENCE/PCT#2</v>
      </c>
      <c r="G471" s="3">
        <v>2365.92</v>
      </c>
      <c r="H471" t="str">
        <f>"FENCE/PCT#2"</f>
        <v>FENCE/PCT#2</v>
      </c>
    </row>
    <row r="472" spans="1:8" x14ac:dyDescent="0.25">
      <c r="A472" t="s">
        <v>126</v>
      </c>
      <c r="B472">
        <v>134984</v>
      </c>
      <c r="C472" s="3">
        <v>85.65</v>
      </c>
      <c r="D472" s="6">
        <v>44277</v>
      </c>
      <c r="E472" t="str">
        <f>"202103112074"</f>
        <v>202103112074</v>
      </c>
      <c r="F472" t="str">
        <f>"TRAINING/ESMERALDA OSORIO"</f>
        <v>TRAINING/ESMERALDA OSORIO</v>
      </c>
      <c r="G472" s="3">
        <v>85.65</v>
      </c>
      <c r="H472" t="str">
        <f>"TRAINING/ESMERALDA OSORIO"</f>
        <v>TRAINING/ESMERALDA OSORIO</v>
      </c>
    </row>
    <row r="473" spans="1:8" x14ac:dyDescent="0.25">
      <c r="A473" t="s">
        <v>127</v>
      </c>
      <c r="B473">
        <v>4131</v>
      </c>
      <c r="C473" s="3">
        <v>430.8</v>
      </c>
      <c r="D473" s="6">
        <v>44278</v>
      </c>
      <c r="E473" t="str">
        <f>"4006438"</f>
        <v>4006438</v>
      </c>
      <c r="F473" t="str">
        <f>"QUOTE #1107"</f>
        <v>QUOTE #1107</v>
      </c>
      <c r="G473" s="3">
        <v>430.8</v>
      </c>
      <c r="H473" t="str">
        <f>"64GB SDCZ73-064G"</f>
        <v>64GB SDCZ73-064G</v>
      </c>
    </row>
    <row r="474" spans="1:8" x14ac:dyDescent="0.25">
      <c r="E474" t="str">
        <f>""</f>
        <v/>
      </c>
      <c r="F474" t="str">
        <f>""</f>
        <v/>
      </c>
      <c r="H474" t="str">
        <f>"128GB SDCZ73-128G"</f>
        <v>128GB SDCZ73-128G</v>
      </c>
    </row>
    <row r="475" spans="1:8" x14ac:dyDescent="0.25">
      <c r="E475" t="str">
        <f>""</f>
        <v/>
      </c>
      <c r="F475" t="str">
        <f>""</f>
        <v/>
      </c>
      <c r="H475" t="str">
        <f>"256GB SDCZ73-256G"</f>
        <v>256GB SDCZ73-256G</v>
      </c>
    </row>
    <row r="476" spans="1:8" x14ac:dyDescent="0.25">
      <c r="A476" t="s">
        <v>128</v>
      </c>
      <c r="B476">
        <v>4084</v>
      </c>
      <c r="C476" s="3">
        <v>58.95</v>
      </c>
      <c r="D476" s="6">
        <v>44264</v>
      </c>
      <c r="E476" t="str">
        <f>"3431301A"</f>
        <v>3431301A</v>
      </c>
      <c r="F476" t="str">
        <f>"CUST#00405/PCT#1"</f>
        <v>CUST#00405/PCT#1</v>
      </c>
      <c r="G476" s="3">
        <v>58.95</v>
      </c>
      <c r="H476" t="str">
        <f>"CUST#00405/PCT#1"</f>
        <v>CUST#00405/PCT#1</v>
      </c>
    </row>
    <row r="477" spans="1:8" x14ac:dyDescent="0.25">
      <c r="A477" t="s">
        <v>129</v>
      </c>
      <c r="B477">
        <v>4140</v>
      </c>
      <c r="C477" s="3">
        <v>23883.77</v>
      </c>
      <c r="D477" s="6">
        <v>44278</v>
      </c>
      <c r="E477" t="str">
        <f>"202103112079"</f>
        <v>202103112079</v>
      </c>
      <c r="F477" t="str">
        <f>"FAMILY CRISIS CENTER"</f>
        <v>FAMILY CRISIS CENTER</v>
      </c>
      <c r="G477" s="3">
        <v>11060.46</v>
      </c>
      <c r="H477" t="str">
        <f>"FAMILY CRISIS CENTER"</f>
        <v>FAMILY CRISIS CENTER</v>
      </c>
    </row>
    <row r="478" spans="1:8" x14ac:dyDescent="0.25">
      <c r="E478" t="str">
        <f>"202103112080"</f>
        <v>202103112080</v>
      </c>
      <c r="F478" t="str">
        <f>"FAMILY CRISIS CENTER WE-AX-004"</f>
        <v>FAMILY CRISIS CENTER WE-AX-004</v>
      </c>
      <c r="G478" s="3">
        <v>12823.31</v>
      </c>
      <c r="H478" t="str">
        <f>"FAMILY CRISIS CENTER WE-AX-004"</f>
        <v>FAMILY CRISIS CENTER WE-AX-004</v>
      </c>
    </row>
    <row r="479" spans="1:8" x14ac:dyDescent="0.25">
      <c r="A479" t="s">
        <v>130</v>
      </c>
      <c r="B479">
        <v>134985</v>
      </c>
      <c r="C479" s="3">
        <v>279.86</v>
      </c>
      <c r="D479" s="6">
        <v>44277</v>
      </c>
      <c r="E479" t="str">
        <f>"202103162209"</f>
        <v>202103162209</v>
      </c>
      <c r="F479" t="str">
        <f>"INDIGENT HEALTH"</f>
        <v>INDIGENT HEALTH</v>
      </c>
      <c r="G479" s="3">
        <v>279.86</v>
      </c>
      <c r="H479" t="str">
        <f>"INDIGENT HEALTH"</f>
        <v>INDIGENT HEALTH</v>
      </c>
    </row>
    <row r="480" spans="1:8" x14ac:dyDescent="0.25">
      <c r="A480" t="s">
        <v>131</v>
      </c>
      <c r="B480">
        <v>134986</v>
      </c>
      <c r="C480" s="3">
        <v>200</v>
      </c>
      <c r="D480" s="6">
        <v>44277</v>
      </c>
      <c r="E480" t="str">
        <f>"13616"</f>
        <v>13616</v>
      </c>
      <c r="F480" t="str">
        <f>"SERVICE"</f>
        <v>SERVICE</v>
      </c>
      <c r="G480" s="3">
        <v>200</v>
      </c>
      <c r="H480" t="str">
        <f>"SERVICE"</f>
        <v>SERVICE</v>
      </c>
    </row>
    <row r="481" spans="1:8" x14ac:dyDescent="0.25">
      <c r="A481" t="s">
        <v>132</v>
      </c>
      <c r="B481">
        <v>134987</v>
      </c>
      <c r="C481" s="3">
        <v>59.26</v>
      </c>
      <c r="D481" s="6">
        <v>44277</v>
      </c>
      <c r="E481" t="str">
        <f>"7-295-67117"</f>
        <v>7-295-67117</v>
      </c>
      <c r="F481" t="str">
        <f>"INV 7-295-67117"</f>
        <v>INV 7-295-67117</v>
      </c>
      <c r="G481" s="3">
        <v>14.25</v>
      </c>
      <c r="H481" t="str">
        <f>"INV 7-295-67117"</f>
        <v>INV 7-295-67117</v>
      </c>
    </row>
    <row r="482" spans="1:8" x14ac:dyDescent="0.25">
      <c r="E482" t="str">
        <f>"7-296-18763"</f>
        <v>7-296-18763</v>
      </c>
      <c r="F482" t="str">
        <f>"ACCT#1230-5243-9"</f>
        <v>ACCT#1230-5243-9</v>
      </c>
      <c r="G482" s="3">
        <v>45.01</v>
      </c>
      <c r="H482" t="str">
        <f>"ACCT#1230-5243-9"</f>
        <v>ACCT#1230-5243-9</v>
      </c>
    </row>
    <row r="483" spans="1:8" x14ac:dyDescent="0.25">
      <c r="A483" t="s">
        <v>133</v>
      </c>
      <c r="B483">
        <v>134838</v>
      </c>
      <c r="C483" s="3">
        <v>20</v>
      </c>
      <c r="D483" s="6">
        <v>44263</v>
      </c>
      <c r="E483" t="str">
        <f>"13130"</f>
        <v>13130</v>
      </c>
      <c r="F483" t="str">
        <f>"RESTITUTION R. SALINAS"</f>
        <v>RESTITUTION R. SALINAS</v>
      </c>
      <c r="G483" s="3">
        <v>20</v>
      </c>
      <c r="H483" t="str">
        <f>"RESTITUTION R. SALINAS"</f>
        <v>RESTITUTION R. SALINAS</v>
      </c>
    </row>
    <row r="484" spans="1:8" x14ac:dyDescent="0.25">
      <c r="A484" t="s">
        <v>134</v>
      </c>
      <c r="B484">
        <v>134988</v>
      </c>
      <c r="C484" s="3">
        <v>554.17999999999995</v>
      </c>
      <c r="D484" s="6">
        <v>44277</v>
      </c>
      <c r="E484" t="str">
        <f>"69777438"</f>
        <v>69777438</v>
      </c>
      <c r="F484" t="str">
        <f>"ACCT#80975-001/PCT#3"</f>
        <v>ACCT#80975-001/PCT#3</v>
      </c>
      <c r="G484" s="3">
        <v>71.22</v>
      </c>
      <c r="H484" t="str">
        <f>"ACCT#80975-001/PCT#3"</f>
        <v>ACCT#80975-001/PCT#3</v>
      </c>
    </row>
    <row r="485" spans="1:8" x14ac:dyDescent="0.25">
      <c r="E485" t="str">
        <f>"70257863"</f>
        <v>70257863</v>
      </c>
      <c r="F485" t="str">
        <f>"MUD FLAPS/PCT#3"</f>
        <v>MUD FLAPS/PCT#3</v>
      </c>
      <c r="G485" s="3">
        <v>482.96</v>
      </c>
      <c r="H485" t="str">
        <f>"MUD FLAPS/PCT#3"</f>
        <v>MUD FLAPS/PCT#3</v>
      </c>
    </row>
    <row r="486" spans="1:8" x14ac:dyDescent="0.25">
      <c r="A486" t="s">
        <v>135</v>
      </c>
      <c r="B486">
        <v>4074</v>
      </c>
      <c r="C486" s="3">
        <v>250</v>
      </c>
      <c r="D486" s="6">
        <v>44264</v>
      </c>
      <c r="E486" t="str">
        <f>"202103011864"</f>
        <v>202103011864</v>
      </c>
      <c r="F486" t="str">
        <f>"J3228"</f>
        <v>J3228</v>
      </c>
      <c r="G486" s="3">
        <v>250</v>
      </c>
      <c r="H486" t="str">
        <f>"J3228"</f>
        <v>J3228</v>
      </c>
    </row>
    <row r="487" spans="1:8" x14ac:dyDescent="0.25">
      <c r="A487" t="s">
        <v>135</v>
      </c>
      <c r="B487">
        <v>4141</v>
      </c>
      <c r="C487" s="3">
        <v>375</v>
      </c>
      <c r="D487" s="6">
        <v>44278</v>
      </c>
      <c r="E487" t="str">
        <f>"202103102042"</f>
        <v>202103102042</v>
      </c>
      <c r="F487" t="str">
        <f>"57-706 JP102232021 A"</f>
        <v>57-706 JP102232021 A</v>
      </c>
      <c r="G487" s="3">
        <v>375</v>
      </c>
      <c r="H487" t="str">
        <f>"57-706 JP102232021 A"</f>
        <v>57-706 JP102232021 A</v>
      </c>
    </row>
    <row r="488" spans="1:8" x14ac:dyDescent="0.25">
      <c r="A488" t="s">
        <v>136</v>
      </c>
      <c r="B488">
        <v>134989</v>
      </c>
      <c r="C488" s="3">
        <v>80</v>
      </c>
      <c r="D488" s="6">
        <v>44277</v>
      </c>
      <c r="E488" t="str">
        <f>"13567"</f>
        <v>13567</v>
      </c>
      <c r="F488" t="str">
        <f>"SERVICE"</f>
        <v>SERVICE</v>
      </c>
      <c r="G488" s="3">
        <v>80</v>
      </c>
      <c r="H488" t="str">
        <f>"SERVICE"</f>
        <v>SERVICE</v>
      </c>
    </row>
    <row r="489" spans="1:8" x14ac:dyDescent="0.25">
      <c r="A489" t="s">
        <v>137</v>
      </c>
      <c r="B489">
        <v>4133</v>
      </c>
      <c r="C489" s="3">
        <v>21.71</v>
      </c>
      <c r="D489" s="6">
        <v>44278</v>
      </c>
      <c r="E489" t="str">
        <f>"57226AP"</f>
        <v>57226AP</v>
      </c>
      <c r="F489" t="str">
        <f>"ACCT#T6800/PCT#3"</f>
        <v>ACCT#T6800/PCT#3</v>
      </c>
      <c r="G489" s="3">
        <v>21.71</v>
      </c>
      <c r="H489" t="str">
        <f>"ACCT#T6800/PCT#3"</f>
        <v>ACCT#T6800/PCT#3</v>
      </c>
    </row>
    <row r="490" spans="1:8" x14ac:dyDescent="0.25">
      <c r="A490" t="s">
        <v>138</v>
      </c>
      <c r="B490">
        <v>134839</v>
      </c>
      <c r="C490" s="3">
        <v>25</v>
      </c>
      <c r="D490" s="6">
        <v>44263</v>
      </c>
      <c r="E490" t="str">
        <f>"14108"</f>
        <v>14108</v>
      </c>
      <c r="F490" t="str">
        <f>"RESTITUTION L. SADECKY"</f>
        <v>RESTITUTION L. SADECKY</v>
      </c>
      <c r="G490" s="3">
        <v>25</v>
      </c>
      <c r="H490" t="str">
        <f>"RESTITUTION L. SADECKY"</f>
        <v>RESTITUTION L. SADECKY</v>
      </c>
    </row>
    <row r="491" spans="1:8" x14ac:dyDescent="0.25">
      <c r="A491" t="s">
        <v>139</v>
      </c>
      <c r="B491">
        <v>4142</v>
      </c>
      <c r="C491" s="3">
        <v>40.96</v>
      </c>
      <c r="D491" s="6">
        <v>44278</v>
      </c>
      <c r="E491" t="str">
        <f>"113663"</f>
        <v>113663</v>
      </c>
      <c r="F491" t="str">
        <f>"INV GC 113663"</f>
        <v>INV GC 113663</v>
      </c>
      <c r="G491" s="3">
        <v>40.96</v>
      </c>
      <c r="H491" t="str">
        <f>"INV GC 113663"</f>
        <v>INV GC 113663</v>
      </c>
    </row>
    <row r="492" spans="1:8" x14ac:dyDescent="0.25">
      <c r="A492" t="s">
        <v>140</v>
      </c>
      <c r="B492">
        <v>134840</v>
      </c>
      <c r="C492" s="3">
        <v>2003.29</v>
      </c>
      <c r="D492" s="6">
        <v>44263</v>
      </c>
      <c r="E492" t="str">
        <f>"015954852"</f>
        <v>015954852</v>
      </c>
      <c r="F492" t="str">
        <f>"INV015954852/015847532"</f>
        <v>INV015954852/015847532</v>
      </c>
      <c r="G492" s="3">
        <v>27.98</v>
      </c>
      <c r="H492" t="str">
        <f>"INV015954852"</f>
        <v>INV015954852</v>
      </c>
    </row>
    <row r="493" spans="1:8" x14ac:dyDescent="0.25">
      <c r="E493" t="str">
        <f>""</f>
        <v/>
      </c>
      <c r="F493" t="str">
        <f>""</f>
        <v/>
      </c>
      <c r="H493" t="str">
        <f>"INV 015847532"</f>
        <v>INV 015847532</v>
      </c>
    </row>
    <row r="494" spans="1:8" x14ac:dyDescent="0.25">
      <c r="E494" t="str">
        <f>"017121730"</f>
        <v>017121730</v>
      </c>
      <c r="F494" t="str">
        <f>"INV 017121730/017219834"</f>
        <v>INV 017121730/017219834</v>
      </c>
      <c r="G494" s="3">
        <v>339.98</v>
      </c>
      <c r="H494" t="str">
        <f>"INV 017121730"</f>
        <v>INV 017121730</v>
      </c>
    </row>
    <row r="495" spans="1:8" x14ac:dyDescent="0.25">
      <c r="E495" t="str">
        <f>""</f>
        <v/>
      </c>
      <c r="F495" t="str">
        <f>""</f>
        <v/>
      </c>
      <c r="H495" t="str">
        <f>"INV 017219834"</f>
        <v>INV 017219834</v>
      </c>
    </row>
    <row r="496" spans="1:8" x14ac:dyDescent="0.25">
      <c r="E496" t="str">
        <f>"017219926"</f>
        <v>017219926</v>
      </c>
      <c r="F496" t="str">
        <f>"INV 017219926"</f>
        <v>INV 017219926</v>
      </c>
      <c r="G496" s="3">
        <v>179</v>
      </c>
      <c r="H496" t="str">
        <f>"INV 017219926"</f>
        <v>INV 017219926</v>
      </c>
    </row>
    <row r="497" spans="1:8" x14ac:dyDescent="0.25">
      <c r="E497" t="str">
        <f>"017385187"</f>
        <v>017385187</v>
      </c>
      <c r="F497" t="str">
        <f>"INV 017385187/017408083/0"</f>
        <v>INV 017385187/017408083/0</v>
      </c>
      <c r="G497" s="3">
        <v>398</v>
      </c>
      <c r="H497" t="str">
        <f>"INV 017385187"</f>
        <v>INV 017385187</v>
      </c>
    </row>
    <row r="498" spans="1:8" x14ac:dyDescent="0.25">
      <c r="E498" t="str">
        <f>""</f>
        <v/>
      </c>
      <c r="F498" t="str">
        <f>""</f>
        <v/>
      </c>
      <c r="H498" t="str">
        <f>"INV 017408083"</f>
        <v>INV 017408083</v>
      </c>
    </row>
    <row r="499" spans="1:8" x14ac:dyDescent="0.25">
      <c r="E499" t="str">
        <f>""</f>
        <v/>
      </c>
      <c r="F499" t="str">
        <f>""</f>
        <v/>
      </c>
      <c r="H499" t="str">
        <f>"INV 017727563"</f>
        <v>INV 017727563</v>
      </c>
    </row>
    <row r="500" spans="1:8" x14ac:dyDescent="0.25">
      <c r="E500" t="str">
        <f>"01741821"</f>
        <v>01741821</v>
      </c>
      <c r="F500" t="str">
        <f>"INV 017418121/017626702"</f>
        <v>INV 017418121/017626702</v>
      </c>
      <c r="G500" s="3">
        <v>340.5</v>
      </c>
      <c r="H500" t="str">
        <f>"INV 017418121"</f>
        <v>INV 017418121</v>
      </c>
    </row>
    <row r="501" spans="1:8" x14ac:dyDescent="0.25">
      <c r="E501" t="str">
        <f>""</f>
        <v/>
      </c>
      <c r="F501" t="str">
        <f>""</f>
        <v/>
      </c>
      <c r="H501" t="str">
        <f>"INV 017626702"</f>
        <v>INV 017626702</v>
      </c>
    </row>
    <row r="502" spans="1:8" x14ac:dyDescent="0.25">
      <c r="E502" t="str">
        <f>"017727506"</f>
        <v>017727506</v>
      </c>
      <c r="F502" t="str">
        <f>"INV 017727506"</f>
        <v>INV 017727506</v>
      </c>
      <c r="G502" s="3">
        <v>337.38</v>
      </c>
      <c r="H502" t="str">
        <f>"INV 017727506"</f>
        <v>INV 017727506</v>
      </c>
    </row>
    <row r="503" spans="1:8" x14ac:dyDescent="0.25">
      <c r="E503" t="str">
        <f>"017727509"</f>
        <v>017727509</v>
      </c>
      <c r="F503" t="str">
        <f>"INV 017727509"</f>
        <v>INV 017727509</v>
      </c>
      <c r="G503" s="3">
        <v>208.5</v>
      </c>
      <c r="H503" t="str">
        <f>"INV 017727509"</f>
        <v>INV 017727509</v>
      </c>
    </row>
    <row r="504" spans="1:8" x14ac:dyDescent="0.25">
      <c r="E504" t="str">
        <f>"017727562"</f>
        <v>017727562</v>
      </c>
      <c r="F504" t="str">
        <f>"INV 017727562"</f>
        <v>INV 017727562</v>
      </c>
      <c r="G504" s="3">
        <v>12</v>
      </c>
      <c r="H504" t="str">
        <f>"INV 017727562"</f>
        <v>INV 017727562</v>
      </c>
    </row>
    <row r="505" spans="1:8" x14ac:dyDescent="0.25">
      <c r="E505" t="str">
        <f>"017727599"</f>
        <v>017727599</v>
      </c>
      <c r="F505" t="str">
        <f>"INV 017727599"</f>
        <v>INV 017727599</v>
      </c>
      <c r="G505" s="3">
        <v>159.94999999999999</v>
      </c>
      <c r="H505" t="str">
        <f>"INV 017727599"</f>
        <v>INV 017727599</v>
      </c>
    </row>
    <row r="506" spans="1:8" x14ac:dyDescent="0.25">
      <c r="E506" t="str">
        <f>""</f>
        <v/>
      </c>
      <c r="F506" t="str">
        <f>""</f>
        <v/>
      </c>
      <c r="H506" t="str">
        <f>"INV 017727511"</f>
        <v>INV 017727511</v>
      </c>
    </row>
    <row r="507" spans="1:8" x14ac:dyDescent="0.25">
      <c r="A507" t="s">
        <v>140</v>
      </c>
      <c r="B507">
        <v>134990</v>
      </c>
      <c r="C507" s="3">
        <v>724.05</v>
      </c>
      <c r="D507" s="6">
        <v>44277</v>
      </c>
      <c r="E507" t="str">
        <f>"017844401"</f>
        <v>017844401</v>
      </c>
      <c r="F507" t="str">
        <f>"INV 017844401"</f>
        <v>INV 017844401</v>
      </c>
      <c r="G507" s="3">
        <v>12</v>
      </c>
      <c r="H507" t="str">
        <f>"INV 017844401"</f>
        <v>INV 017844401</v>
      </c>
    </row>
    <row r="508" spans="1:8" x14ac:dyDescent="0.25">
      <c r="E508" t="str">
        <f>"017844404"</f>
        <v>017844404</v>
      </c>
      <c r="F508" t="str">
        <f>"INV 017844404"</f>
        <v>INV 017844404</v>
      </c>
      <c r="G508" s="3">
        <v>12</v>
      </c>
      <c r="H508" t="str">
        <f>"INV 017844404"</f>
        <v>INV 017844404</v>
      </c>
    </row>
    <row r="509" spans="1:8" x14ac:dyDescent="0.25">
      <c r="E509" t="str">
        <f>"017844409"</f>
        <v>017844409</v>
      </c>
      <c r="F509" t="str">
        <f>"INV 017844409"</f>
        <v>INV 017844409</v>
      </c>
      <c r="G509" s="3">
        <v>688.05</v>
      </c>
      <c r="H509" t="str">
        <f>"INV 017844409"</f>
        <v>INV 017844409</v>
      </c>
    </row>
    <row r="510" spans="1:8" x14ac:dyDescent="0.25">
      <c r="E510" t="str">
        <f>"017844430"</f>
        <v>017844430</v>
      </c>
      <c r="F510" t="str">
        <f>"INV 017844430"</f>
        <v>INV 017844430</v>
      </c>
      <c r="G510" s="3">
        <v>12</v>
      </c>
      <c r="H510" t="str">
        <f>"INV 017844430"</f>
        <v>INV 017844430</v>
      </c>
    </row>
    <row r="511" spans="1:8" x14ac:dyDescent="0.25">
      <c r="A511" t="s">
        <v>141</v>
      </c>
      <c r="B511">
        <v>134841</v>
      </c>
      <c r="C511" s="3">
        <v>91.56</v>
      </c>
      <c r="D511" s="6">
        <v>44263</v>
      </c>
      <c r="E511" t="str">
        <f>"N69312"</f>
        <v>N69312</v>
      </c>
      <c r="F511" t="str">
        <f>"WILDFIRE TEAM"</f>
        <v>WILDFIRE TEAM</v>
      </c>
      <c r="G511" s="3">
        <v>91.56</v>
      </c>
      <c r="H511" t="str">
        <f>"WILDFIRE TEAM"</f>
        <v>WILDFIRE TEAM</v>
      </c>
    </row>
    <row r="512" spans="1:8" x14ac:dyDescent="0.25">
      <c r="A512" t="s">
        <v>141</v>
      </c>
      <c r="B512">
        <v>134991</v>
      </c>
      <c r="C512" s="3">
        <v>112</v>
      </c>
      <c r="D512" s="6">
        <v>44277</v>
      </c>
      <c r="E512" t="str">
        <f>"N69198"</f>
        <v>N69198</v>
      </c>
      <c r="F512" t="str">
        <f>"PURCHASING"</f>
        <v>PURCHASING</v>
      </c>
      <c r="G512" s="3">
        <v>112</v>
      </c>
      <c r="H512" t="str">
        <f>"PURCHASING"</f>
        <v>PURCHASING</v>
      </c>
    </row>
    <row r="513" spans="1:8" x14ac:dyDescent="0.25">
      <c r="A513" t="s">
        <v>142</v>
      </c>
      <c r="B513">
        <v>134842</v>
      </c>
      <c r="C513" s="3">
        <v>775</v>
      </c>
      <c r="D513" s="6">
        <v>44263</v>
      </c>
      <c r="E513" t="str">
        <f>"1135"</f>
        <v>1135</v>
      </c>
      <c r="F513" t="str">
        <f>"TRANSPORT D. LASHOVICA"</f>
        <v>TRANSPORT D. LASHOVICA</v>
      </c>
      <c r="G513" s="3">
        <v>425</v>
      </c>
      <c r="H513" t="str">
        <f>"TRANSPORT D. LASHOVICA"</f>
        <v>TRANSPORT D. LASHOVICA</v>
      </c>
    </row>
    <row r="514" spans="1:8" x14ac:dyDescent="0.25">
      <c r="E514" t="str">
        <f>"202103011840"</f>
        <v>202103011840</v>
      </c>
      <c r="F514" t="str">
        <f>"TRANSPORT"</f>
        <v>TRANSPORT</v>
      </c>
      <c r="G514" s="3">
        <v>350</v>
      </c>
      <c r="H514" t="str">
        <f>"TRANSPORT"</f>
        <v>TRANSPORT</v>
      </c>
    </row>
    <row r="515" spans="1:8" x14ac:dyDescent="0.25">
      <c r="A515" t="s">
        <v>143</v>
      </c>
      <c r="B515">
        <v>134992</v>
      </c>
      <c r="C515" s="3">
        <v>364.4</v>
      </c>
      <c r="D515" s="6">
        <v>44277</v>
      </c>
      <c r="E515" t="str">
        <f>"2223"</f>
        <v>2223</v>
      </c>
      <c r="F515" t="str">
        <f>"INTERPRETING SERVICES"</f>
        <v>INTERPRETING SERVICES</v>
      </c>
      <c r="G515" s="3">
        <v>364.4</v>
      </c>
      <c r="H515" t="str">
        <f>"INTERPRETING SERVICES"</f>
        <v>INTERPRETING SERVICES</v>
      </c>
    </row>
    <row r="516" spans="1:8" x14ac:dyDescent="0.25">
      <c r="A516" t="s">
        <v>144</v>
      </c>
      <c r="B516">
        <v>4075</v>
      </c>
      <c r="C516" s="3">
        <v>850</v>
      </c>
      <c r="D516" s="6">
        <v>44264</v>
      </c>
      <c r="E516" t="str">
        <f>"0825906"</f>
        <v>0825906</v>
      </c>
      <c r="F516" t="str">
        <f>"INV 0825906"</f>
        <v>INV 0825906</v>
      </c>
      <c r="G516" s="3">
        <v>850</v>
      </c>
      <c r="H516" t="str">
        <f>"INV 0825906"</f>
        <v>INV 0825906</v>
      </c>
    </row>
    <row r="517" spans="1:8" x14ac:dyDescent="0.25">
      <c r="E517" t="str">
        <f>""</f>
        <v/>
      </c>
      <c r="F517" t="str">
        <f>""</f>
        <v/>
      </c>
      <c r="H517" t="str">
        <f>"INV 0825906"</f>
        <v>INV 0825906</v>
      </c>
    </row>
    <row r="518" spans="1:8" x14ac:dyDescent="0.25">
      <c r="A518" t="s">
        <v>144</v>
      </c>
      <c r="B518">
        <v>4143</v>
      </c>
      <c r="C518" s="3">
        <v>2491.25</v>
      </c>
      <c r="D518" s="6">
        <v>44278</v>
      </c>
      <c r="E518" t="str">
        <f>"0827733"</f>
        <v>0827733</v>
      </c>
      <c r="F518" t="str">
        <f>"INV 0827733"</f>
        <v>INV 0827733</v>
      </c>
      <c r="G518" s="3">
        <v>1530</v>
      </c>
      <c r="H518" t="str">
        <f>"INV 0827733"</f>
        <v>INV 0827733</v>
      </c>
    </row>
    <row r="519" spans="1:8" x14ac:dyDescent="0.25">
      <c r="E519" t="str">
        <f>"0828363"</f>
        <v>0828363</v>
      </c>
      <c r="F519" t="str">
        <f>"INV 0828363"</f>
        <v>INV 0828363</v>
      </c>
      <c r="G519" s="3">
        <v>101.25</v>
      </c>
      <c r="H519" t="str">
        <f>"INV 0828363"</f>
        <v>INV 0828363</v>
      </c>
    </row>
    <row r="520" spans="1:8" x14ac:dyDescent="0.25">
      <c r="E520" t="str">
        <f>"0829805"</f>
        <v>0829805</v>
      </c>
      <c r="F520" t="str">
        <f>"INV 0829805"</f>
        <v>INV 0829805</v>
      </c>
      <c r="G520" s="3">
        <v>860</v>
      </c>
      <c r="H520" t="str">
        <f>"INV 0829805"</f>
        <v>INV 0829805</v>
      </c>
    </row>
    <row r="521" spans="1:8" x14ac:dyDescent="0.25">
      <c r="E521" t="str">
        <f>""</f>
        <v/>
      </c>
      <c r="F521" t="str">
        <f>""</f>
        <v/>
      </c>
      <c r="H521" t="str">
        <f>"INV 0829805"</f>
        <v>INV 0829805</v>
      </c>
    </row>
    <row r="522" spans="1:8" x14ac:dyDescent="0.25">
      <c r="A522" t="s">
        <v>145</v>
      </c>
      <c r="B522">
        <v>4062</v>
      </c>
      <c r="C522" s="3">
        <v>108.48</v>
      </c>
      <c r="D522" s="6">
        <v>44264</v>
      </c>
      <c r="E522" t="str">
        <f>"202103021927"</f>
        <v>202103021927</v>
      </c>
      <c r="F522" t="str">
        <f>"QUOTE QT0065841"</f>
        <v>QUOTE QT0065841</v>
      </c>
      <c r="G522" s="3">
        <v>108.48</v>
      </c>
      <c r="H522" t="str">
        <f>"QUOTE QT0065841"</f>
        <v>QUOTE QT0065841</v>
      </c>
    </row>
    <row r="523" spans="1:8" x14ac:dyDescent="0.25">
      <c r="A523" t="s">
        <v>146</v>
      </c>
      <c r="B523">
        <v>4158</v>
      </c>
      <c r="C523" s="3">
        <v>8441.34</v>
      </c>
      <c r="D523" s="6">
        <v>44278</v>
      </c>
      <c r="E523" t="str">
        <f>"2011134"</f>
        <v>2011134</v>
      </c>
      <c r="F523" t="str">
        <f>"Invoices"</f>
        <v>Invoices</v>
      </c>
      <c r="G523" s="3">
        <v>951.34</v>
      </c>
      <c r="H523" t="str">
        <f>"GP42714"</f>
        <v>GP42714</v>
      </c>
    </row>
    <row r="524" spans="1:8" x14ac:dyDescent="0.25">
      <c r="E524" t="str">
        <f>""</f>
        <v/>
      </c>
      <c r="F524" t="str">
        <f>""</f>
        <v/>
      </c>
      <c r="H524" t="str">
        <f>"63CL"</f>
        <v>63CL</v>
      </c>
    </row>
    <row r="525" spans="1:8" x14ac:dyDescent="0.25">
      <c r="E525" t="str">
        <f>""</f>
        <v/>
      </c>
      <c r="F525" t="str">
        <f>""</f>
        <v/>
      </c>
      <c r="H525" t="str">
        <f>"A11203"</f>
        <v>A11203</v>
      </c>
    </row>
    <row r="526" spans="1:8" x14ac:dyDescent="0.25">
      <c r="E526" t="str">
        <f>"2011135"</f>
        <v>2011135</v>
      </c>
      <c r="F526" t="str">
        <f>"INV 2011135"</f>
        <v>INV 2011135</v>
      </c>
      <c r="G526" s="3">
        <v>3276.65</v>
      </c>
      <c r="H526" t="str">
        <f>"INV 2011135"</f>
        <v>INV 2011135</v>
      </c>
    </row>
    <row r="527" spans="1:8" x14ac:dyDescent="0.25">
      <c r="E527" t="str">
        <f>"2011529"</f>
        <v>2011529</v>
      </c>
      <c r="F527" t="str">
        <f>"INV 2011529"</f>
        <v>INV 2011529</v>
      </c>
      <c r="G527" s="3">
        <v>4213.3500000000004</v>
      </c>
      <c r="H527" t="str">
        <f>"INV 2011529"</f>
        <v>INV 2011529</v>
      </c>
    </row>
    <row r="528" spans="1:8" x14ac:dyDescent="0.25">
      <c r="A528" t="s">
        <v>147</v>
      </c>
      <c r="B528">
        <v>134843</v>
      </c>
      <c r="C528" s="3">
        <v>1032.5</v>
      </c>
      <c r="D528" s="6">
        <v>44263</v>
      </c>
      <c r="E528" t="str">
        <f>"1070636"</f>
        <v>1070636</v>
      </c>
      <c r="F528" t="str">
        <f>"ACCT#41985/PCT#3"</f>
        <v>ACCT#41985/PCT#3</v>
      </c>
      <c r="G528" s="3">
        <v>255</v>
      </c>
      <c r="H528" t="str">
        <f>"ACCT#41985/PCT#3"</f>
        <v>ACCT#41985/PCT#3</v>
      </c>
    </row>
    <row r="529" spans="1:8" x14ac:dyDescent="0.25">
      <c r="E529" t="str">
        <f>"1079374"</f>
        <v>1079374</v>
      </c>
      <c r="F529" t="str">
        <f>"ACCT#55026/PCT#4"</f>
        <v>ACCT#55026/PCT#4</v>
      </c>
      <c r="G529" s="3">
        <v>777.5</v>
      </c>
      <c r="H529" t="str">
        <f>"ACCT#55026/PCT#4"</f>
        <v>ACCT#55026/PCT#4</v>
      </c>
    </row>
    <row r="530" spans="1:8" x14ac:dyDescent="0.25">
      <c r="A530" t="s">
        <v>147</v>
      </c>
      <c r="B530">
        <v>134993</v>
      </c>
      <c r="C530" s="3">
        <v>230.25</v>
      </c>
      <c r="D530" s="6">
        <v>44277</v>
      </c>
      <c r="E530" t="str">
        <f>"1089509"</f>
        <v>1089509</v>
      </c>
      <c r="F530" t="str">
        <f>"ACCT#60128/PCT#4"</f>
        <v>ACCT#60128/PCT#4</v>
      </c>
      <c r="G530" s="3">
        <v>230.25</v>
      </c>
      <c r="H530" t="str">
        <f>"ACCT#60128/PCT#4"</f>
        <v>ACCT#60128/PCT#4</v>
      </c>
    </row>
    <row r="531" spans="1:8" x14ac:dyDescent="0.25">
      <c r="A531" t="s">
        <v>148</v>
      </c>
      <c r="B531">
        <v>134994</v>
      </c>
      <c r="C531" s="3">
        <v>45860</v>
      </c>
      <c r="D531" s="6">
        <v>44277</v>
      </c>
      <c r="E531" t="str">
        <f>"G11-18458"</f>
        <v>G11-18458</v>
      </c>
      <c r="F531" t="str">
        <f>"Tower Maintenance"</f>
        <v>Tower Maintenance</v>
      </c>
      <c r="G531" s="3">
        <v>29992</v>
      </c>
      <c r="H531" t="str">
        <f>"Coil Replacement"</f>
        <v>Coil Replacement</v>
      </c>
    </row>
    <row r="532" spans="1:8" x14ac:dyDescent="0.25">
      <c r="E532" t="str">
        <f>"G11-18458B"</f>
        <v>G11-18458B</v>
      </c>
      <c r="F532" t="str">
        <f>"BAC Fluid Cooler"</f>
        <v>BAC Fluid Cooler</v>
      </c>
      <c r="G532" s="3">
        <v>15868</v>
      </c>
      <c r="H532" t="str">
        <f>"Fluid Cooler"</f>
        <v>Fluid Cooler</v>
      </c>
    </row>
    <row r="533" spans="1:8" x14ac:dyDescent="0.25">
      <c r="E533" t="str">
        <f>""</f>
        <v/>
      </c>
      <c r="F533" t="str">
        <f>""</f>
        <v/>
      </c>
      <c r="H533" t="str">
        <f>"PVC Fill"</f>
        <v>PVC Fill</v>
      </c>
    </row>
    <row r="534" spans="1:8" x14ac:dyDescent="0.25">
      <c r="A534" t="s">
        <v>149</v>
      </c>
      <c r="B534">
        <v>4157</v>
      </c>
      <c r="C534" s="3">
        <v>14953.07</v>
      </c>
      <c r="D534" s="6">
        <v>44278</v>
      </c>
      <c r="E534" t="str">
        <f>"10049389"</f>
        <v>10049389</v>
      </c>
      <c r="F534" t="str">
        <f>"PROJECT#032285.001"</f>
        <v>PROJECT#032285.001</v>
      </c>
      <c r="G534" s="3">
        <v>4526.25</v>
      </c>
      <c r="H534" t="str">
        <f>"PROJECT#032285.001"</f>
        <v>PROJECT#032285.001</v>
      </c>
    </row>
    <row r="535" spans="1:8" x14ac:dyDescent="0.25">
      <c r="E535" t="str">
        <f>"1800012308"</f>
        <v>1800012308</v>
      </c>
      <c r="F535" t="str">
        <f>"ALUM CREEK/WILBARGER CREEK"</f>
        <v>ALUM CREEK/WILBARGER CREEK</v>
      </c>
      <c r="G535" s="3">
        <v>10426.82</v>
      </c>
      <c r="H535" t="str">
        <f>"ALUM CREEK/WILBARGER CREEK"</f>
        <v>ALUM CREEK/WILBARGER CREEK</v>
      </c>
    </row>
    <row r="536" spans="1:8" x14ac:dyDescent="0.25">
      <c r="A536" t="s">
        <v>150</v>
      </c>
      <c r="B536">
        <v>4144</v>
      </c>
      <c r="C536" s="3">
        <v>287.49</v>
      </c>
      <c r="D536" s="6">
        <v>44278</v>
      </c>
      <c r="E536" t="str">
        <f>"577313"</f>
        <v>577313</v>
      </c>
      <c r="F536" t="str">
        <f>"INV 577313"</f>
        <v>INV 577313</v>
      </c>
      <c r="G536" s="3">
        <v>287.49</v>
      </c>
      <c r="H536" t="str">
        <f>"INV 577313"</f>
        <v>INV 577313</v>
      </c>
    </row>
    <row r="537" spans="1:8" x14ac:dyDescent="0.25">
      <c r="A537" t="s">
        <v>151</v>
      </c>
      <c r="B537">
        <v>134844</v>
      </c>
      <c r="C537" s="3">
        <v>698.6</v>
      </c>
      <c r="D537" s="6">
        <v>44263</v>
      </c>
      <c r="E537" t="str">
        <f>"347508"</f>
        <v>347508</v>
      </c>
      <c r="F537" t="str">
        <f>"INV 347608"</f>
        <v>INV 347608</v>
      </c>
      <c r="G537" s="3">
        <v>698.6</v>
      </c>
      <c r="H537" t="str">
        <f>"INV 347608"</f>
        <v>INV 347608</v>
      </c>
    </row>
    <row r="538" spans="1:8" x14ac:dyDescent="0.25">
      <c r="A538" t="s">
        <v>152</v>
      </c>
      <c r="B538">
        <v>134995</v>
      </c>
      <c r="C538" s="3">
        <v>150</v>
      </c>
      <c r="D538" s="6">
        <v>44277</v>
      </c>
      <c r="E538" t="str">
        <f>"12766-3-11-21"</f>
        <v>12766-3-11-21</v>
      </c>
      <c r="F538" t="str">
        <f>"SERVICE"</f>
        <v>SERVICE</v>
      </c>
      <c r="G538" s="3">
        <v>75</v>
      </c>
      <c r="H538" t="str">
        <f>"SERVICE"</f>
        <v>SERVICE</v>
      </c>
    </row>
    <row r="539" spans="1:8" x14ac:dyDescent="0.25">
      <c r="E539" t="str">
        <f>"12901"</f>
        <v>12901</v>
      </c>
      <c r="F539" t="str">
        <f>"SERVICE"</f>
        <v>SERVICE</v>
      </c>
      <c r="G539" s="3">
        <v>75</v>
      </c>
      <c r="H539" t="str">
        <f>"SERVICE"</f>
        <v>SERVICE</v>
      </c>
    </row>
    <row r="540" spans="1:8" x14ac:dyDescent="0.25">
      <c r="A540" t="s">
        <v>153</v>
      </c>
      <c r="B540">
        <v>134996</v>
      </c>
      <c r="C540" s="3">
        <v>75</v>
      </c>
      <c r="D540" s="6">
        <v>44277</v>
      </c>
      <c r="E540" t="str">
        <f>"12901"</f>
        <v>12901</v>
      </c>
      <c r="F540" t="str">
        <f>"SERVICE"</f>
        <v>SERVICE</v>
      </c>
      <c r="G540" s="3">
        <v>75</v>
      </c>
      <c r="H540" t="str">
        <f>"SERVICE"</f>
        <v>SERVICE</v>
      </c>
    </row>
    <row r="541" spans="1:8" x14ac:dyDescent="0.25">
      <c r="A541" t="s">
        <v>154</v>
      </c>
      <c r="B541">
        <v>4146</v>
      </c>
      <c r="C541" s="3">
        <v>650</v>
      </c>
      <c r="D541" s="6">
        <v>44278</v>
      </c>
      <c r="E541" t="str">
        <f>"202103162240"</f>
        <v>202103162240</v>
      </c>
      <c r="F541" t="str">
        <f>"BASCOM L HODGES JR"</f>
        <v>BASCOM L HODGES JR</v>
      </c>
      <c r="G541" s="3">
        <v>650</v>
      </c>
      <c r="H541" t="str">
        <f>""</f>
        <v/>
      </c>
    </row>
    <row r="542" spans="1:8" x14ac:dyDescent="0.25">
      <c r="A542" t="s">
        <v>155</v>
      </c>
      <c r="B542">
        <v>134845</v>
      </c>
      <c r="C542" s="3">
        <v>1237.5</v>
      </c>
      <c r="D542" s="6">
        <v>44263</v>
      </c>
      <c r="E542" t="str">
        <f>"202103011855"</f>
        <v>202103011855</v>
      </c>
      <c r="F542" t="str">
        <f>"20-20377"</f>
        <v>20-20377</v>
      </c>
      <c r="G542" s="3">
        <v>197.5</v>
      </c>
      <c r="H542" t="str">
        <f>"20-20377"</f>
        <v>20-20377</v>
      </c>
    </row>
    <row r="543" spans="1:8" x14ac:dyDescent="0.25">
      <c r="E543" t="str">
        <f>"202103011856"</f>
        <v>202103011856</v>
      </c>
      <c r="F543" t="str">
        <f>"20-20508"</f>
        <v>20-20508</v>
      </c>
      <c r="G543" s="3">
        <v>145</v>
      </c>
      <c r="H543" t="str">
        <f>"20-20508"</f>
        <v>20-20508</v>
      </c>
    </row>
    <row r="544" spans="1:8" x14ac:dyDescent="0.25">
      <c r="E544" t="str">
        <f>"202103011857"</f>
        <v>202103011857</v>
      </c>
      <c r="F544" t="str">
        <f>"20-20054"</f>
        <v>20-20054</v>
      </c>
      <c r="G544" s="3">
        <v>145</v>
      </c>
      <c r="H544" t="str">
        <f>"20-20054"</f>
        <v>20-20054</v>
      </c>
    </row>
    <row r="545" spans="1:8" x14ac:dyDescent="0.25">
      <c r="E545" t="str">
        <f>"202103011858"</f>
        <v>202103011858</v>
      </c>
      <c r="F545" t="str">
        <f>"J-3237"</f>
        <v>J-3237</v>
      </c>
      <c r="G545" s="3">
        <v>250</v>
      </c>
      <c r="H545" t="str">
        <f>"J-3237"</f>
        <v>J-3237</v>
      </c>
    </row>
    <row r="546" spans="1:8" x14ac:dyDescent="0.25">
      <c r="E546" t="str">
        <f>"202103011859"</f>
        <v>202103011859</v>
      </c>
      <c r="F546" t="str">
        <f>"56.886"</f>
        <v>56.886</v>
      </c>
      <c r="G546" s="3">
        <v>250</v>
      </c>
      <c r="H546" t="str">
        <f>"56.886"</f>
        <v>56.886</v>
      </c>
    </row>
    <row r="547" spans="1:8" x14ac:dyDescent="0.25">
      <c r="E547" t="str">
        <f>"202103011860"</f>
        <v>202103011860</v>
      </c>
      <c r="F547" t="str">
        <f>"56.886"</f>
        <v>56.886</v>
      </c>
      <c r="G547" s="3">
        <v>250</v>
      </c>
      <c r="H547" t="str">
        <f>"56.886"</f>
        <v>56.886</v>
      </c>
    </row>
    <row r="548" spans="1:8" x14ac:dyDescent="0.25">
      <c r="A548" t="s">
        <v>155</v>
      </c>
      <c r="B548">
        <v>134997</v>
      </c>
      <c r="C548" s="3">
        <v>560</v>
      </c>
      <c r="D548" s="6">
        <v>44277</v>
      </c>
      <c r="E548" t="str">
        <f>"202103102039"</f>
        <v>202103102039</v>
      </c>
      <c r="F548" t="str">
        <f>"21-20596"</f>
        <v>21-20596</v>
      </c>
      <c r="G548" s="3">
        <v>150</v>
      </c>
      <c r="H548" t="str">
        <f>"21-20596"</f>
        <v>21-20596</v>
      </c>
    </row>
    <row r="549" spans="1:8" x14ac:dyDescent="0.25">
      <c r="E549" t="str">
        <f>"202103102040"</f>
        <v>202103102040</v>
      </c>
      <c r="F549" t="str">
        <f>"14-16325"</f>
        <v>14-16325</v>
      </c>
      <c r="G549" s="3">
        <v>100</v>
      </c>
      <c r="H549" t="str">
        <f>"14-16325"</f>
        <v>14-16325</v>
      </c>
    </row>
    <row r="550" spans="1:8" x14ac:dyDescent="0.25">
      <c r="E550" t="str">
        <f>"202103102071"</f>
        <v>202103102071</v>
      </c>
      <c r="F550" t="str">
        <f>"21-20596"</f>
        <v>21-20596</v>
      </c>
      <c r="G550" s="3">
        <v>310</v>
      </c>
      <c r="H550" t="str">
        <f>"21-20596"</f>
        <v>21-20596</v>
      </c>
    </row>
    <row r="551" spans="1:8" x14ac:dyDescent="0.25">
      <c r="A551" t="s">
        <v>156</v>
      </c>
      <c r="B551">
        <v>4076</v>
      </c>
      <c r="C551" s="3">
        <v>115127.02</v>
      </c>
      <c r="D551" s="6">
        <v>44264</v>
      </c>
      <c r="E551" t="str">
        <f>"10204"</f>
        <v>10204</v>
      </c>
      <c r="F551" t="str">
        <f>"BD HOLT CO"</f>
        <v>BD HOLT CO</v>
      </c>
      <c r="G551" s="3">
        <v>114566</v>
      </c>
      <c r="H551" t="str">
        <f>"140 Motor Grader"</f>
        <v>140 Motor Grader</v>
      </c>
    </row>
    <row r="552" spans="1:8" x14ac:dyDescent="0.25">
      <c r="E552" t="str">
        <f>""</f>
        <v/>
      </c>
      <c r="F552" t="str">
        <f>""</f>
        <v/>
      </c>
      <c r="H552" t="str">
        <f>"Trade In 10204"</f>
        <v>Trade In 10204</v>
      </c>
    </row>
    <row r="553" spans="1:8" x14ac:dyDescent="0.25">
      <c r="E553" t="str">
        <f>""</f>
        <v/>
      </c>
      <c r="F553" t="str">
        <f>""</f>
        <v/>
      </c>
      <c r="H553" t="str">
        <f>"Trade In 10205"</f>
        <v>Trade In 10205</v>
      </c>
    </row>
    <row r="554" spans="1:8" x14ac:dyDescent="0.25">
      <c r="E554" t="str">
        <f>"60048594"</f>
        <v>60048594</v>
      </c>
      <c r="F554" t="str">
        <f>"CUST#0129050/PCT#1"</f>
        <v>CUST#0129050/PCT#1</v>
      </c>
      <c r="G554" s="3">
        <v>159.5</v>
      </c>
      <c r="H554" t="str">
        <f>"CUST#0129050/PCT#1"</f>
        <v>CUST#0129050/PCT#1</v>
      </c>
    </row>
    <row r="555" spans="1:8" x14ac:dyDescent="0.25">
      <c r="E555" t="str">
        <f>"PIMA0349479"</f>
        <v>PIMA0349479</v>
      </c>
      <c r="F555" t="str">
        <f>"CUST#029150/PCT#3"</f>
        <v>CUST#029150/PCT#3</v>
      </c>
      <c r="G555" s="3">
        <v>401.52</v>
      </c>
      <c r="H555" t="str">
        <f>"CUST#029150"</f>
        <v>CUST#029150</v>
      </c>
    </row>
    <row r="556" spans="1:8" x14ac:dyDescent="0.25">
      <c r="A556" t="s">
        <v>156</v>
      </c>
      <c r="B556">
        <v>4145</v>
      </c>
      <c r="C556" s="3">
        <v>390.01</v>
      </c>
      <c r="D556" s="6">
        <v>44278</v>
      </c>
      <c r="E556" t="str">
        <f>"PCM60015164"</f>
        <v>PCM60015164</v>
      </c>
      <c r="F556" t="str">
        <f>"CUST#0129050/PCT#1"</f>
        <v>CUST#0129050/PCT#1</v>
      </c>
      <c r="G556" s="3">
        <v>-38.83</v>
      </c>
      <c r="H556" t="str">
        <f>"CUST#0129050/PCT#1"</f>
        <v>CUST#0129050/PCT#1</v>
      </c>
    </row>
    <row r="557" spans="1:8" x14ac:dyDescent="0.25">
      <c r="E557" t="str">
        <f>"60049849"</f>
        <v>60049849</v>
      </c>
      <c r="F557" t="str">
        <f>"CUST#0129050/PCT#1"</f>
        <v>CUST#0129050/PCT#1</v>
      </c>
      <c r="G557" s="3">
        <v>171.12</v>
      </c>
      <c r="H557" t="str">
        <f>"CUST#0129050/PCT#1"</f>
        <v>CUST#0129050/PCT#1</v>
      </c>
    </row>
    <row r="558" spans="1:8" x14ac:dyDescent="0.25">
      <c r="E558" t="str">
        <f>"PIMA0349942"</f>
        <v>PIMA0349942</v>
      </c>
      <c r="F558" t="str">
        <f>"CUST#0129150/PCT#3"</f>
        <v>CUST#0129150/PCT#3</v>
      </c>
      <c r="G558" s="3">
        <v>257.72000000000003</v>
      </c>
      <c r="H558" t="str">
        <f>"CUST#0129150/PCT#3"</f>
        <v>CUST#0129150/PCT#3</v>
      </c>
    </row>
    <row r="559" spans="1:8" x14ac:dyDescent="0.25">
      <c r="A559" t="s">
        <v>157</v>
      </c>
      <c r="B559">
        <v>4129</v>
      </c>
      <c r="C559" s="3">
        <v>520</v>
      </c>
      <c r="D559" s="6">
        <v>44278</v>
      </c>
      <c r="E559" t="str">
        <f>"0551896868"</f>
        <v>0551896868</v>
      </c>
      <c r="F559" t="str">
        <f>"CUST#212645"</f>
        <v>CUST#212645</v>
      </c>
      <c r="G559" s="3">
        <v>215</v>
      </c>
      <c r="H559" t="str">
        <f>"CUST#212645"</f>
        <v>CUST#212645</v>
      </c>
    </row>
    <row r="560" spans="1:8" x14ac:dyDescent="0.25">
      <c r="E560" t="str">
        <f>"0551978556"</f>
        <v>0551978556</v>
      </c>
      <c r="F560" t="str">
        <f>"CUST#212645"</f>
        <v>CUST#212645</v>
      </c>
      <c r="G560" s="3">
        <v>90</v>
      </c>
      <c r="H560" t="str">
        <f>"CUST#212645"</f>
        <v>CUST#212645</v>
      </c>
    </row>
    <row r="561" spans="1:8" x14ac:dyDescent="0.25">
      <c r="E561" t="str">
        <f>"0551980961"</f>
        <v>0551980961</v>
      </c>
      <c r="F561" t="str">
        <f>"CUST#212645"</f>
        <v>CUST#212645</v>
      </c>
      <c r="G561" s="3">
        <v>215</v>
      </c>
      <c r="H561" t="str">
        <f>"CUST#212645"</f>
        <v>CUST#212645</v>
      </c>
    </row>
    <row r="562" spans="1:8" x14ac:dyDescent="0.25">
      <c r="A562" t="s">
        <v>158</v>
      </c>
      <c r="B562">
        <v>4163</v>
      </c>
      <c r="C562" s="3">
        <v>389.55</v>
      </c>
      <c r="D562" s="6">
        <v>44278</v>
      </c>
      <c r="E562" t="str">
        <f>"110361"</f>
        <v>110361</v>
      </c>
      <c r="F562" t="str">
        <f>"HIGH PRESSURE VALVE/GENERAL S"</f>
        <v>HIGH PRESSURE VALVE/GENERAL S</v>
      </c>
      <c r="G562" s="3">
        <v>389.55</v>
      </c>
      <c r="H562" t="str">
        <f>"HIGH PRESSURE VALVE/GENERAL S"</f>
        <v>HIGH PRESSURE VALVE/GENERAL S</v>
      </c>
    </row>
    <row r="563" spans="1:8" x14ac:dyDescent="0.25">
      <c r="A563" t="s">
        <v>159</v>
      </c>
      <c r="B563">
        <v>4128</v>
      </c>
      <c r="C563" s="3">
        <v>270</v>
      </c>
      <c r="D563" s="6">
        <v>44278</v>
      </c>
      <c r="E563" t="str">
        <f>"SL2021-02-00387"</f>
        <v>SL2021-02-00387</v>
      </c>
      <c r="F563" t="str">
        <f>"SHELTERLUV SOFTWARE"</f>
        <v>SHELTERLUV SOFTWARE</v>
      </c>
      <c r="G563" s="3">
        <v>270</v>
      </c>
      <c r="H563" t="str">
        <f>"SHELTERLUV SOFTWARE"</f>
        <v>SHELTERLUV SOFTWARE</v>
      </c>
    </row>
    <row r="564" spans="1:8" x14ac:dyDescent="0.25">
      <c r="A564" t="s">
        <v>160</v>
      </c>
      <c r="B564">
        <v>134998</v>
      </c>
      <c r="C564" s="3">
        <v>4024.26</v>
      </c>
      <c r="D564" s="6">
        <v>44277</v>
      </c>
      <c r="E564" t="str">
        <f>"WI-30129-H1J3"</f>
        <v>WI-30129-H1J3</v>
      </c>
      <c r="F564" t="str">
        <f>"INV WI-30129-H1J3"</f>
        <v>INV WI-30129-H1J3</v>
      </c>
      <c r="G564" s="3">
        <v>4024.26</v>
      </c>
      <c r="H564" t="str">
        <f>"INV WI-30129-H1J3"</f>
        <v>INV WI-30129-H1J3</v>
      </c>
    </row>
    <row r="565" spans="1:8" x14ac:dyDescent="0.25">
      <c r="A565" t="s">
        <v>161</v>
      </c>
      <c r="B565">
        <v>134999</v>
      </c>
      <c r="C565" s="3">
        <v>250</v>
      </c>
      <c r="D565" s="6">
        <v>44277</v>
      </c>
      <c r="E565" t="str">
        <f>"0000068"</f>
        <v>0000068</v>
      </c>
      <c r="F565" t="str">
        <f>"EUTHANASIA TECHNICIAN COURSE"</f>
        <v>EUTHANASIA TECHNICIAN COURSE</v>
      </c>
      <c r="G565" s="3">
        <v>250</v>
      </c>
      <c r="H565" t="str">
        <f>"EUTHANASIA TECHNICIAN COURSE"</f>
        <v>EUTHANASIA TECHNICIAN COURSE</v>
      </c>
    </row>
    <row r="566" spans="1:8" x14ac:dyDescent="0.25">
      <c r="A566" t="s">
        <v>162</v>
      </c>
      <c r="B566">
        <v>4053</v>
      </c>
      <c r="C566" s="3">
        <v>490</v>
      </c>
      <c r="D566" s="6">
        <v>44264</v>
      </c>
      <c r="E566" t="str">
        <f>"202103031942"</f>
        <v>202103031942</v>
      </c>
      <c r="F566" t="str">
        <f>"CYLINDER REPAIR/PCT#3"</f>
        <v>CYLINDER REPAIR/PCT#3</v>
      </c>
      <c r="G566" s="3">
        <v>490</v>
      </c>
      <c r="H566" t="str">
        <f>"CYLINDER REPAIR/PCT#3"</f>
        <v>CYLINDER REPAIR/PCT#3</v>
      </c>
    </row>
    <row r="567" spans="1:8" x14ac:dyDescent="0.25">
      <c r="A567" t="s">
        <v>162</v>
      </c>
      <c r="B567">
        <v>4110</v>
      </c>
      <c r="C567" s="3">
        <v>369.25</v>
      </c>
      <c r="D567" s="6">
        <v>44278</v>
      </c>
      <c r="E567" t="str">
        <f>"206110"</f>
        <v>206110</v>
      </c>
      <c r="F567" t="str">
        <f>"HIGH PRESSURE/PCT#3"</f>
        <v>HIGH PRESSURE/PCT#3</v>
      </c>
      <c r="G567" s="3">
        <v>74.5</v>
      </c>
      <c r="H567" t="str">
        <f>"HIGH PRESSURE/PCT#3"</f>
        <v>HIGH PRESSURE/PCT#3</v>
      </c>
    </row>
    <row r="568" spans="1:8" x14ac:dyDescent="0.25">
      <c r="E568" t="str">
        <f>"206136"</f>
        <v>206136</v>
      </c>
      <c r="F568" t="str">
        <f>"HIGH PRESSURE/PCT#3"</f>
        <v>HIGH PRESSURE/PCT#3</v>
      </c>
      <c r="G568" s="3">
        <v>108.75</v>
      </c>
      <c r="H568" t="str">
        <f>"HIGH PRESSURE/PCT#3"</f>
        <v>HIGH PRESSURE/PCT#3</v>
      </c>
    </row>
    <row r="569" spans="1:8" x14ac:dyDescent="0.25">
      <c r="E569" t="str">
        <f>"206174"</f>
        <v>206174</v>
      </c>
      <c r="F569" t="str">
        <f>"FLOW CONTROL/PCT#3"</f>
        <v>FLOW CONTROL/PCT#3</v>
      </c>
      <c r="G569" s="3">
        <v>186</v>
      </c>
      <c r="H569" t="str">
        <f>"FLOW CONTROL/PCT#3"</f>
        <v>FLOW CONTROL/PCT#3</v>
      </c>
    </row>
    <row r="570" spans="1:8" x14ac:dyDescent="0.25">
      <c r="A570" t="s">
        <v>163</v>
      </c>
      <c r="B570">
        <v>4094</v>
      </c>
      <c r="C570" s="3">
        <v>1900</v>
      </c>
      <c r="D570" s="6">
        <v>44273</v>
      </c>
      <c r="E570" t="str">
        <f>"8195"</f>
        <v>8195</v>
      </c>
      <c r="F570" t="str">
        <f>"Sub-Floor Inspection"</f>
        <v>Sub-Floor Inspection</v>
      </c>
      <c r="G570" s="3">
        <v>1900</v>
      </c>
      <c r="H570" t="str">
        <f>"Sub-Floor Inspection"</f>
        <v>Sub-Floor Inspection</v>
      </c>
    </row>
    <row r="571" spans="1:8" x14ac:dyDescent="0.25">
      <c r="A571" t="s">
        <v>164</v>
      </c>
      <c r="B571">
        <v>4154</v>
      </c>
      <c r="C571" s="3">
        <v>2430</v>
      </c>
      <c r="D571" s="6">
        <v>44278</v>
      </c>
      <c r="E571" t="str">
        <f>"71337"</f>
        <v>71337</v>
      </c>
      <c r="F571" t="str">
        <f>"PROFESSIONAL SRVS APRIL 2021"</f>
        <v>PROFESSIONAL SRVS APRIL 2021</v>
      </c>
      <c r="G571" s="3">
        <v>2430</v>
      </c>
      <c r="H571" t="str">
        <f>"PROFESSIONAL SRVS APRIL 2021"</f>
        <v>PROFESSIONAL SRVS APRIL 2021</v>
      </c>
    </row>
    <row r="572" spans="1:8" x14ac:dyDescent="0.25">
      <c r="E572" t="str">
        <f>""</f>
        <v/>
      </c>
      <c r="F572" t="str">
        <f>""</f>
        <v/>
      </c>
      <c r="H572" t="str">
        <f>"PROFESSIONAL SRVS APRIL 2021"</f>
        <v>PROFESSIONAL SRVS APRIL 2021</v>
      </c>
    </row>
    <row r="573" spans="1:8" x14ac:dyDescent="0.25">
      <c r="A573" t="s">
        <v>165</v>
      </c>
      <c r="B573">
        <v>134846</v>
      </c>
      <c r="C573" s="3">
        <v>1378.48</v>
      </c>
      <c r="D573" s="6">
        <v>44263</v>
      </c>
      <c r="E573" t="str">
        <f>"816390"</f>
        <v>816390</v>
      </c>
      <c r="F573" t="str">
        <f>"CUST#020798/PCT#3"</f>
        <v>CUST#020798/PCT#3</v>
      </c>
      <c r="G573" s="3">
        <v>1378.48</v>
      </c>
      <c r="H573" t="str">
        <f>"CUST#020798/PCT#3"</f>
        <v>CUST#020798/PCT#3</v>
      </c>
    </row>
    <row r="574" spans="1:8" x14ac:dyDescent="0.25">
      <c r="A574" t="s">
        <v>165</v>
      </c>
      <c r="B574">
        <v>135000</v>
      </c>
      <c r="C574" s="3">
        <v>518.27</v>
      </c>
      <c r="D574" s="6">
        <v>44277</v>
      </c>
      <c r="E574" t="str">
        <f>"IN-823282"</f>
        <v>IN-823282</v>
      </c>
      <c r="F574" t="str">
        <f>"CUST#020798/PCT#3"</f>
        <v>CUST#020798/PCT#3</v>
      </c>
      <c r="G574" s="3">
        <v>518.27</v>
      </c>
      <c r="H574" t="str">
        <f>"CUST#020798/PCT#3"</f>
        <v>CUST#020798/PCT#3</v>
      </c>
    </row>
    <row r="575" spans="1:8" x14ac:dyDescent="0.25">
      <c r="A575" t="s">
        <v>166</v>
      </c>
      <c r="B575">
        <v>134847</v>
      </c>
      <c r="C575" s="3">
        <v>171.04</v>
      </c>
      <c r="D575" s="6">
        <v>44263</v>
      </c>
      <c r="E575" t="str">
        <f>"DKNS799"</f>
        <v>DKNS799</v>
      </c>
      <c r="F575" t="str">
        <f>"CUST#AX773"</f>
        <v>CUST#AX773</v>
      </c>
      <c r="G575" s="3">
        <v>171.04</v>
      </c>
      <c r="H575" t="str">
        <f>"CUST#AX773"</f>
        <v>CUST#AX773</v>
      </c>
    </row>
    <row r="576" spans="1:8" x14ac:dyDescent="0.25">
      <c r="A576" t="s">
        <v>167</v>
      </c>
      <c r="B576">
        <v>4126</v>
      </c>
      <c r="C576" s="3">
        <v>109.95</v>
      </c>
      <c r="D576" s="6">
        <v>44278</v>
      </c>
      <c r="E576" t="str">
        <f>"00161041"</f>
        <v>00161041</v>
      </c>
      <c r="F576" t="str">
        <f>"FENBENDAZOLE/REIMBUREMENT"</f>
        <v>FENBENDAZOLE/REIMBUREMENT</v>
      </c>
      <c r="G576" s="3">
        <v>109.95</v>
      </c>
      <c r="H576" t="str">
        <f>"FENBENDAZOLE/REIMBUREMENT"</f>
        <v>FENBENDAZOLE/REIMBUREMENT</v>
      </c>
    </row>
    <row r="577" spans="1:8" x14ac:dyDescent="0.25">
      <c r="A577" t="s">
        <v>168</v>
      </c>
      <c r="B577">
        <v>4088</v>
      </c>
      <c r="C577" s="3">
        <v>700</v>
      </c>
      <c r="D577" s="6">
        <v>44264</v>
      </c>
      <c r="E577" t="str">
        <f>"202103021906"</f>
        <v>202103021906</v>
      </c>
      <c r="F577" t="str">
        <f>"20-20110"</f>
        <v>20-20110</v>
      </c>
      <c r="G577" s="3">
        <v>100</v>
      </c>
      <c r="H577" t="str">
        <f>"20-20110"</f>
        <v>20-20110</v>
      </c>
    </row>
    <row r="578" spans="1:8" x14ac:dyDescent="0.25">
      <c r="E578" t="str">
        <f>"202103021907"</f>
        <v>202103021907</v>
      </c>
      <c r="F578" t="str">
        <f>"20-20208"</f>
        <v>20-20208</v>
      </c>
      <c r="G578" s="3">
        <v>100</v>
      </c>
      <c r="H578" t="str">
        <f>"20-20208"</f>
        <v>20-20208</v>
      </c>
    </row>
    <row r="579" spans="1:8" x14ac:dyDescent="0.25">
      <c r="E579" t="str">
        <f>"202103021917"</f>
        <v>202103021917</v>
      </c>
      <c r="F579" t="str">
        <f>"2007053"</f>
        <v>2007053</v>
      </c>
      <c r="G579" s="3">
        <v>250</v>
      </c>
      <c r="H579" t="str">
        <f>"2007053"</f>
        <v>2007053</v>
      </c>
    </row>
    <row r="580" spans="1:8" x14ac:dyDescent="0.25">
      <c r="E580" t="str">
        <f>"202103021918"</f>
        <v>202103021918</v>
      </c>
      <c r="F580" t="str">
        <f>"C190005"</f>
        <v>C190005</v>
      </c>
      <c r="G580" s="3">
        <v>250</v>
      </c>
      <c r="H580" t="str">
        <f>"C190005"</f>
        <v>C190005</v>
      </c>
    </row>
    <row r="581" spans="1:8" x14ac:dyDescent="0.25">
      <c r="A581" t="s">
        <v>168</v>
      </c>
      <c r="B581">
        <v>4162</v>
      </c>
      <c r="C581" s="3">
        <v>775</v>
      </c>
      <c r="D581" s="6">
        <v>44278</v>
      </c>
      <c r="E581" t="str">
        <f>"13148"</f>
        <v>13148</v>
      </c>
      <c r="F581" t="str">
        <f>"AD LITEM FEE"</f>
        <v>AD LITEM FEE</v>
      </c>
      <c r="G581" s="3">
        <v>150</v>
      </c>
      <c r="H581" t="str">
        <f>"AD LITEM FEE"</f>
        <v>AD LITEM FEE</v>
      </c>
    </row>
    <row r="582" spans="1:8" x14ac:dyDescent="0.25">
      <c r="E582" t="str">
        <f>"202103102061"</f>
        <v>202103102061</v>
      </c>
      <c r="F582" t="str">
        <f>"JP103062020B JP103062020C"</f>
        <v>JP103062020B JP103062020C</v>
      </c>
      <c r="G582" s="3">
        <v>375</v>
      </c>
      <c r="H582" t="str">
        <f>"JP103062020B JP103062020C"</f>
        <v>JP103062020B JP103062020C</v>
      </c>
    </row>
    <row r="583" spans="1:8" x14ac:dyDescent="0.25">
      <c r="E583" t="str">
        <f>"202103152167"</f>
        <v>202103152167</v>
      </c>
      <c r="F583" t="str">
        <f>"4100920-7/20-5-05255"</f>
        <v>4100920-7/20-5-05255</v>
      </c>
      <c r="G583" s="3">
        <v>250</v>
      </c>
      <c r="H583" t="str">
        <f>"4100920-7/20-5-05255"</f>
        <v>4100920-7/20-5-05255</v>
      </c>
    </row>
    <row r="584" spans="1:8" x14ac:dyDescent="0.25">
      <c r="A584" t="s">
        <v>169</v>
      </c>
      <c r="B584">
        <v>134848</v>
      </c>
      <c r="C584" s="3">
        <v>11910.9</v>
      </c>
      <c r="D584" s="6">
        <v>44263</v>
      </c>
      <c r="E584" t="str">
        <f>"1324"</f>
        <v>1324</v>
      </c>
      <c r="F584" t="str">
        <f>"INV 1324 / UNIT 6289"</f>
        <v>INV 1324 / UNIT 6289</v>
      </c>
      <c r="G584" s="3">
        <v>11910.9</v>
      </c>
      <c r="H584" t="str">
        <f>"INV 1324 / UNIT 6289"</f>
        <v>INV 1324 / UNIT 6289</v>
      </c>
    </row>
    <row r="585" spans="1:8" x14ac:dyDescent="0.25">
      <c r="A585" t="s">
        <v>169</v>
      </c>
      <c r="B585">
        <v>135001</v>
      </c>
      <c r="C585" s="3">
        <v>9977.2999999999993</v>
      </c>
      <c r="D585" s="6">
        <v>44277</v>
      </c>
      <c r="E585" t="str">
        <f>"1297"</f>
        <v>1297</v>
      </c>
      <c r="F585" t="str">
        <f>"INV 1297"</f>
        <v>INV 1297</v>
      </c>
      <c r="G585" s="3">
        <v>75</v>
      </c>
      <c r="H585" t="str">
        <f>"INV 1297"</f>
        <v>INV 1297</v>
      </c>
    </row>
    <row r="586" spans="1:8" x14ac:dyDescent="0.25">
      <c r="E586" t="str">
        <f>"1330"</f>
        <v>1330</v>
      </c>
      <c r="F586" t="str">
        <f>"INV 1330"</f>
        <v>INV 1330</v>
      </c>
      <c r="G586" s="3">
        <v>9902.2999999999993</v>
      </c>
      <c r="H586" t="str">
        <f>"INV 1330"</f>
        <v>INV 1330</v>
      </c>
    </row>
    <row r="587" spans="1:8" x14ac:dyDescent="0.25">
      <c r="A587" t="s">
        <v>170</v>
      </c>
      <c r="B587">
        <v>135002</v>
      </c>
      <c r="C587" s="3">
        <v>670.12</v>
      </c>
      <c r="D587" s="6">
        <v>44277</v>
      </c>
      <c r="E587" t="str">
        <f>"202103162230"</f>
        <v>202103162230</v>
      </c>
      <c r="F587" t="str">
        <f>"REIMBURSEMENT/JOEY DZIENOWSKI"</f>
        <v>REIMBURSEMENT/JOEY DZIENOWSKI</v>
      </c>
      <c r="G587" s="3">
        <v>670.12</v>
      </c>
      <c r="H587" t="str">
        <f>"REIMBURSEMENT/JOEY DZIENOWSKI"</f>
        <v>REIMBURSEMENT/JOEY DZIENOWSKI</v>
      </c>
    </row>
    <row r="588" spans="1:8" x14ac:dyDescent="0.25">
      <c r="A588" t="s">
        <v>171</v>
      </c>
      <c r="B588">
        <v>134849</v>
      </c>
      <c r="C588" s="3">
        <v>400</v>
      </c>
      <c r="D588" s="6">
        <v>44263</v>
      </c>
      <c r="E588" t="str">
        <f>"565038"</f>
        <v>565038</v>
      </c>
      <c r="F588" t="str">
        <f>"BLADEWORK/PCT#2"</f>
        <v>BLADEWORK/PCT#2</v>
      </c>
      <c r="G588" s="3">
        <v>400</v>
      </c>
      <c r="H588" t="str">
        <f>"BLADEWORK/PCT#2"</f>
        <v>BLADEWORK/PCT#2</v>
      </c>
    </row>
    <row r="589" spans="1:8" x14ac:dyDescent="0.25">
      <c r="A589" t="s">
        <v>172</v>
      </c>
      <c r="B589">
        <v>4083</v>
      </c>
      <c r="C589" s="3">
        <v>2050</v>
      </c>
      <c r="D589" s="6">
        <v>44264</v>
      </c>
      <c r="E589" t="str">
        <f>"202103021866"</f>
        <v>202103021866</v>
      </c>
      <c r="F589" t="str">
        <f>"02-0410-3"</f>
        <v>02-0410-3</v>
      </c>
      <c r="G589" s="3">
        <v>250</v>
      </c>
      <c r="H589" t="str">
        <f>"02-0410-3"</f>
        <v>02-0410-3</v>
      </c>
    </row>
    <row r="590" spans="1:8" x14ac:dyDescent="0.25">
      <c r="E590" t="str">
        <f>"202103021867"</f>
        <v>202103021867</v>
      </c>
      <c r="F590" t="str">
        <f>"JPI -101302019A"</f>
        <v>JPI -101302019A</v>
      </c>
      <c r="G590" s="3">
        <v>400</v>
      </c>
      <c r="H590" t="str">
        <f>"JPI -101302019A"</f>
        <v>JPI -101302019A</v>
      </c>
    </row>
    <row r="591" spans="1:8" x14ac:dyDescent="0.25">
      <c r="E591" t="str">
        <f>"202103021868"</f>
        <v>202103021868</v>
      </c>
      <c r="F591" t="str">
        <f>"AC-2019-0429B"</f>
        <v>AC-2019-0429B</v>
      </c>
      <c r="G591" s="3">
        <v>400</v>
      </c>
      <c r="H591" t="str">
        <f>"AC-2019-0429B"</f>
        <v>AC-2019-0429B</v>
      </c>
    </row>
    <row r="592" spans="1:8" x14ac:dyDescent="0.25">
      <c r="E592" t="str">
        <f>"202103021869"</f>
        <v>202103021869</v>
      </c>
      <c r="F592" t="str">
        <f>"309132019D"</f>
        <v>309132019D</v>
      </c>
      <c r="G592" s="3">
        <v>400</v>
      </c>
      <c r="H592" t="str">
        <f>"309132019D"</f>
        <v>309132019D</v>
      </c>
    </row>
    <row r="593" spans="1:8" x14ac:dyDescent="0.25">
      <c r="E593" t="str">
        <f>"202103021870"</f>
        <v>202103021870</v>
      </c>
      <c r="F593" t="str">
        <f>"02-0410-2"</f>
        <v>02-0410-2</v>
      </c>
      <c r="G593" s="3">
        <v>600</v>
      </c>
      <c r="H593" t="str">
        <f>"02-0410-2"</f>
        <v>02-0410-2</v>
      </c>
    </row>
    <row r="594" spans="1:8" x14ac:dyDescent="0.25">
      <c r="A594" t="s">
        <v>173</v>
      </c>
      <c r="B594">
        <v>134850</v>
      </c>
      <c r="C594" s="3">
        <v>25</v>
      </c>
      <c r="D594" s="6">
        <v>44263</v>
      </c>
      <c r="E594" t="str">
        <f>"8898/3-3-21"</f>
        <v>8898/3-3-21</v>
      </c>
      <c r="F594" t="str">
        <f>"RESTITUTION J. HOFFMAN"</f>
        <v>RESTITUTION J. HOFFMAN</v>
      </c>
      <c r="G594" s="3">
        <v>25</v>
      </c>
      <c r="H594" t="str">
        <f>"RESTITUTION J. HOFFMAN"</f>
        <v>RESTITUTION J. HOFFMAN</v>
      </c>
    </row>
    <row r="595" spans="1:8" x14ac:dyDescent="0.25">
      <c r="A595" t="s">
        <v>174</v>
      </c>
      <c r="B595">
        <v>135003</v>
      </c>
      <c r="C595" s="3">
        <v>2180.75</v>
      </c>
      <c r="D595" s="6">
        <v>44277</v>
      </c>
      <c r="E595" t="str">
        <f>"202103152148"</f>
        <v>202103152148</v>
      </c>
      <c r="F595" t="str">
        <f>"CREDIT MEMO"</f>
        <v>CREDIT MEMO</v>
      </c>
      <c r="G595" s="3">
        <v>-125</v>
      </c>
      <c r="H595" t="str">
        <f>"CREDIT MEMO"</f>
        <v>CREDIT MEMO</v>
      </c>
    </row>
    <row r="596" spans="1:8" x14ac:dyDescent="0.25">
      <c r="E596" t="str">
        <f>"202103152149"</f>
        <v>202103152149</v>
      </c>
      <c r="F596" t="str">
        <f>"CREDIT MEMO"</f>
        <v>CREDIT MEMO</v>
      </c>
      <c r="G596" s="3">
        <v>-125</v>
      </c>
      <c r="H596" t="str">
        <f>"CREDIT MEMO"</f>
        <v>CREDIT MEMO</v>
      </c>
    </row>
    <row r="597" spans="1:8" x14ac:dyDescent="0.25">
      <c r="E597" t="str">
        <f>"202103152150"</f>
        <v>202103152150</v>
      </c>
      <c r="F597" t="str">
        <f>"CREDIT MEMO"</f>
        <v>CREDIT MEMO</v>
      </c>
      <c r="G597" s="3">
        <v>-125</v>
      </c>
      <c r="H597" t="str">
        <f>"CREDIT MEMO"</f>
        <v>CREDIT MEMO</v>
      </c>
    </row>
    <row r="598" spans="1:8" x14ac:dyDescent="0.25">
      <c r="E598" t="str">
        <f>"202103152151"</f>
        <v>202103152151</v>
      </c>
      <c r="F598" t="str">
        <f>"18-18836"</f>
        <v>18-18836</v>
      </c>
      <c r="G598" s="3">
        <v>1256.3499999999999</v>
      </c>
      <c r="H598" t="str">
        <f>"18-18836"</f>
        <v>18-18836</v>
      </c>
    </row>
    <row r="599" spans="1:8" x14ac:dyDescent="0.25">
      <c r="E599" t="str">
        <f>"202103152152"</f>
        <v>202103152152</v>
      </c>
      <c r="F599" t="str">
        <f>"20-20227"</f>
        <v>20-20227</v>
      </c>
      <c r="G599" s="3">
        <v>127.5</v>
      </c>
      <c r="H599" t="str">
        <f>"20-20227"</f>
        <v>20-20227</v>
      </c>
    </row>
    <row r="600" spans="1:8" x14ac:dyDescent="0.25">
      <c r="E600" t="str">
        <f>"202103152153"</f>
        <v>202103152153</v>
      </c>
      <c r="F600" t="str">
        <f>"20-20407"</f>
        <v>20-20407</v>
      </c>
      <c r="G600" s="3">
        <v>151.9</v>
      </c>
      <c r="H600" t="str">
        <f>"20-20407"</f>
        <v>20-20407</v>
      </c>
    </row>
    <row r="601" spans="1:8" x14ac:dyDescent="0.25">
      <c r="E601" t="str">
        <f>"202103152154"</f>
        <v>202103152154</v>
      </c>
      <c r="F601" t="str">
        <f>"20-20482"</f>
        <v>20-20482</v>
      </c>
      <c r="G601" s="3">
        <v>356.25</v>
      </c>
      <c r="H601" t="str">
        <f>"20-20482"</f>
        <v>20-20482</v>
      </c>
    </row>
    <row r="602" spans="1:8" x14ac:dyDescent="0.25">
      <c r="E602" t="str">
        <f>"202103152155"</f>
        <v>202103152155</v>
      </c>
      <c r="F602" t="str">
        <f>"20-20454"</f>
        <v>20-20454</v>
      </c>
      <c r="G602" s="3">
        <v>172.5</v>
      </c>
      <c r="H602" t="str">
        <f>"20-20454"</f>
        <v>20-20454</v>
      </c>
    </row>
    <row r="603" spans="1:8" x14ac:dyDescent="0.25">
      <c r="E603" t="str">
        <f>"202103152156"</f>
        <v>202103152156</v>
      </c>
      <c r="F603" t="str">
        <f>"423-2327"</f>
        <v>423-2327</v>
      </c>
      <c r="G603" s="3">
        <v>491.25</v>
      </c>
      <c r="H603" t="str">
        <f>"423-2327"</f>
        <v>423-2327</v>
      </c>
    </row>
    <row r="604" spans="1:8" x14ac:dyDescent="0.25">
      <c r="A604" t="s">
        <v>175</v>
      </c>
      <c r="B604">
        <v>135004</v>
      </c>
      <c r="C604" s="3">
        <v>145</v>
      </c>
      <c r="D604" s="6">
        <v>44277</v>
      </c>
      <c r="E604" t="str">
        <f>"868434"</f>
        <v>868434</v>
      </c>
      <c r="F604" t="str">
        <f>"TRASH REMOVAL/PCT#1"</f>
        <v>TRASH REMOVAL/PCT#1</v>
      </c>
      <c r="G604" s="3">
        <v>145</v>
      </c>
      <c r="H604" t="str">
        <f>"TRASH REMOVAL/PCT#1"</f>
        <v>TRASH REMOVAL/PCT#1</v>
      </c>
    </row>
    <row r="605" spans="1:8" x14ac:dyDescent="0.25">
      <c r="A605" t="s">
        <v>176</v>
      </c>
      <c r="B605">
        <v>4077</v>
      </c>
      <c r="C605" s="3">
        <v>2717</v>
      </c>
      <c r="D605" s="6">
        <v>44264</v>
      </c>
      <c r="E605" t="str">
        <f>"410"</f>
        <v>410</v>
      </c>
      <c r="F605" t="str">
        <f>"TOWER RENTAL"</f>
        <v>TOWER RENTAL</v>
      </c>
      <c r="G605" s="3">
        <v>2717</v>
      </c>
      <c r="H605" t="str">
        <f>"TOWER RENTAL"</f>
        <v>TOWER RENTAL</v>
      </c>
    </row>
    <row r="606" spans="1:8" x14ac:dyDescent="0.25">
      <c r="A606" t="s">
        <v>177</v>
      </c>
      <c r="B606">
        <v>135005</v>
      </c>
      <c r="C606" s="3">
        <v>80</v>
      </c>
      <c r="D606" s="6">
        <v>44277</v>
      </c>
      <c r="E606" t="str">
        <f>"13508"</f>
        <v>13508</v>
      </c>
      <c r="F606" t="str">
        <f>"PARTIAL REFUND OF COURT COST"</f>
        <v>PARTIAL REFUND OF COURT COST</v>
      </c>
      <c r="G606" s="3">
        <v>80</v>
      </c>
      <c r="H606" t="str">
        <f>"PARTIAL REFUND OF COURT COST"</f>
        <v>PARTIAL REFUND OF COURT COST</v>
      </c>
    </row>
    <row r="607" spans="1:8" x14ac:dyDescent="0.25">
      <c r="A607" t="s">
        <v>178</v>
      </c>
      <c r="B607">
        <v>135006</v>
      </c>
      <c r="C607" s="3">
        <v>38.36</v>
      </c>
      <c r="D607" s="6">
        <v>44277</v>
      </c>
      <c r="E607" t="str">
        <f>"271223"</f>
        <v>271223</v>
      </c>
      <c r="F607" t="str">
        <f>"CUST#BASC01/PCT#1"</f>
        <v>CUST#BASC01/PCT#1</v>
      </c>
      <c r="G607" s="3">
        <v>38.36</v>
      </c>
      <c r="H607" t="str">
        <f>"CUST#BASC01/PCT#1"</f>
        <v>CUST#BASC01/PCT#1</v>
      </c>
    </row>
    <row r="608" spans="1:8" x14ac:dyDescent="0.25">
      <c r="A608" t="s">
        <v>179</v>
      </c>
      <c r="B608">
        <v>134851</v>
      </c>
      <c r="C608" s="3">
        <v>115</v>
      </c>
      <c r="D608" s="6">
        <v>44263</v>
      </c>
      <c r="E608" t="str">
        <f>"202103031956"</f>
        <v>202103031956</v>
      </c>
      <c r="F608" t="str">
        <f>"TRAVEL ADVANCE - KRISTIN MILES"</f>
        <v>TRAVEL ADVANCE - KRISTIN MILES</v>
      </c>
      <c r="G608" s="3">
        <v>115</v>
      </c>
      <c r="H608" t="str">
        <f>"TRAVEL ADVANCE - KRISTIN MILES"</f>
        <v>TRAVEL ADVANCE - KRISTIN MILES</v>
      </c>
    </row>
    <row r="609" spans="1:8" x14ac:dyDescent="0.25">
      <c r="A609" t="s">
        <v>180</v>
      </c>
      <c r="B609">
        <v>135091</v>
      </c>
      <c r="C609" s="3">
        <v>378</v>
      </c>
      <c r="D609" s="6">
        <v>44286</v>
      </c>
      <c r="E609" t="str">
        <f>"R301014156-01R"</f>
        <v>R301014156-01R</v>
      </c>
      <c r="F609" t="str">
        <f>"ACCT#104992 / PCT#1"</f>
        <v>ACCT#104992 / PCT#1</v>
      </c>
      <c r="G609" s="3">
        <v>378</v>
      </c>
      <c r="H609" t="str">
        <f>"ACCT#104992 / PCT#1"</f>
        <v>ACCT#104992 / PCT#1</v>
      </c>
    </row>
    <row r="610" spans="1:8" x14ac:dyDescent="0.25">
      <c r="A610" t="s">
        <v>181</v>
      </c>
      <c r="B610">
        <v>134853</v>
      </c>
      <c r="C610" s="3">
        <v>987.21</v>
      </c>
      <c r="D610" s="6">
        <v>44263</v>
      </c>
      <c r="E610" t="str">
        <f>"202103021924"</f>
        <v>202103021924</v>
      </c>
      <c r="F610" t="str">
        <f>"CUST#1645/WILDFIRE MIT."</f>
        <v>CUST#1645/WILDFIRE MIT.</v>
      </c>
      <c r="G610" s="3">
        <v>411.71</v>
      </c>
      <c r="H610" t="str">
        <f>"CUST#1645/WILDFIRE MIT."</f>
        <v>CUST#1645/WILDFIRE MIT.</v>
      </c>
    </row>
    <row r="611" spans="1:8" x14ac:dyDescent="0.25">
      <c r="E611" t="str">
        <f>"202103021925"</f>
        <v>202103021925</v>
      </c>
      <c r="F611" t="str">
        <f>"CUST#1650/PCT#1"</f>
        <v>CUST#1650/PCT#1</v>
      </c>
      <c r="G611" s="3">
        <v>247.92</v>
      </c>
      <c r="H611" t="str">
        <f>"CUST#1650/PCT#1"</f>
        <v>CUST#1650/PCT#1</v>
      </c>
    </row>
    <row r="612" spans="1:8" x14ac:dyDescent="0.25">
      <c r="E612" t="str">
        <f>"202103021926"</f>
        <v>202103021926</v>
      </c>
      <c r="F612" t="str">
        <f>"CUST#1750/PCT#3"</f>
        <v>CUST#1750/PCT#3</v>
      </c>
      <c r="G612" s="3">
        <v>327.58</v>
      </c>
      <c r="H612" t="str">
        <f>"CUST#1750/PCT#3"</f>
        <v>CUST#1750/PCT#3</v>
      </c>
    </row>
    <row r="613" spans="1:8" x14ac:dyDescent="0.25">
      <c r="A613" t="s">
        <v>182</v>
      </c>
      <c r="B613">
        <v>4047</v>
      </c>
      <c r="C613" s="3">
        <v>1648.63</v>
      </c>
      <c r="D613" s="6">
        <v>44264</v>
      </c>
      <c r="E613" t="str">
        <f>"02245825"</f>
        <v>02245825</v>
      </c>
      <c r="F613" t="str">
        <f>"INV 02245825"</f>
        <v>INV 02245825</v>
      </c>
      <c r="G613" s="3">
        <v>1648.63</v>
      </c>
      <c r="H613" t="str">
        <f>"INV 02245825"</f>
        <v>INV 02245825</v>
      </c>
    </row>
    <row r="614" spans="1:8" x14ac:dyDescent="0.25">
      <c r="A614" t="s">
        <v>182</v>
      </c>
      <c r="B614">
        <v>4098</v>
      </c>
      <c r="C614" s="3">
        <v>3009.74</v>
      </c>
      <c r="D614" s="6">
        <v>44278</v>
      </c>
      <c r="E614" t="str">
        <f>"03036488"</f>
        <v>03036488</v>
      </c>
      <c r="F614" t="str">
        <f>"INV 03036488  03103217"</f>
        <v>INV 03036488  03103217</v>
      </c>
      <c r="G614" s="3">
        <v>3009.74</v>
      </c>
      <c r="H614" t="str">
        <f>"INV 03036488"</f>
        <v>INV 03036488</v>
      </c>
    </row>
    <row r="615" spans="1:8" x14ac:dyDescent="0.25">
      <c r="E615" t="str">
        <f>""</f>
        <v/>
      </c>
      <c r="F615" t="str">
        <f>""</f>
        <v/>
      </c>
      <c r="H615" t="str">
        <f>"INV 03103217"</f>
        <v>INV 03103217</v>
      </c>
    </row>
    <row r="616" spans="1:8" x14ac:dyDescent="0.25">
      <c r="A616" t="s">
        <v>183</v>
      </c>
      <c r="B616">
        <v>4127</v>
      </c>
      <c r="C616" s="3">
        <v>150</v>
      </c>
      <c r="D616" s="6">
        <v>44278</v>
      </c>
      <c r="E616" t="str">
        <f>"156910"</f>
        <v>156910</v>
      </c>
      <c r="F616" t="str">
        <f>"CLEANING SRVCS/PCT#2"</f>
        <v>CLEANING SRVCS/PCT#2</v>
      </c>
      <c r="G616" s="3">
        <v>150</v>
      </c>
      <c r="H616" t="str">
        <f>"CLEANING SRVCS/PCT#2"</f>
        <v>CLEANING SRVCS/PCT#2</v>
      </c>
    </row>
    <row r="617" spans="1:8" x14ac:dyDescent="0.25">
      <c r="A617" t="s">
        <v>184</v>
      </c>
      <c r="B617">
        <v>134854</v>
      </c>
      <c r="C617" s="3">
        <v>9020</v>
      </c>
      <c r="D617" s="6">
        <v>44263</v>
      </c>
      <c r="E617" t="str">
        <f>"368194"</f>
        <v>368194</v>
      </c>
      <c r="F617" t="str">
        <f>"ULUPALU CIRCLE/PCT#1"</f>
        <v>ULUPALU CIRCLE/PCT#1</v>
      </c>
      <c r="G617" s="3">
        <v>8020</v>
      </c>
      <c r="H617" t="str">
        <f>"ULUPALU CIRCLE/PCT#1"</f>
        <v>ULUPALU CIRCLE/PCT#1</v>
      </c>
    </row>
    <row r="618" spans="1:8" x14ac:dyDescent="0.25">
      <c r="E618" t="str">
        <f>"368326"</f>
        <v>368326</v>
      </c>
      <c r="F618" t="str">
        <f>"ULUPALU CIRCLE CONCRETE/PCT#1"</f>
        <v>ULUPALU CIRCLE CONCRETE/PCT#1</v>
      </c>
      <c r="G618" s="3">
        <v>1000</v>
      </c>
      <c r="H618" t="str">
        <f>"ULUPALU CIRCLE CONCRETE/PCT#1"</f>
        <v>ULUPALU CIRCLE CONCRETE/PCT#1</v>
      </c>
    </row>
    <row r="619" spans="1:8" x14ac:dyDescent="0.25">
      <c r="A619" t="s">
        <v>185</v>
      </c>
      <c r="B619">
        <v>135007</v>
      </c>
      <c r="C619" s="3">
        <v>281.10000000000002</v>
      </c>
      <c r="D619" s="6">
        <v>44277</v>
      </c>
      <c r="E619" t="str">
        <f>"57786"</f>
        <v>57786</v>
      </c>
      <c r="F619" t="str">
        <f>"LEALS/PCT#4"</f>
        <v>LEALS/PCT#4</v>
      </c>
      <c r="G619" s="3">
        <v>281.10000000000002</v>
      </c>
      <c r="H619" t="str">
        <f>"LEALS/PCT#4"</f>
        <v>LEALS/PCT#4</v>
      </c>
    </row>
    <row r="620" spans="1:8" x14ac:dyDescent="0.25">
      <c r="A620" t="s">
        <v>186</v>
      </c>
      <c r="B620">
        <v>134916</v>
      </c>
      <c r="C620" s="3">
        <v>50.25</v>
      </c>
      <c r="D620" s="6">
        <v>44271</v>
      </c>
      <c r="E620" t="str">
        <f>"202103122139"</f>
        <v>202103122139</v>
      </c>
      <c r="F620" t="str">
        <f>"ACCT#1-09-00072-02 / 02262021"</f>
        <v>ACCT#1-09-00072-02 / 02262021</v>
      </c>
      <c r="G620" s="3">
        <v>50.25</v>
      </c>
      <c r="H620" t="str">
        <f>"ACCT#1-09-00072-02"</f>
        <v>ACCT#1-09-00072-02</v>
      </c>
    </row>
    <row r="621" spans="1:8" x14ac:dyDescent="0.25">
      <c r="A621" t="s">
        <v>186</v>
      </c>
      <c r="B621">
        <v>135094</v>
      </c>
      <c r="C621" s="3">
        <v>50.25</v>
      </c>
      <c r="D621" s="6">
        <v>44286</v>
      </c>
      <c r="E621" t="str">
        <f>"202103312369"</f>
        <v>202103312369</v>
      </c>
      <c r="F621" t="str">
        <f>"ACCT#1-09-00072-02 / 03252021"</f>
        <v>ACCT#1-09-00072-02 / 03252021</v>
      </c>
      <c r="G621" s="3">
        <v>50.25</v>
      </c>
      <c r="H621" t="str">
        <f>"ACCT#1-09-00072-02 / 03252021"</f>
        <v>ACCT#1-09-00072-02 / 03252021</v>
      </c>
    </row>
    <row r="622" spans="1:8" x14ac:dyDescent="0.25">
      <c r="A622" t="s">
        <v>187</v>
      </c>
      <c r="B622">
        <v>135008</v>
      </c>
      <c r="C622" s="3">
        <v>590.79999999999995</v>
      </c>
      <c r="D622" s="6">
        <v>44277</v>
      </c>
      <c r="E622" t="str">
        <f>"1211621-20210228"</f>
        <v>1211621-20210228</v>
      </c>
      <c r="F622" t="str">
        <f>"BILL ID#1211621"</f>
        <v>BILL ID#1211621</v>
      </c>
      <c r="G622" s="3">
        <v>50</v>
      </c>
      <c r="H622" t="str">
        <f>"BILL ID#1211621"</f>
        <v>BILL ID#1211621</v>
      </c>
    </row>
    <row r="623" spans="1:8" x14ac:dyDescent="0.25">
      <c r="E623" t="str">
        <f>"1361725-20210228"</f>
        <v>1361725-20210228</v>
      </c>
      <c r="F623" t="str">
        <f>"BILL ID#1361725"</f>
        <v>BILL ID#1361725</v>
      </c>
      <c r="G623" s="3">
        <v>150</v>
      </c>
      <c r="H623" t="str">
        <f>"BILL ID#1361725"</f>
        <v>BILL ID#1361725</v>
      </c>
    </row>
    <row r="624" spans="1:8" x14ac:dyDescent="0.25">
      <c r="E624" t="str">
        <f>"1394645-20210228"</f>
        <v>1394645-20210228</v>
      </c>
      <c r="F624" t="str">
        <f>"BILL ID #1394645"</f>
        <v>BILL ID #1394645</v>
      </c>
      <c r="G624" s="3">
        <v>50</v>
      </c>
      <c r="H624" t="str">
        <f>"BILL ID #1394645"</f>
        <v>BILL ID #1394645</v>
      </c>
    </row>
    <row r="625" spans="1:8" x14ac:dyDescent="0.25">
      <c r="E625" t="str">
        <f>"1420944-20210228"</f>
        <v>1420944-20210228</v>
      </c>
      <c r="F625" t="str">
        <f>"BILL ID#1420944"</f>
        <v>BILL ID#1420944</v>
      </c>
      <c r="G625" s="3">
        <v>290.8</v>
      </c>
      <c r="H625" t="str">
        <f>"BILL ID#1420944"</f>
        <v>BILL ID#1420944</v>
      </c>
    </row>
    <row r="626" spans="1:8" x14ac:dyDescent="0.25">
      <c r="E626" t="str">
        <f>"1489870-20210228"</f>
        <v>1489870-20210228</v>
      </c>
      <c r="F626" t="str">
        <f>"BILL ID#1489870"</f>
        <v>BILL ID#1489870</v>
      </c>
      <c r="G626" s="3">
        <v>50</v>
      </c>
      <c r="H626" t="str">
        <f>"BILL ID#1489870"</f>
        <v>BILL ID#1489870</v>
      </c>
    </row>
    <row r="627" spans="1:8" x14ac:dyDescent="0.25">
      <c r="A627" t="s">
        <v>188</v>
      </c>
      <c r="B627">
        <v>134855</v>
      </c>
      <c r="C627" s="3">
        <v>950</v>
      </c>
      <c r="D627" s="6">
        <v>44263</v>
      </c>
      <c r="E627" t="str">
        <f>"21-2000-01"</f>
        <v>21-2000-01</v>
      </c>
      <c r="F627" t="str">
        <f>"GEOTECHNICAL ENGINEER"</f>
        <v>GEOTECHNICAL ENGINEER</v>
      </c>
      <c r="G627" s="3">
        <v>950</v>
      </c>
      <c r="H627" t="str">
        <f>"GEOTECHNICAL ENGINEER"</f>
        <v>GEOTECHNICAL ENGINEER</v>
      </c>
    </row>
    <row r="628" spans="1:8" x14ac:dyDescent="0.25">
      <c r="A628" t="s">
        <v>189</v>
      </c>
      <c r="B628">
        <v>4060</v>
      </c>
      <c r="C628" s="3">
        <v>13807.62</v>
      </c>
      <c r="D628" s="6">
        <v>44264</v>
      </c>
      <c r="E628" t="str">
        <f>"202103011844"</f>
        <v>202103011844</v>
      </c>
      <c r="F628" t="str">
        <f>"LONE STAR CIRCLE OF CARE REIMB"</f>
        <v>LONE STAR CIRCLE OF CARE REIMB</v>
      </c>
      <c r="G628" s="3">
        <v>13807.62</v>
      </c>
      <c r="H628" t="str">
        <f>"LONE STAR CIRCLE OF CARE REIMB"</f>
        <v>LONE STAR CIRCLE OF CARE REIMB</v>
      </c>
    </row>
    <row r="629" spans="1:8" x14ac:dyDescent="0.25">
      <c r="A629" t="s">
        <v>190</v>
      </c>
      <c r="B629">
        <v>4058</v>
      </c>
      <c r="C629" s="3">
        <v>150</v>
      </c>
      <c r="D629" s="6">
        <v>44264</v>
      </c>
      <c r="E629" t="str">
        <f>"2021-1038"</f>
        <v>2021-1038</v>
      </c>
      <c r="F629" t="str">
        <f>"INV 2021-1038"</f>
        <v>INV 2021-1038</v>
      </c>
      <c r="G629" s="3">
        <v>150</v>
      </c>
      <c r="H629" t="str">
        <f>"INV 2021-1038"</f>
        <v>INV 2021-1038</v>
      </c>
    </row>
    <row r="630" spans="1:8" x14ac:dyDescent="0.25">
      <c r="A630" t="s">
        <v>191</v>
      </c>
      <c r="B630">
        <v>4064</v>
      </c>
      <c r="C630" s="3">
        <v>1001</v>
      </c>
      <c r="D630" s="6">
        <v>44264</v>
      </c>
      <c r="E630" t="str">
        <f>"202103031945"</f>
        <v>202103031945</v>
      </c>
      <c r="F630" t="str">
        <f>"TRASH REMOVAL/PCT#4"</f>
        <v>TRASH REMOVAL/PCT#4</v>
      </c>
      <c r="G630" s="3">
        <v>624</v>
      </c>
      <c r="H630" t="str">
        <f>"TRASH REMOVAL/PCT#4"</f>
        <v>TRASH REMOVAL/PCT#4</v>
      </c>
    </row>
    <row r="631" spans="1:8" x14ac:dyDescent="0.25">
      <c r="E631" t="str">
        <f>"202103031946"</f>
        <v>202103031946</v>
      </c>
      <c r="F631" t="str">
        <f>"TRASH REMOVAL/PCT#4"</f>
        <v>TRASH REMOVAL/PCT#4</v>
      </c>
      <c r="G631" s="3">
        <v>377</v>
      </c>
      <c r="H631" t="str">
        <f>"TRASH REMOVAL/PCT#4"</f>
        <v>TRASH REMOVAL/PCT#4</v>
      </c>
    </row>
    <row r="632" spans="1:8" x14ac:dyDescent="0.25">
      <c r="A632" t="s">
        <v>191</v>
      </c>
      <c r="B632">
        <v>4123</v>
      </c>
      <c r="C632" s="3">
        <v>754</v>
      </c>
      <c r="D632" s="6">
        <v>44278</v>
      </c>
      <c r="E632" t="str">
        <f>"202103172246"</f>
        <v>202103172246</v>
      </c>
      <c r="F632" t="str">
        <f>"TRASH REMOVAL 03/08-03/20"</f>
        <v>TRASH REMOVAL 03/08-03/20</v>
      </c>
      <c r="G632" s="3">
        <v>754</v>
      </c>
      <c r="H632" t="str">
        <f>"TRASH REMOVAL 03/08-03/20"</f>
        <v>TRASH REMOVAL 03/08-03/20</v>
      </c>
    </row>
    <row r="633" spans="1:8" x14ac:dyDescent="0.25">
      <c r="A633" t="s">
        <v>192</v>
      </c>
      <c r="B633">
        <v>4082</v>
      </c>
      <c r="C633" s="3">
        <v>170</v>
      </c>
      <c r="D633" s="6">
        <v>44264</v>
      </c>
      <c r="E633" t="str">
        <f>"10-0109647"</f>
        <v>10-0109647</v>
      </c>
      <c r="F633" t="str">
        <f>"INV 10-0109647/10-0110841"</f>
        <v>INV 10-0109647/10-0110841</v>
      </c>
      <c r="G633" s="3">
        <v>170</v>
      </c>
      <c r="H633" t="str">
        <f>"INV 10-0109647"</f>
        <v>INV 10-0109647</v>
      </c>
    </row>
    <row r="634" spans="1:8" x14ac:dyDescent="0.25">
      <c r="E634" t="str">
        <f>""</f>
        <v/>
      </c>
      <c r="F634" t="str">
        <f>""</f>
        <v/>
      </c>
      <c r="H634" t="str">
        <f>"INV 10-0110841"</f>
        <v>INV 10-0110841</v>
      </c>
    </row>
    <row r="635" spans="1:8" x14ac:dyDescent="0.25">
      <c r="E635" t="str">
        <f>""</f>
        <v/>
      </c>
      <c r="F635" t="str">
        <f>""</f>
        <v/>
      </c>
      <c r="H635" t="str">
        <f>"INV 10-0111416"</f>
        <v>INV 10-0111416</v>
      </c>
    </row>
    <row r="636" spans="1:8" x14ac:dyDescent="0.25">
      <c r="E636" t="str">
        <f>""</f>
        <v/>
      </c>
      <c r="F636" t="str">
        <f>""</f>
        <v/>
      </c>
      <c r="H636" t="str">
        <f>"INV 10-0111537"</f>
        <v>INV 10-0111537</v>
      </c>
    </row>
    <row r="637" spans="1:8" x14ac:dyDescent="0.25">
      <c r="E637" t="str">
        <f>""</f>
        <v/>
      </c>
      <c r="F637" t="str">
        <f>""</f>
        <v/>
      </c>
      <c r="H637" t="str">
        <f>"INV 10-0112616"</f>
        <v>INV 10-0112616</v>
      </c>
    </row>
    <row r="638" spans="1:8" x14ac:dyDescent="0.25">
      <c r="A638" t="s">
        <v>193</v>
      </c>
      <c r="B638">
        <v>134856</v>
      </c>
      <c r="C638" s="3">
        <v>25</v>
      </c>
      <c r="D638" s="6">
        <v>44263</v>
      </c>
      <c r="E638" t="str">
        <f>"14108"</f>
        <v>14108</v>
      </c>
      <c r="F638" t="str">
        <f>"RESTITUTION L. SADECKY"</f>
        <v>RESTITUTION L. SADECKY</v>
      </c>
      <c r="G638" s="3">
        <v>25</v>
      </c>
      <c r="H638" t="str">
        <f>"RESTITUTION L. SADECKY"</f>
        <v>RESTITUTION L. SADECKY</v>
      </c>
    </row>
    <row r="639" spans="1:8" x14ac:dyDescent="0.25">
      <c r="A639" t="s">
        <v>194</v>
      </c>
      <c r="B639">
        <v>4055</v>
      </c>
      <c r="C639" s="3">
        <v>125</v>
      </c>
      <c r="D639" s="6">
        <v>44264</v>
      </c>
      <c r="E639" t="str">
        <f>"202103021865"</f>
        <v>202103021865</v>
      </c>
      <c r="F639" t="str">
        <f>"11172020"</f>
        <v>11172020</v>
      </c>
      <c r="G639" s="3">
        <v>125</v>
      </c>
      <c r="H639" t="str">
        <f>"11172020"</f>
        <v>11172020</v>
      </c>
    </row>
    <row r="640" spans="1:8" x14ac:dyDescent="0.25">
      <c r="A640" t="s">
        <v>194</v>
      </c>
      <c r="B640">
        <v>4112</v>
      </c>
      <c r="C640" s="3">
        <v>250</v>
      </c>
      <c r="D640" s="6">
        <v>44278</v>
      </c>
      <c r="E640" t="str">
        <f>"202103102046"</f>
        <v>202103102046</v>
      </c>
      <c r="F640" t="str">
        <f>"3042021"</f>
        <v>3042021</v>
      </c>
      <c r="G640" s="3">
        <v>250</v>
      </c>
      <c r="H640" t="str">
        <f>"3042021"</f>
        <v>3042021</v>
      </c>
    </row>
    <row r="641" spans="1:8" x14ac:dyDescent="0.25">
      <c r="A641" t="s">
        <v>195</v>
      </c>
      <c r="B641">
        <v>135009</v>
      </c>
      <c r="C641" s="3">
        <v>264.24</v>
      </c>
      <c r="D641" s="6">
        <v>44277</v>
      </c>
      <c r="E641" t="str">
        <f>"202103162211"</f>
        <v>202103162211</v>
      </c>
      <c r="F641" t="str">
        <f>"INDIGENT HEALTH"</f>
        <v>INDIGENT HEALTH</v>
      </c>
      <c r="G641" s="3">
        <v>264.24</v>
      </c>
      <c r="H641" t="str">
        <f>"INDIGENT HEALTH"</f>
        <v>INDIGENT HEALTH</v>
      </c>
    </row>
    <row r="642" spans="1:8" x14ac:dyDescent="0.25">
      <c r="E642" t="str">
        <f>""</f>
        <v/>
      </c>
      <c r="F642" t="str">
        <f>""</f>
        <v/>
      </c>
      <c r="H642" t="str">
        <f>"INDIGENT HEALTH"</f>
        <v>INDIGENT HEALTH</v>
      </c>
    </row>
    <row r="643" spans="1:8" x14ac:dyDescent="0.25">
      <c r="E643" t="str">
        <f>""</f>
        <v/>
      </c>
      <c r="F643" t="str">
        <f>""</f>
        <v/>
      </c>
      <c r="H643" t="str">
        <f>"INDIGENT HEALTH"</f>
        <v>INDIGENT HEALTH</v>
      </c>
    </row>
    <row r="644" spans="1:8" x14ac:dyDescent="0.25">
      <c r="A644" t="s">
        <v>196</v>
      </c>
      <c r="B644">
        <v>135010</v>
      </c>
      <c r="C644" s="3">
        <v>361.3</v>
      </c>
      <c r="D644" s="6">
        <v>44277</v>
      </c>
      <c r="E644" t="str">
        <f>"001930548"</f>
        <v>001930548</v>
      </c>
      <c r="F644" t="str">
        <f>"INV001930548"</f>
        <v>INV001930548</v>
      </c>
      <c r="G644" s="3">
        <v>361.3</v>
      </c>
      <c r="H644" t="str">
        <f>"INV001930548"</f>
        <v>INV001930548</v>
      </c>
    </row>
    <row r="645" spans="1:8" x14ac:dyDescent="0.25">
      <c r="A645" t="s">
        <v>197</v>
      </c>
      <c r="B645">
        <v>4057</v>
      </c>
      <c r="C645" s="3">
        <v>2000</v>
      </c>
      <c r="D645" s="6">
        <v>44264</v>
      </c>
      <c r="E645" t="str">
        <f>"202103021883"</f>
        <v>202103021883</v>
      </c>
      <c r="F645" t="str">
        <f>"20-20207"</f>
        <v>20-20207</v>
      </c>
      <c r="G645" s="3">
        <v>393.75</v>
      </c>
      <c r="H645" t="str">
        <f>"20-20207"</f>
        <v>20-20207</v>
      </c>
    </row>
    <row r="646" spans="1:8" x14ac:dyDescent="0.25">
      <c r="E646" t="str">
        <f>"202103021884"</f>
        <v>202103021884</v>
      </c>
      <c r="F646" t="str">
        <f>"20-20454"</f>
        <v>20-20454</v>
      </c>
      <c r="G646" s="3">
        <v>637.5</v>
      </c>
      <c r="H646" t="str">
        <f>"20-20454"</f>
        <v>20-20454</v>
      </c>
    </row>
    <row r="647" spans="1:8" x14ac:dyDescent="0.25">
      <c r="E647" t="str">
        <f>"202103021885"</f>
        <v>202103021885</v>
      </c>
      <c r="F647" t="str">
        <f>"20-20372"</f>
        <v>20-20372</v>
      </c>
      <c r="G647" s="3">
        <v>618.75</v>
      </c>
      <c r="H647" t="str">
        <f>"20-20372"</f>
        <v>20-20372</v>
      </c>
    </row>
    <row r="648" spans="1:8" x14ac:dyDescent="0.25">
      <c r="E648" t="str">
        <f>"202103021886"</f>
        <v>202103021886</v>
      </c>
      <c r="F648" t="str">
        <f>"WRIT OF HABEAS COURT"</f>
        <v>WRIT OF HABEAS COURT</v>
      </c>
      <c r="G648" s="3">
        <v>100</v>
      </c>
      <c r="H648" t="str">
        <f>"WRIT OF HABEAS COURT"</f>
        <v>WRIT OF HABEAS COURT</v>
      </c>
    </row>
    <row r="649" spans="1:8" x14ac:dyDescent="0.25">
      <c r="E649" t="str">
        <f>"202103021887"</f>
        <v>202103021887</v>
      </c>
      <c r="F649" t="str">
        <f>"AC-2021-00117A/925-359-1765A00"</f>
        <v>AC-2021-00117A/925-359-1765A00</v>
      </c>
      <c r="G649" s="3">
        <v>250</v>
      </c>
      <c r="H649" t="str">
        <f>"AC-2021-00117A/925-359-1765A00"</f>
        <v>AC-2021-00117A/925-359-1765A00</v>
      </c>
    </row>
    <row r="650" spans="1:8" x14ac:dyDescent="0.25">
      <c r="A650" t="s">
        <v>197</v>
      </c>
      <c r="B650">
        <v>4114</v>
      </c>
      <c r="C650" s="3">
        <v>2861.49</v>
      </c>
      <c r="D650" s="6">
        <v>44278</v>
      </c>
      <c r="E650" t="str">
        <f>"202103162185"</f>
        <v>202103162185</v>
      </c>
      <c r="F650" t="str">
        <f>"19-19967"</f>
        <v>19-19967</v>
      </c>
      <c r="G650" s="3">
        <v>393.75</v>
      </c>
      <c r="H650" t="str">
        <f>"19-19967"</f>
        <v>19-19967</v>
      </c>
    </row>
    <row r="651" spans="1:8" x14ac:dyDescent="0.25">
      <c r="E651" t="str">
        <f>"202103162186"</f>
        <v>202103162186</v>
      </c>
      <c r="F651" t="str">
        <f>"21-20593"</f>
        <v>21-20593</v>
      </c>
      <c r="G651" s="3">
        <v>150</v>
      </c>
      <c r="H651" t="str">
        <f>"21-20593"</f>
        <v>21-20593</v>
      </c>
    </row>
    <row r="652" spans="1:8" x14ac:dyDescent="0.25">
      <c r="E652" t="str">
        <f>"202103162187"</f>
        <v>202103162187</v>
      </c>
      <c r="F652" t="str">
        <f>"BC20201219A"</f>
        <v>BC20201219A</v>
      </c>
      <c r="G652" s="3">
        <v>125</v>
      </c>
      <c r="H652" t="str">
        <f>"BC20201219A"</f>
        <v>BC20201219A</v>
      </c>
    </row>
    <row r="653" spans="1:8" x14ac:dyDescent="0.25">
      <c r="E653" t="str">
        <f>"202103162188"</f>
        <v>202103162188</v>
      </c>
      <c r="F653" t="str">
        <f>"20-20056"</f>
        <v>20-20056</v>
      </c>
      <c r="G653" s="3">
        <v>300</v>
      </c>
      <c r="H653" t="str">
        <f>"20-20056"</f>
        <v>20-20056</v>
      </c>
    </row>
    <row r="654" spans="1:8" x14ac:dyDescent="0.25">
      <c r="E654" t="str">
        <f>"202103162189"</f>
        <v>202103162189</v>
      </c>
      <c r="F654" t="str">
        <f>"20-20531"</f>
        <v>20-20531</v>
      </c>
      <c r="G654" s="3">
        <v>1018.74</v>
      </c>
      <c r="H654" t="str">
        <f>"20-20531"</f>
        <v>20-20531</v>
      </c>
    </row>
    <row r="655" spans="1:8" x14ac:dyDescent="0.25">
      <c r="E655" t="str">
        <f>"202103162190"</f>
        <v>202103162190</v>
      </c>
      <c r="F655" t="str">
        <f>"19-19465"</f>
        <v>19-19465</v>
      </c>
      <c r="G655" s="3">
        <v>874</v>
      </c>
      <c r="H655" t="str">
        <f>"19-19465"</f>
        <v>19-19465</v>
      </c>
    </row>
    <row r="656" spans="1:8" x14ac:dyDescent="0.25">
      <c r="A656" t="s">
        <v>198</v>
      </c>
      <c r="B656">
        <v>135011</v>
      </c>
      <c r="C656" s="3">
        <v>323.13</v>
      </c>
      <c r="D656" s="6">
        <v>44277</v>
      </c>
      <c r="E656" t="str">
        <f>"23152966"</f>
        <v>23152966</v>
      </c>
      <c r="F656" t="str">
        <f>"ACCT#41472/PCT#1"</f>
        <v>ACCT#41472/PCT#1</v>
      </c>
      <c r="G656" s="3">
        <v>29.73</v>
      </c>
      <c r="H656" t="str">
        <f>"ACCT#41472/PCT#1"</f>
        <v>ACCT#41472/PCT#1</v>
      </c>
    </row>
    <row r="657" spans="1:8" x14ac:dyDescent="0.25">
      <c r="E657" t="str">
        <f>"23153036"</f>
        <v>23153036</v>
      </c>
      <c r="F657" t="str">
        <f>"ACCT#45057/PCT#4"</f>
        <v>ACCT#45057/PCT#4</v>
      </c>
      <c r="G657" s="3">
        <v>54.73</v>
      </c>
      <c r="H657" t="str">
        <f>"ACCT#45057/PCT#4"</f>
        <v>ACCT#45057/PCT#4</v>
      </c>
    </row>
    <row r="658" spans="1:8" x14ac:dyDescent="0.25">
      <c r="E658" t="str">
        <f>"23153081"</f>
        <v>23153081</v>
      </c>
      <c r="F658" t="str">
        <f>"INV 23153081"</f>
        <v>INV 23153081</v>
      </c>
      <c r="G658" s="3">
        <v>58.67</v>
      </c>
      <c r="H658" t="str">
        <f>"INV 23153081"</f>
        <v>INV 23153081</v>
      </c>
    </row>
    <row r="659" spans="1:8" x14ac:dyDescent="0.25">
      <c r="E659" t="str">
        <f>"23160272"</f>
        <v>23160272</v>
      </c>
      <c r="F659" t="str">
        <f>"ACCT#S9549/PCT#1"</f>
        <v>ACCT#S9549/PCT#1</v>
      </c>
      <c r="G659" s="3">
        <v>180</v>
      </c>
      <c r="H659" t="str">
        <f>"ACCT#S9549/PCT#1"</f>
        <v>ACCT#S9549/PCT#1</v>
      </c>
    </row>
    <row r="660" spans="1:8" x14ac:dyDescent="0.25">
      <c r="A660" t="s">
        <v>199</v>
      </c>
      <c r="B660">
        <v>135012</v>
      </c>
      <c r="C660" s="3">
        <v>1680</v>
      </c>
      <c r="D660" s="6">
        <v>44277</v>
      </c>
      <c r="E660" t="str">
        <f>"202103172247"</f>
        <v>202103172247</v>
      </c>
      <c r="F660" t="str">
        <f>"16-056"</f>
        <v>16-056</v>
      </c>
      <c r="G660" s="3">
        <v>1680</v>
      </c>
      <c r="H660" t="str">
        <f>"16-056"</f>
        <v>16-056</v>
      </c>
    </row>
    <row r="661" spans="1:8" x14ac:dyDescent="0.25">
      <c r="A661" t="s">
        <v>200</v>
      </c>
      <c r="B661">
        <v>4147</v>
      </c>
      <c r="C661" s="3">
        <v>51.42</v>
      </c>
      <c r="D661" s="6">
        <v>44278</v>
      </c>
      <c r="E661" t="str">
        <f>"600602069"</f>
        <v>600602069</v>
      </c>
      <c r="F661" t="str">
        <f>"ACCT#900-98011130-001"</f>
        <v>ACCT#900-98011130-001</v>
      </c>
      <c r="G661" s="3">
        <v>40.99</v>
      </c>
      <c r="H661" t="str">
        <f>"ACCT#900-98011130-001"</f>
        <v>ACCT#900-98011130-001</v>
      </c>
    </row>
    <row r="662" spans="1:8" x14ac:dyDescent="0.25">
      <c r="E662" t="str">
        <f>"900-98011130-001"</f>
        <v>900-98011130-001</v>
      </c>
      <c r="F662" t="str">
        <f>"ACCT#900-98011130/PCT#3"</f>
        <v>ACCT#900-98011130/PCT#3</v>
      </c>
      <c r="G662" s="3">
        <v>10.43</v>
      </c>
      <c r="H662" t="str">
        <f>"ACCT#900-98011130/PCT#3"</f>
        <v>ACCT#900-98011130/PCT#3</v>
      </c>
    </row>
    <row r="663" spans="1:8" x14ac:dyDescent="0.25">
      <c r="A663" t="s">
        <v>201</v>
      </c>
      <c r="B663">
        <v>134857</v>
      </c>
      <c r="C663" s="3">
        <v>10075.370000000001</v>
      </c>
      <c r="D663" s="6">
        <v>44263</v>
      </c>
      <c r="E663" t="str">
        <f>"202103031953"</f>
        <v>202103031953</v>
      </c>
      <c r="F663" t="str">
        <f>"DELINQUENT TAX COLLECT - FEB21"</f>
        <v>DELINQUENT TAX COLLECT - FEB21</v>
      </c>
      <c r="G663" s="3">
        <v>10075.370000000001</v>
      </c>
      <c r="H663" t="str">
        <f>"DELINQUENT TAX COLLECT - FEB21"</f>
        <v>DELINQUENT TAX COLLECT - FEB21</v>
      </c>
    </row>
    <row r="664" spans="1:8" x14ac:dyDescent="0.25">
      <c r="A664" t="s">
        <v>201</v>
      </c>
      <c r="B664">
        <v>135013</v>
      </c>
      <c r="C664" s="3">
        <v>5114.5</v>
      </c>
      <c r="D664" s="6">
        <v>44277</v>
      </c>
      <c r="E664" t="str">
        <f>"11-328"</f>
        <v>11-328</v>
      </c>
      <c r="F664" t="str">
        <f>"SERVICE"</f>
        <v>SERVICE</v>
      </c>
      <c r="G664" s="3">
        <v>35</v>
      </c>
      <c r="H664" t="str">
        <f>"SERVICE"</f>
        <v>SERVICE</v>
      </c>
    </row>
    <row r="665" spans="1:8" x14ac:dyDescent="0.25">
      <c r="E665" t="str">
        <f>"11328-3-10-21"</f>
        <v>11328-3-10-21</v>
      </c>
      <c r="F665" t="str">
        <f>"SERVICE"</f>
        <v>SERVICE</v>
      </c>
      <c r="G665" s="3">
        <v>50</v>
      </c>
      <c r="H665" t="str">
        <f>"SERVICE"</f>
        <v>SERVICE</v>
      </c>
    </row>
    <row r="666" spans="1:8" x14ac:dyDescent="0.25">
      <c r="E666" t="str">
        <f>"12901"</f>
        <v>12901</v>
      </c>
      <c r="F666" t="str">
        <f t="shared" ref="F666:F672" si="9">"ABST FEE"</f>
        <v>ABST FEE</v>
      </c>
      <c r="G666" s="3">
        <v>225</v>
      </c>
      <c r="H666" t="str">
        <f t="shared" ref="H666:H672" si="10">"ABST FEE"</f>
        <v>ABST FEE</v>
      </c>
    </row>
    <row r="667" spans="1:8" x14ac:dyDescent="0.25">
      <c r="E667" t="str">
        <f>"13090"</f>
        <v>13090</v>
      </c>
      <c r="F667" t="str">
        <f t="shared" si="9"/>
        <v>ABST FEE</v>
      </c>
      <c r="G667" s="3">
        <v>225</v>
      </c>
      <c r="H667" t="str">
        <f t="shared" si="10"/>
        <v>ABST FEE</v>
      </c>
    </row>
    <row r="668" spans="1:8" x14ac:dyDescent="0.25">
      <c r="E668" t="str">
        <f>"13099"</f>
        <v>13099</v>
      </c>
      <c r="F668" t="str">
        <f t="shared" si="9"/>
        <v>ABST FEE</v>
      </c>
      <c r="G668" s="3">
        <v>225</v>
      </c>
      <c r="H668" t="str">
        <f t="shared" si="10"/>
        <v>ABST FEE</v>
      </c>
    </row>
    <row r="669" spans="1:8" x14ac:dyDescent="0.25">
      <c r="E669" t="str">
        <f>"13148"</f>
        <v>13148</v>
      </c>
      <c r="F669" t="str">
        <f t="shared" si="9"/>
        <v>ABST FEE</v>
      </c>
      <c r="G669" s="3">
        <v>225</v>
      </c>
      <c r="H669" t="str">
        <f t="shared" si="10"/>
        <v>ABST FEE</v>
      </c>
    </row>
    <row r="670" spans="1:8" x14ac:dyDescent="0.25">
      <c r="E670" t="str">
        <f>"13241-3-10-21"</f>
        <v>13241-3-10-21</v>
      </c>
      <c r="F670" t="str">
        <f t="shared" si="9"/>
        <v>ABST FEE</v>
      </c>
      <c r="G670" s="3">
        <v>67</v>
      </c>
      <c r="H670" t="str">
        <f t="shared" si="10"/>
        <v>ABST FEE</v>
      </c>
    </row>
    <row r="671" spans="1:8" x14ac:dyDescent="0.25">
      <c r="E671" t="str">
        <f>"13280"</f>
        <v>13280</v>
      </c>
      <c r="F671" t="str">
        <f t="shared" si="9"/>
        <v>ABST FEE</v>
      </c>
      <c r="G671" s="3">
        <v>81</v>
      </c>
      <c r="H671" t="str">
        <f t="shared" si="10"/>
        <v>ABST FEE</v>
      </c>
    </row>
    <row r="672" spans="1:8" x14ac:dyDescent="0.25">
      <c r="E672" t="str">
        <f>"13283-310-21"</f>
        <v>13283-310-21</v>
      </c>
      <c r="F672" t="str">
        <f t="shared" si="9"/>
        <v>ABST FEE</v>
      </c>
      <c r="G672" s="3">
        <v>112.5</v>
      </c>
      <c r="H672" t="str">
        <f t="shared" si="10"/>
        <v>ABST FEE</v>
      </c>
    </row>
    <row r="673" spans="5:8" x14ac:dyDescent="0.25">
      <c r="E673" t="str">
        <f>"13329"</f>
        <v>13329</v>
      </c>
      <c r="F673" t="str">
        <f>"SERVICE"</f>
        <v>SERVICE</v>
      </c>
      <c r="G673" s="3">
        <v>225</v>
      </c>
      <c r="H673" t="str">
        <f>"SERVICE"</f>
        <v>SERVICE</v>
      </c>
    </row>
    <row r="674" spans="5:8" x14ac:dyDescent="0.25">
      <c r="E674" t="str">
        <f>"13348"</f>
        <v>13348</v>
      </c>
      <c r="F674" t="str">
        <f t="shared" ref="F674:F681" si="11">"ABST FEE"</f>
        <v>ABST FEE</v>
      </c>
      <c r="G674" s="3">
        <v>225</v>
      </c>
      <c r="H674" t="str">
        <f t="shared" ref="H674:H681" si="12">"ABST FEE"</f>
        <v>ABST FEE</v>
      </c>
    </row>
    <row r="675" spans="5:8" x14ac:dyDescent="0.25">
      <c r="E675" t="str">
        <f>"13379"</f>
        <v>13379</v>
      </c>
      <c r="F675" t="str">
        <f t="shared" si="11"/>
        <v>ABST FEE</v>
      </c>
      <c r="G675" s="3">
        <v>225</v>
      </c>
      <c r="H675" t="str">
        <f t="shared" si="12"/>
        <v>ABST FEE</v>
      </c>
    </row>
    <row r="676" spans="5:8" x14ac:dyDescent="0.25">
      <c r="E676" t="str">
        <f>"13394"</f>
        <v>13394</v>
      </c>
      <c r="F676" t="str">
        <f t="shared" si="11"/>
        <v>ABST FEE</v>
      </c>
      <c r="G676" s="3">
        <v>40</v>
      </c>
      <c r="H676" t="str">
        <f t="shared" si="12"/>
        <v>ABST FEE</v>
      </c>
    </row>
    <row r="677" spans="5:8" x14ac:dyDescent="0.25">
      <c r="E677" t="str">
        <f>"13403"</f>
        <v>13403</v>
      </c>
      <c r="F677" t="str">
        <f t="shared" si="11"/>
        <v>ABST FEE</v>
      </c>
      <c r="G677" s="3">
        <v>4</v>
      </c>
      <c r="H677" t="str">
        <f t="shared" si="12"/>
        <v>ABST FEE</v>
      </c>
    </row>
    <row r="678" spans="5:8" x14ac:dyDescent="0.25">
      <c r="E678" t="str">
        <f>"13430"</f>
        <v>13430</v>
      </c>
      <c r="F678" t="str">
        <f t="shared" si="11"/>
        <v>ABST FEE</v>
      </c>
      <c r="G678" s="3">
        <v>225</v>
      </c>
      <c r="H678" t="str">
        <f t="shared" si="12"/>
        <v>ABST FEE</v>
      </c>
    </row>
    <row r="679" spans="5:8" x14ac:dyDescent="0.25">
      <c r="E679" t="str">
        <f>"13462"</f>
        <v>13462</v>
      </c>
      <c r="F679" t="str">
        <f t="shared" si="11"/>
        <v>ABST FEE</v>
      </c>
      <c r="G679" s="3">
        <v>225</v>
      </c>
      <c r="H679" t="str">
        <f t="shared" si="12"/>
        <v>ABST FEE</v>
      </c>
    </row>
    <row r="680" spans="5:8" x14ac:dyDescent="0.25">
      <c r="E680" t="str">
        <f>"13463"</f>
        <v>13463</v>
      </c>
      <c r="F680" t="str">
        <f t="shared" si="11"/>
        <v>ABST FEE</v>
      </c>
      <c r="G680" s="3">
        <v>45</v>
      </c>
      <c r="H680" t="str">
        <f t="shared" si="12"/>
        <v>ABST FEE</v>
      </c>
    </row>
    <row r="681" spans="5:8" x14ac:dyDescent="0.25">
      <c r="E681" t="str">
        <f>"13463-3-11-21"</f>
        <v>13463-3-11-21</v>
      </c>
      <c r="F681" t="str">
        <f t="shared" si="11"/>
        <v>ABST FEE</v>
      </c>
      <c r="G681" s="3">
        <v>50</v>
      </c>
      <c r="H681" t="str">
        <f t="shared" si="12"/>
        <v>ABST FEE</v>
      </c>
    </row>
    <row r="682" spans="5:8" x14ac:dyDescent="0.25">
      <c r="E682" t="str">
        <f>"13508"</f>
        <v>13508</v>
      </c>
      <c r="F682" t="str">
        <f>"SERVICE"</f>
        <v>SERVICE</v>
      </c>
      <c r="G682" s="3">
        <v>55</v>
      </c>
      <c r="H682" t="str">
        <f>"SERVICE"</f>
        <v>SERVICE</v>
      </c>
    </row>
    <row r="683" spans="5:8" x14ac:dyDescent="0.25">
      <c r="E683" t="str">
        <f>"13515-3-10-21"</f>
        <v>13515-3-10-21</v>
      </c>
      <c r="F683" t="str">
        <f t="shared" ref="F683:F696" si="13">"ABST FEE"</f>
        <v>ABST FEE</v>
      </c>
      <c r="G683" s="3">
        <v>225</v>
      </c>
      <c r="H683" t="str">
        <f t="shared" ref="H683:H696" si="14">"ABST FEE"</f>
        <v>ABST FEE</v>
      </c>
    </row>
    <row r="684" spans="5:8" x14ac:dyDescent="0.25">
      <c r="E684" t="str">
        <f>"13530"</f>
        <v>13530</v>
      </c>
      <c r="F684" t="str">
        <f t="shared" si="13"/>
        <v>ABST FEE</v>
      </c>
      <c r="G684" s="3">
        <v>225</v>
      </c>
      <c r="H684" t="str">
        <f t="shared" si="14"/>
        <v>ABST FEE</v>
      </c>
    </row>
    <row r="685" spans="5:8" x14ac:dyDescent="0.25">
      <c r="E685" t="str">
        <f>"13567"</f>
        <v>13567</v>
      </c>
      <c r="F685" t="str">
        <f t="shared" si="13"/>
        <v>ABST FEE</v>
      </c>
      <c r="G685" s="3">
        <v>81</v>
      </c>
      <c r="H685" t="str">
        <f t="shared" si="14"/>
        <v>ABST FEE</v>
      </c>
    </row>
    <row r="686" spans="5:8" x14ac:dyDescent="0.25">
      <c r="E686" t="str">
        <f>"13577"</f>
        <v>13577</v>
      </c>
      <c r="F686" t="str">
        <f t="shared" si="13"/>
        <v>ABST FEE</v>
      </c>
      <c r="G686" s="3">
        <v>225</v>
      </c>
      <c r="H686" t="str">
        <f t="shared" si="14"/>
        <v>ABST FEE</v>
      </c>
    </row>
    <row r="687" spans="5:8" x14ac:dyDescent="0.25">
      <c r="E687" t="str">
        <f>"13578"</f>
        <v>13578</v>
      </c>
      <c r="F687" t="str">
        <f t="shared" si="13"/>
        <v>ABST FEE</v>
      </c>
      <c r="G687" s="3">
        <v>102</v>
      </c>
      <c r="H687" t="str">
        <f t="shared" si="14"/>
        <v>ABST FEE</v>
      </c>
    </row>
    <row r="688" spans="5:8" x14ac:dyDescent="0.25">
      <c r="E688" t="str">
        <f>"13578-310-21"</f>
        <v>13578-310-21</v>
      </c>
      <c r="F688" t="str">
        <f t="shared" si="13"/>
        <v>ABST FEE</v>
      </c>
      <c r="G688" s="3">
        <v>123</v>
      </c>
      <c r="H688" t="str">
        <f t="shared" si="14"/>
        <v>ABST FEE</v>
      </c>
    </row>
    <row r="689" spans="1:8" x14ac:dyDescent="0.25">
      <c r="E689" t="str">
        <f>"13597"</f>
        <v>13597</v>
      </c>
      <c r="F689" t="str">
        <f t="shared" si="13"/>
        <v>ABST FEE</v>
      </c>
      <c r="G689" s="3">
        <v>225</v>
      </c>
      <c r="H689" t="str">
        <f t="shared" si="14"/>
        <v>ABST FEE</v>
      </c>
    </row>
    <row r="690" spans="1:8" x14ac:dyDescent="0.25">
      <c r="E690" t="str">
        <f>"13598"</f>
        <v>13598</v>
      </c>
      <c r="F690" t="str">
        <f t="shared" si="13"/>
        <v>ABST FEE</v>
      </c>
      <c r="G690" s="3">
        <v>225</v>
      </c>
      <c r="H690" t="str">
        <f t="shared" si="14"/>
        <v>ABST FEE</v>
      </c>
    </row>
    <row r="691" spans="1:8" x14ac:dyDescent="0.25">
      <c r="E691" t="str">
        <f>"13599"</f>
        <v>13599</v>
      </c>
      <c r="F691" t="str">
        <f t="shared" si="13"/>
        <v>ABST FEE</v>
      </c>
      <c r="G691" s="3">
        <v>225</v>
      </c>
      <c r="H691" t="str">
        <f t="shared" si="14"/>
        <v>ABST FEE</v>
      </c>
    </row>
    <row r="692" spans="1:8" x14ac:dyDescent="0.25">
      <c r="E692" t="str">
        <f>"13607"</f>
        <v>13607</v>
      </c>
      <c r="F692" t="str">
        <f t="shared" si="13"/>
        <v>ABST FEE</v>
      </c>
      <c r="G692" s="3">
        <v>75</v>
      </c>
      <c r="H692" t="str">
        <f t="shared" si="14"/>
        <v>ABST FEE</v>
      </c>
    </row>
    <row r="693" spans="1:8" x14ac:dyDescent="0.25">
      <c r="E693" t="str">
        <f>"13614"</f>
        <v>13614</v>
      </c>
      <c r="F693" t="str">
        <f t="shared" si="13"/>
        <v>ABST FEE</v>
      </c>
      <c r="G693" s="3">
        <v>225</v>
      </c>
      <c r="H693" t="str">
        <f t="shared" si="14"/>
        <v>ABST FEE</v>
      </c>
    </row>
    <row r="694" spans="1:8" x14ac:dyDescent="0.25">
      <c r="E694" t="str">
        <f>"13616"</f>
        <v>13616</v>
      </c>
      <c r="F694" t="str">
        <f t="shared" si="13"/>
        <v>ABST FEE</v>
      </c>
      <c r="G694" s="3">
        <v>225</v>
      </c>
      <c r="H694" t="str">
        <f t="shared" si="14"/>
        <v>ABST FEE</v>
      </c>
    </row>
    <row r="695" spans="1:8" x14ac:dyDescent="0.25">
      <c r="E695" t="str">
        <f>"13619"</f>
        <v>13619</v>
      </c>
      <c r="F695" t="str">
        <f t="shared" si="13"/>
        <v>ABST FEE</v>
      </c>
      <c r="G695" s="3">
        <v>225</v>
      </c>
      <c r="H695" t="str">
        <f t="shared" si="14"/>
        <v>ABST FEE</v>
      </c>
    </row>
    <row r="696" spans="1:8" x14ac:dyDescent="0.25">
      <c r="E696" t="str">
        <f>"ABST FEE"</f>
        <v>ABST FEE</v>
      </c>
      <c r="F696" t="str">
        <f t="shared" si="13"/>
        <v>ABST FEE</v>
      </c>
      <c r="G696" s="3">
        <v>144</v>
      </c>
      <c r="H696" t="str">
        <f t="shared" si="14"/>
        <v>ABST FEE</v>
      </c>
    </row>
    <row r="697" spans="1:8" x14ac:dyDescent="0.25">
      <c r="A697" t="s">
        <v>202</v>
      </c>
      <c r="B697">
        <v>135014</v>
      </c>
      <c r="C697" s="3">
        <v>3800</v>
      </c>
      <c r="D697" s="6">
        <v>44277</v>
      </c>
      <c r="E697" t="str">
        <f>"2021001"</f>
        <v>2021001</v>
      </c>
      <c r="F697" t="str">
        <f>"INV 2021001"</f>
        <v>INV 2021001</v>
      </c>
      <c r="G697" s="3">
        <v>3800</v>
      </c>
      <c r="H697" t="str">
        <f>"INV 2021001"</f>
        <v>INV 2021001</v>
      </c>
    </row>
    <row r="698" spans="1:8" x14ac:dyDescent="0.25">
      <c r="A698" t="s">
        <v>203</v>
      </c>
      <c r="B698">
        <v>135015</v>
      </c>
      <c r="C698" s="3">
        <v>1396.66</v>
      </c>
      <c r="D698" s="6">
        <v>44277</v>
      </c>
      <c r="E698" t="str">
        <f>"18031707"</f>
        <v>18031707</v>
      </c>
      <c r="F698" t="str">
        <f>"INV 18031707  18031853  1"</f>
        <v>INV 18031707  18031853  1</v>
      </c>
      <c r="G698" s="3">
        <v>639.08000000000004</v>
      </c>
      <c r="H698" t="str">
        <f>"INV 18031707"</f>
        <v>INV 18031707</v>
      </c>
    </row>
    <row r="699" spans="1:8" x14ac:dyDescent="0.25">
      <c r="E699" t="str">
        <f>""</f>
        <v/>
      </c>
      <c r="F699" t="str">
        <f>""</f>
        <v/>
      </c>
      <c r="H699" t="str">
        <f>"INV 18031853"</f>
        <v>INV 18031853</v>
      </c>
    </row>
    <row r="700" spans="1:8" x14ac:dyDescent="0.25">
      <c r="E700" t="str">
        <f>""</f>
        <v/>
      </c>
      <c r="F700" t="str">
        <f>""</f>
        <v/>
      </c>
      <c r="H700" t="str">
        <f>"INV 18031918"</f>
        <v>INV 18031918</v>
      </c>
    </row>
    <row r="701" spans="1:8" x14ac:dyDescent="0.25">
      <c r="E701" t="str">
        <f>""</f>
        <v/>
      </c>
      <c r="F701" t="str">
        <f>""</f>
        <v/>
      </c>
      <c r="H701" t="str">
        <f>"INV 18057534"</f>
        <v>INV 18057534</v>
      </c>
    </row>
    <row r="702" spans="1:8" x14ac:dyDescent="0.25">
      <c r="E702" t="str">
        <f>"18054144"</f>
        <v>18054144</v>
      </c>
      <c r="F702" t="str">
        <f>"INV 18054144  18054936"</f>
        <v>INV 18054144  18054936</v>
      </c>
      <c r="G702" s="3">
        <v>757.58</v>
      </c>
      <c r="H702" t="str">
        <f>"INV 18054144"</f>
        <v>INV 18054144</v>
      </c>
    </row>
    <row r="703" spans="1:8" x14ac:dyDescent="0.25">
      <c r="E703" t="str">
        <f>""</f>
        <v/>
      </c>
      <c r="F703" t="str">
        <f>""</f>
        <v/>
      </c>
      <c r="H703" t="str">
        <f>"INV 18054936"</f>
        <v>INV 18054936</v>
      </c>
    </row>
    <row r="704" spans="1:8" x14ac:dyDescent="0.25">
      <c r="A704" t="s">
        <v>204</v>
      </c>
      <c r="B704">
        <v>135016</v>
      </c>
      <c r="C704" s="3">
        <v>1596.99</v>
      </c>
      <c r="D704" s="6">
        <v>44277</v>
      </c>
      <c r="E704" t="str">
        <f>"202103162201"</f>
        <v>202103162201</v>
      </c>
      <c r="F704" t="str">
        <f>"INDIGENT HEALTH"</f>
        <v>INDIGENT HEALTH</v>
      </c>
      <c r="G704" s="3">
        <v>1596.99</v>
      </c>
      <c r="H704" t="str">
        <f>"INDIGENT HEALTH"</f>
        <v>INDIGENT HEALTH</v>
      </c>
    </row>
    <row r="705" spans="1:8" x14ac:dyDescent="0.25">
      <c r="E705" t="str">
        <f>""</f>
        <v/>
      </c>
      <c r="F705" t="str">
        <f>""</f>
        <v/>
      </c>
      <c r="H705" t="str">
        <f>"INDIGENT HEALTH"</f>
        <v>INDIGENT HEALTH</v>
      </c>
    </row>
    <row r="706" spans="1:8" x14ac:dyDescent="0.25">
      <c r="A706" t="s">
        <v>205</v>
      </c>
      <c r="B706">
        <v>134858</v>
      </c>
      <c r="C706" s="3">
        <v>205</v>
      </c>
      <c r="D706" s="6">
        <v>44263</v>
      </c>
      <c r="E706" t="str">
        <f>"202103031957"</f>
        <v>202103031957</v>
      </c>
      <c r="F706" t="str">
        <f>"TRAVEL ADVANCE - PER DIEM"</f>
        <v>TRAVEL ADVANCE - PER DIEM</v>
      </c>
      <c r="G706" s="3">
        <v>205</v>
      </c>
      <c r="H706" t="str">
        <f>"TRAVEL ADVANCE - PER DIEM"</f>
        <v>TRAVEL ADVANCE - PER DIEM</v>
      </c>
    </row>
    <row r="707" spans="1:8" x14ac:dyDescent="0.25">
      <c r="A707" t="s">
        <v>206</v>
      </c>
      <c r="B707">
        <v>4051</v>
      </c>
      <c r="C707" s="3">
        <v>3587.44</v>
      </c>
      <c r="D707" s="6">
        <v>44264</v>
      </c>
      <c r="E707" t="str">
        <f>"24064"</f>
        <v>24064</v>
      </c>
      <c r="F707" t="str">
        <f>"FREIGHT SALES/PCT#2"</f>
        <v>FREIGHT SALES/PCT#2</v>
      </c>
      <c r="G707" s="3">
        <v>1469</v>
      </c>
      <c r="H707" t="str">
        <f>"FREIGHT SALES/PCT#2"</f>
        <v>FREIGHT SALES/PCT#2</v>
      </c>
    </row>
    <row r="708" spans="1:8" x14ac:dyDescent="0.25">
      <c r="E708" t="str">
        <f>"24109"</f>
        <v>24109</v>
      </c>
      <c r="F708" t="str">
        <f>"FREIGHT SALES/PCT#2"</f>
        <v>FREIGHT SALES/PCT#2</v>
      </c>
      <c r="G708" s="3">
        <v>1095.25</v>
      </c>
      <c r="H708" t="str">
        <f>"FREIGHT SALES/PCT#2"</f>
        <v>FREIGHT SALES/PCT#2</v>
      </c>
    </row>
    <row r="709" spans="1:8" x14ac:dyDescent="0.25">
      <c r="E709" t="str">
        <f>"24147"</f>
        <v>24147</v>
      </c>
      <c r="F709" t="str">
        <f>"FREIGHT SALES/PCT#1"</f>
        <v>FREIGHT SALES/PCT#1</v>
      </c>
      <c r="G709" s="3">
        <v>1023.19</v>
      </c>
      <c r="H709" t="str">
        <f>"FREIGHT SALES/PCT#1"</f>
        <v>FREIGHT SALES/PCT#1</v>
      </c>
    </row>
    <row r="710" spans="1:8" x14ac:dyDescent="0.25">
      <c r="A710" t="s">
        <v>206</v>
      </c>
      <c r="B710">
        <v>4104</v>
      </c>
      <c r="C710" s="3">
        <v>1189.1500000000001</v>
      </c>
      <c r="D710" s="6">
        <v>44278</v>
      </c>
      <c r="E710" t="str">
        <f>"2404"</f>
        <v>2404</v>
      </c>
      <c r="F710" t="str">
        <f>"FREIGHT SALES/PCT#2"</f>
        <v>FREIGHT SALES/PCT#2</v>
      </c>
      <c r="G710" s="3">
        <v>350.45</v>
      </c>
      <c r="H710" t="str">
        <f>"FREIGHT SALES/PCT#2"</f>
        <v>FREIGHT SALES/PCT#2</v>
      </c>
    </row>
    <row r="711" spans="1:8" x14ac:dyDescent="0.25">
      <c r="E711" t="str">
        <f>"24162"</f>
        <v>24162</v>
      </c>
      <c r="F711" t="str">
        <f>"FREIGHT SALES/PCT#2"</f>
        <v>FREIGHT SALES/PCT#2</v>
      </c>
      <c r="G711" s="3">
        <v>838.7</v>
      </c>
      <c r="H711" t="str">
        <f>"FREIGHT SALES/PCT#2"</f>
        <v>FREIGHT SALES/PCT#2</v>
      </c>
    </row>
    <row r="712" spans="1:8" x14ac:dyDescent="0.25">
      <c r="A712" t="s">
        <v>207</v>
      </c>
      <c r="B712">
        <v>134901</v>
      </c>
      <c r="C712" s="3">
        <v>40</v>
      </c>
      <c r="D712" s="6">
        <v>44266</v>
      </c>
      <c r="E712" t="str">
        <f>"202103112104"</f>
        <v>202103112104</v>
      </c>
      <c r="F712" t="str">
        <f>"Miscel"</f>
        <v>Miscel</v>
      </c>
      <c r="G712" s="3">
        <v>40</v>
      </c>
      <c r="H712" t="str">
        <f>"GREGORY N BICKWERMERT"</f>
        <v>GREGORY N BICKWERMERT</v>
      </c>
    </row>
    <row r="713" spans="1:8" x14ac:dyDescent="0.25">
      <c r="A713" t="s">
        <v>208</v>
      </c>
      <c r="B713">
        <v>134902</v>
      </c>
      <c r="C713" s="3">
        <v>40</v>
      </c>
      <c r="D713" s="6">
        <v>44266</v>
      </c>
      <c r="E713" t="str">
        <f>"202103112105"</f>
        <v>202103112105</v>
      </c>
      <c r="F713" t="str">
        <f>"Miscell"</f>
        <v>Miscell</v>
      </c>
      <c r="G713" s="3">
        <v>40</v>
      </c>
      <c r="H713" t="str">
        <f>"GAIL BELLAH MCDONALD"</f>
        <v>GAIL BELLAH MCDONALD</v>
      </c>
    </row>
    <row r="714" spans="1:8" x14ac:dyDescent="0.25">
      <c r="A714" t="s">
        <v>209</v>
      </c>
      <c r="B714">
        <v>134903</v>
      </c>
      <c r="C714" s="3">
        <v>40</v>
      </c>
      <c r="D714" s="6">
        <v>44266</v>
      </c>
      <c r="E714" t="str">
        <f>"202103112106"</f>
        <v>202103112106</v>
      </c>
      <c r="F714" t="str">
        <f>"Miscel"</f>
        <v>Miscel</v>
      </c>
      <c r="G714" s="3">
        <v>40</v>
      </c>
      <c r="H714" t="str">
        <f>"JEANNIE MARIE RICHTER"</f>
        <v>JEANNIE MARIE RICHTER</v>
      </c>
    </row>
    <row r="715" spans="1:8" x14ac:dyDescent="0.25">
      <c r="A715" t="s">
        <v>210</v>
      </c>
      <c r="B715">
        <v>134904</v>
      </c>
      <c r="C715" s="3">
        <v>40</v>
      </c>
      <c r="D715" s="6">
        <v>44266</v>
      </c>
      <c r="E715" t="str">
        <f>"202103112107"</f>
        <v>202103112107</v>
      </c>
      <c r="F715" t="str">
        <f>"Miscell"</f>
        <v>Miscell</v>
      </c>
      <c r="G715" s="3">
        <v>40</v>
      </c>
      <c r="H715" t="str">
        <f>"BRAD MARTIN LINDGREN"</f>
        <v>BRAD MARTIN LINDGREN</v>
      </c>
    </row>
    <row r="716" spans="1:8" x14ac:dyDescent="0.25">
      <c r="A716" t="s">
        <v>211</v>
      </c>
      <c r="B716">
        <v>134905</v>
      </c>
      <c r="C716" s="3">
        <v>40</v>
      </c>
      <c r="D716" s="6">
        <v>44266</v>
      </c>
      <c r="E716" t="str">
        <f>"202103112108"</f>
        <v>202103112108</v>
      </c>
      <c r="F716" t="str">
        <f>"Miscellane"</f>
        <v>Miscellane</v>
      </c>
      <c r="G716" s="3">
        <v>40</v>
      </c>
      <c r="H716" t="str">
        <f>"CINDY LEE VASQUEZ"</f>
        <v>CINDY LEE VASQUEZ</v>
      </c>
    </row>
    <row r="717" spans="1:8" x14ac:dyDescent="0.25">
      <c r="A717" t="s">
        <v>212</v>
      </c>
      <c r="B717">
        <v>134906</v>
      </c>
      <c r="C717" s="3">
        <v>40</v>
      </c>
      <c r="D717" s="6">
        <v>44266</v>
      </c>
      <c r="E717" t="str">
        <f>"202103112109"</f>
        <v>202103112109</v>
      </c>
      <c r="F717" t="str">
        <f>"Miscel"</f>
        <v>Miscel</v>
      </c>
      <c r="G717" s="3">
        <v>40</v>
      </c>
      <c r="H717" t="str">
        <f>"RONALD DWAYNE DANIELS"</f>
        <v>RONALD DWAYNE DANIELS</v>
      </c>
    </row>
    <row r="718" spans="1:8" x14ac:dyDescent="0.25">
      <c r="A718" t="s">
        <v>213</v>
      </c>
      <c r="B718">
        <v>134907</v>
      </c>
      <c r="C718" s="3">
        <v>40</v>
      </c>
      <c r="D718" s="6">
        <v>44266</v>
      </c>
      <c r="E718" t="str">
        <f>"202103112110"</f>
        <v>202103112110</v>
      </c>
      <c r="F718" t="str">
        <f>"Miscel"</f>
        <v>Miscel</v>
      </c>
      <c r="G718" s="3">
        <v>40</v>
      </c>
      <c r="H718" t="str">
        <f>"RONALD DALE BLACKMORE"</f>
        <v>RONALD DALE BLACKMORE</v>
      </c>
    </row>
    <row r="719" spans="1:8" x14ac:dyDescent="0.25">
      <c r="A719" t="s">
        <v>214</v>
      </c>
      <c r="B719">
        <v>134908</v>
      </c>
      <c r="C719" s="3">
        <v>40</v>
      </c>
      <c r="D719" s="6">
        <v>44266</v>
      </c>
      <c r="E719" t="str">
        <f>"202103112111"</f>
        <v>202103112111</v>
      </c>
      <c r="F719" t="str">
        <f>"Miscella"</f>
        <v>Miscella</v>
      </c>
      <c r="G719" s="3">
        <v>40</v>
      </c>
      <c r="H719" t="str">
        <f>"THOMAS EDWARD WHITE"</f>
        <v>THOMAS EDWARD WHITE</v>
      </c>
    </row>
    <row r="720" spans="1:8" x14ac:dyDescent="0.25">
      <c r="A720" t="s">
        <v>215</v>
      </c>
      <c r="B720">
        <v>134909</v>
      </c>
      <c r="C720" s="3">
        <v>40</v>
      </c>
      <c r="D720" s="6">
        <v>44266</v>
      </c>
      <c r="E720" t="str">
        <f>"202103112112"</f>
        <v>202103112112</v>
      </c>
      <c r="F720" t="str">
        <f>"Miscel"</f>
        <v>Miscel</v>
      </c>
      <c r="G720" s="3">
        <v>40</v>
      </c>
      <c r="H720" t="str">
        <f>"RONA MICHELLE SHEERAN"</f>
        <v>RONA MICHELLE SHEERAN</v>
      </c>
    </row>
    <row r="721" spans="1:8" x14ac:dyDescent="0.25">
      <c r="A721" t="s">
        <v>216</v>
      </c>
      <c r="B721">
        <v>134910</v>
      </c>
      <c r="C721" s="3">
        <v>40</v>
      </c>
      <c r="D721" s="6">
        <v>44266</v>
      </c>
      <c r="E721" t="str">
        <f>"202103112113"</f>
        <v>202103112113</v>
      </c>
      <c r="F721" t="str">
        <f>"Mi"</f>
        <v>Mi</v>
      </c>
      <c r="G721" s="3">
        <v>40</v>
      </c>
      <c r="H721" t="str">
        <f>"SAMELLA THOMPSON WILLIAMS"</f>
        <v>SAMELLA THOMPSON WILLIAMS</v>
      </c>
    </row>
    <row r="722" spans="1:8" x14ac:dyDescent="0.25">
      <c r="A722" t="s">
        <v>217</v>
      </c>
      <c r="B722">
        <v>134911</v>
      </c>
      <c r="C722" s="3">
        <v>40</v>
      </c>
      <c r="D722" s="6">
        <v>44266</v>
      </c>
      <c r="E722" t="str">
        <f>"202103112114"</f>
        <v>202103112114</v>
      </c>
      <c r="F722" t="str">
        <f>"Miscel"</f>
        <v>Miscel</v>
      </c>
      <c r="G722" s="3">
        <v>40</v>
      </c>
      <c r="H722" t="str">
        <f>"STEVE RAY CHAMBERLAIN"</f>
        <v>STEVE RAY CHAMBERLAIN</v>
      </c>
    </row>
    <row r="723" spans="1:8" x14ac:dyDescent="0.25">
      <c r="A723" t="s">
        <v>218</v>
      </c>
      <c r="B723">
        <v>134918</v>
      </c>
      <c r="C723" s="3">
        <v>80</v>
      </c>
      <c r="D723" s="6">
        <v>44272</v>
      </c>
      <c r="E723" t="str">
        <f>"202103172249"</f>
        <v>202103172249</v>
      </c>
      <c r="F723" t="str">
        <f>"Miscella"</f>
        <v>Miscella</v>
      </c>
      <c r="G723" s="3">
        <v>80</v>
      </c>
      <c r="H723" t="str">
        <f>"ADAM HAROLD STAGMAN"</f>
        <v>ADAM HAROLD STAGMAN</v>
      </c>
    </row>
    <row r="724" spans="1:8" x14ac:dyDescent="0.25">
      <c r="A724" t="s">
        <v>207</v>
      </c>
      <c r="B724">
        <v>134919</v>
      </c>
      <c r="C724" s="3">
        <v>40</v>
      </c>
      <c r="D724" s="6">
        <v>44272</v>
      </c>
      <c r="E724" t="str">
        <f>"202103172250"</f>
        <v>202103172250</v>
      </c>
      <c r="F724" t="str">
        <f>"Miscel"</f>
        <v>Miscel</v>
      </c>
      <c r="G724" s="3">
        <v>40</v>
      </c>
      <c r="H724" t="str">
        <f>"GREGORY N BICKWERMERT"</f>
        <v>GREGORY N BICKWERMERT</v>
      </c>
    </row>
    <row r="725" spans="1:8" x14ac:dyDescent="0.25">
      <c r="A725" t="s">
        <v>208</v>
      </c>
      <c r="B725">
        <v>134920</v>
      </c>
      <c r="C725" s="3">
        <v>40</v>
      </c>
      <c r="D725" s="6">
        <v>44272</v>
      </c>
      <c r="E725" t="str">
        <f>"202103172251"</f>
        <v>202103172251</v>
      </c>
      <c r="F725" t="str">
        <f>"Miscell"</f>
        <v>Miscell</v>
      </c>
      <c r="G725" s="3">
        <v>40</v>
      </c>
      <c r="H725" t="str">
        <f>"GAIL BELLAH MCDONALD"</f>
        <v>GAIL BELLAH MCDONALD</v>
      </c>
    </row>
    <row r="726" spans="1:8" x14ac:dyDescent="0.25">
      <c r="A726" t="s">
        <v>209</v>
      </c>
      <c r="B726">
        <v>134921</v>
      </c>
      <c r="C726" s="3">
        <v>40</v>
      </c>
      <c r="D726" s="6">
        <v>44272</v>
      </c>
      <c r="E726" t="str">
        <f>"202103172252"</f>
        <v>202103172252</v>
      </c>
      <c r="F726" t="str">
        <f>"Miscel"</f>
        <v>Miscel</v>
      </c>
      <c r="G726" s="3">
        <v>40</v>
      </c>
      <c r="H726" t="str">
        <f>"JEANNIE MARIE RICHTER"</f>
        <v>JEANNIE MARIE RICHTER</v>
      </c>
    </row>
    <row r="727" spans="1:8" x14ac:dyDescent="0.25">
      <c r="A727" t="s">
        <v>210</v>
      </c>
      <c r="B727">
        <v>134922</v>
      </c>
      <c r="C727" s="3">
        <v>40</v>
      </c>
      <c r="D727" s="6">
        <v>44272</v>
      </c>
      <c r="E727" t="str">
        <f>"202103172253"</f>
        <v>202103172253</v>
      </c>
      <c r="F727" t="str">
        <f>"Miscell"</f>
        <v>Miscell</v>
      </c>
      <c r="G727" s="3">
        <v>40</v>
      </c>
      <c r="H727" t="str">
        <f>"BRAD MARTIN LINDGREN"</f>
        <v>BRAD MARTIN LINDGREN</v>
      </c>
    </row>
    <row r="728" spans="1:8" x14ac:dyDescent="0.25">
      <c r="A728" t="s">
        <v>211</v>
      </c>
      <c r="B728">
        <v>134923</v>
      </c>
      <c r="C728" s="3">
        <v>40</v>
      </c>
      <c r="D728" s="6">
        <v>44272</v>
      </c>
      <c r="E728" t="str">
        <f>"202103172254"</f>
        <v>202103172254</v>
      </c>
      <c r="F728" t="str">
        <f>"Miscellane"</f>
        <v>Miscellane</v>
      </c>
      <c r="G728" s="3">
        <v>40</v>
      </c>
      <c r="H728" t="str">
        <f>"CINDY LEE VASQUEZ"</f>
        <v>CINDY LEE VASQUEZ</v>
      </c>
    </row>
    <row r="729" spans="1:8" x14ac:dyDescent="0.25">
      <c r="A729" t="s">
        <v>212</v>
      </c>
      <c r="B729">
        <v>134924</v>
      </c>
      <c r="C729" s="3">
        <v>40</v>
      </c>
      <c r="D729" s="6">
        <v>44272</v>
      </c>
      <c r="E729" t="str">
        <f>"202103172255"</f>
        <v>202103172255</v>
      </c>
      <c r="F729" t="str">
        <f>"Miscel"</f>
        <v>Miscel</v>
      </c>
      <c r="G729" s="3">
        <v>40</v>
      </c>
      <c r="H729" t="str">
        <f>"RONALD DWAYNE DANIELS"</f>
        <v>RONALD DWAYNE DANIELS</v>
      </c>
    </row>
    <row r="730" spans="1:8" x14ac:dyDescent="0.25">
      <c r="A730" t="s">
        <v>214</v>
      </c>
      <c r="B730">
        <v>134925</v>
      </c>
      <c r="C730" s="3">
        <v>40</v>
      </c>
      <c r="D730" s="6">
        <v>44272</v>
      </c>
      <c r="E730" t="str">
        <f>"202103172256"</f>
        <v>202103172256</v>
      </c>
      <c r="F730" t="str">
        <f>"Miscella"</f>
        <v>Miscella</v>
      </c>
      <c r="G730" s="3">
        <v>40</v>
      </c>
      <c r="H730" t="str">
        <f>"THOMAS EDWARD WHITE"</f>
        <v>THOMAS EDWARD WHITE</v>
      </c>
    </row>
    <row r="731" spans="1:8" x14ac:dyDescent="0.25">
      <c r="A731" t="s">
        <v>215</v>
      </c>
      <c r="B731">
        <v>134926</v>
      </c>
      <c r="C731" s="3">
        <v>40</v>
      </c>
      <c r="D731" s="6">
        <v>44272</v>
      </c>
      <c r="E731" t="str">
        <f>"202103172257"</f>
        <v>202103172257</v>
      </c>
      <c r="F731" t="str">
        <f>"Miscel"</f>
        <v>Miscel</v>
      </c>
      <c r="G731" s="3">
        <v>40</v>
      </c>
      <c r="H731" t="str">
        <f>"RONA MICHELLE SHEERAN"</f>
        <v>RONA MICHELLE SHEERAN</v>
      </c>
    </row>
    <row r="732" spans="1:8" x14ac:dyDescent="0.25">
      <c r="A732" t="s">
        <v>216</v>
      </c>
      <c r="B732">
        <v>134927</v>
      </c>
      <c r="C732" s="3">
        <v>40</v>
      </c>
      <c r="D732" s="6">
        <v>44272</v>
      </c>
      <c r="E732" t="str">
        <f>"202103172258"</f>
        <v>202103172258</v>
      </c>
      <c r="F732" t="str">
        <f>"Mi"</f>
        <v>Mi</v>
      </c>
      <c r="G732" s="3">
        <v>40</v>
      </c>
      <c r="H732" t="str">
        <f>"SAMELLA THOMPSON WILLIAMS"</f>
        <v>SAMELLA THOMPSON WILLIAMS</v>
      </c>
    </row>
    <row r="733" spans="1:8" x14ac:dyDescent="0.25">
      <c r="A733" t="s">
        <v>217</v>
      </c>
      <c r="B733">
        <v>134928</v>
      </c>
      <c r="C733" s="3">
        <v>40</v>
      </c>
      <c r="D733" s="6">
        <v>44272</v>
      </c>
      <c r="E733" t="str">
        <f>"202103172259"</f>
        <v>202103172259</v>
      </c>
      <c r="F733" t="str">
        <f>"Miscel"</f>
        <v>Miscel</v>
      </c>
      <c r="G733" s="3">
        <v>40</v>
      </c>
      <c r="H733" t="str">
        <f>"STEVE RAY CHAMBERLAIN"</f>
        <v>STEVE RAY CHAMBERLAIN</v>
      </c>
    </row>
    <row r="734" spans="1:8" x14ac:dyDescent="0.25">
      <c r="A734" t="s">
        <v>219</v>
      </c>
      <c r="B734">
        <v>135017</v>
      </c>
      <c r="C734" s="3">
        <v>20769.310000000001</v>
      </c>
      <c r="D734" s="6">
        <v>44277</v>
      </c>
      <c r="E734" t="str">
        <f>"8230315339"</f>
        <v>8230315339</v>
      </c>
      <c r="F734" t="str">
        <f>"ACCT#1036215277"</f>
        <v>ACCT#1036215277</v>
      </c>
      <c r="G734" s="3">
        <v>20769.310000000001</v>
      </c>
      <c r="H734" t="str">
        <f>"ACCT#1036215277"</f>
        <v>ACCT#1036215277</v>
      </c>
    </row>
    <row r="735" spans="1:8" x14ac:dyDescent="0.25">
      <c r="A735" t="s">
        <v>220</v>
      </c>
      <c r="B735">
        <v>135018</v>
      </c>
      <c r="C735" s="3">
        <v>275.62</v>
      </c>
      <c r="D735" s="6">
        <v>44277</v>
      </c>
      <c r="E735" t="str">
        <f>"202103162212"</f>
        <v>202103162212</v>
      </c>
      <c r="F735" t="str">
        <f>"INDIGENT HEALTH"</f>
        <v>INDIGENT HEALTH</v>
      </c>
      <c r="G735" s="3">
        <v>275.62</v>
      </c>
      <c r="H735" t="str">
        <f>"INDIGENT HEALTH"</f>
        <v>INDIGENT HEALTH</v>
      </c>
    </row>
    <row r="736" spans="1:8" x14ac:dyDescent="0.25">
      <c r="A736" t="s">
        <v>221</v>
      </c>
      <c r="B736">
        <v>4116</v>
      </c>
      <c r="C736" s="3">
        <v>6900</v>
      </c>
      <c r="D736" s="6">
        <v>44278</v>
      </c>
      <c r="E736" t="str">
        <f>"A035581"</f>
        <v>A035581</v>
      </c>
      <c r="F736" t="str">
        <f>"ACCT#1006635/OEM"</f>
        <v>ACCT#1006635/OEM</v>
      </c>
      <c r="G736" s="3">
        <v>6900</v>
      </c>
      <c r="H736" t="str">
        <f>"ACCT#1006635/OEM"</f>
        <v>ACCT#1006635/OEM</v>
      </c>
    </row>
    <row r="737" spans="1:8" x14ac:dyDescent="0.25">
      <c r="A737" t="s">
        <v>222</v>
      </c>
      <c r="B737">
        <v>134859</v>
      </c>
      <c r="C737" s="3">
        <v>957.12</v>
      </c>
      <c r="D737" s="6">
        <v>44263</v>
      </c>
      <c r="E737" t="str">
        <f>"667002049"</f>
        <v>667002049</v>
      </c>
      <c r="F737" t="str">
        <f>"PAYER#150344157"</f>
        <v>PAYER#150344157</v>
      </c>
      <c r="G737" s="3">
        <v>957.12</v>
      </c>
      <c r="H737" t="str">
        <f>"PAYER#150344157"</f>
        <v>PAYER#150344157</v>
      </c>
    </row>
    <row r="738" spans="1:8" x14ac:dyDescent="0.25">
      <c r="A738" t="s">
        <v>222</v>
      </c>
      <c r="B738">
        <v>135019</v>
      </c>
      <c r="C738" s="3">
        <v>3207.12</v>
      </c>
      <c r="D738" s="6">
        <v>44277</v>
      </c>
      <c r="E738" t="str">
        <f>"6670029075"</f>
        <v>6670029075</v>
      </c>
      <c r="F738" t="str">
        <f>"ACCT#500095240"</f>
        <v>ACCT#500095240</v>
      </c>
      <c r="G738" s="3">
        <v>2250</v>
      </c>
      <c r="H738" t="str">
        <f>"ACCT#500095240"</f>
        <v>ACCT#500095240</v>
      </c>
    </row>
    <row r="739" spans="1:8" x14ac:dyDescent="0.25">
      <c r="E739" t="str">
        <f>"6670036276"</f>
        <v>6670036276</v>
      </c>
      <c r="F739" t="str">
        <f>"ACCT#500095240"</f>
        <v>ACCT#500095240</v>
      </c>
      <c r="G739" s="3">
        <v>957.12</v>
      </c>
      <c r="H739" t="str">
        <f>"ACCT#500095240"</f>
        <v>ACCT#500095240</v>
      </c>
    </row>
    <row r="740" spans="1:8" x14ac:dyDescent="0.25">
      <c r="A740" t="s">
        <v>223</v>
      </c>
      <c r="B740">
        <v>4045</v>
      </c>
      <c r="C740" s="3">
        <v>6591.6</v>
      </c>
      <c r="D740" s="6">
        <v>44264</v>
      </c>
      <c r="E740" t="str">
        <f>"0853014"</f>
        <v>0853014</v>
      </c>
      <c r="F740" t="str">
        <f>"INV IN0853014"</f>
        <v>INV IN0853014</v>
      </c>
      <c r="G740" s="3">
        <v>4191.6000000000004</v>
      </c>
      <c r="H740" t="str">
        <f>"INV IN0853014"</f>
        <v>INV IN0853014</v>
      </c>
    </row>
    <row r="741" spans="1:8" x14ac:dyDescent="0.25">
      <c r="E741" t="str">
        <f>"0854766"</f>
        <v>0854766</v>
      </c>
      <c r="F741" t="str">
        <f>"INV IN0854766"</f>
        <v>INV IN0854766</v>
      </c>
      <c r="G741" s="3">
        <v>2400</v>
      </c>
      <c r="H741" t="str">
        <f>"INV IN0854766"</f>
        <v>INV IN0854766</v>
      </c>
    </row>
    <row r="742" spans="1:8" x14ac:dyDescent="0.25">
      <c r="A742" t="s">
        <v>223</v>
      </c>
      <c r="B742">
        <v>4095</v>
      </c>
      <c r="C742" s="3">
        <v>13106.35</v>
      </c>
      <c r="D742" s="6">
        <v>44278</v>
      </c>
      <c r="E742" t="str">
        <f>"0853674"</f>
        <v>0853674</v>
      </c>
      <c r="F742" t="str">
        <f>"INV IN0853674"</f>
        <v>INV IN0853674</v>
      </c>
      <c r="G742" s="3">
        <v>1734.96</v>
      </c>
      <c r="H742" t="str">
        <f>"INV IN0853674"</f>
        <v>INV IN0853674</v>
      </c>
    </row>
    <row r="743" spans="1:8" x14ac:dyDescent="0.25">
      <c r="E743" t="str">
        <f>""</f>
        <v/>
      </c>
      <c r="F743" t="str">
        <f>""</f>
        <v/>
      </c>
      <c r="H743" t="str">
        <f>"INV CM0912724"</f>
        <v>INV CM0912724</v>
      </c>
    </row>
    <row r="744" spans="1:8" x14ac:dyDescent="0.25">
      <c r="E744" t="str">
        <f>"0855402"</f>
        <v>0855402</v>
      </c>
      <c r="F744" t="str">
        <f>"INV IN0855402"</f>
        <v>INV IN0855402</v>
      </c>
      <c r="G744" s="3">
        <v>4887</v>
      </c>
      <c r="H744" t="str">
        <f>"INV IN0855402"</f>
        <v>INV IN0855402</v>
      </c>
    </row>
    <row r="745" spans="1:8" x14ac:dyDescent="0.25">
      <c r="E745" t="str">
        <f>"0855774"</f>
        <v>0855774</v>
      </c>
      <c r="F745" t="str">
        <f>"INV IN0855774"</f>
        <v>INV IN0855774</v>
      </c>
      <c r="G745" s="3">
        <v>3326.25</v>
      </c>
      <c r="H745" t="str">
        <f>"INV IN0855774"</f>
        <v>INV IN0855774</v>
      </c>
    </row>
    <row r="746" spans="1:8" x14ac:dyDescent="0.25">
      <c r="E746" t="str">
        <f>"855622"</f>
        <v>855622</v>
      </c>
      <c r="F746" t="str">
        <f>"INV IN0855622"</f>
        <v>INV IN0855622</v>
      </c>
      <c r="G746" s="3">
        <v>3158.14</v>
      </c>
      <c r="H746" t="str">
        <f>"INV IN0855622"</f>
        <v>INV IN0855622</v>
      </c>
    </row>
    <row r="747" spans="1:8" x14ac:dyDescent="0.25">
      <c r="A747" t="s">
        <v>224</v>
      </c>
      <c r="B747">
        <v>4160</v>
      </c>
      <c r="C747" s="3">
        <v>68.790000000000006</v>
      </c>
      <c r="D747" s="6">
        <v>44278</v>
      </c>
      <c r="E747" t="str">
        <f>"202103112093"</f>
        <v>202103112093</v>
      </c>
      <c r="F747" t="str">
        <f>"CUST#1772018/PCT#1"</f>
        <v>CUST#1772018/PCT#1</v>
      </c>
      <c r="G747" s="3">
        <v>68.790000000000006</v>
      </c>
      <c r="H747" t="str">
        <f>"CUST#1772018/PCT#1"</f>
        <v>CUST#1772018/PCT#1</v>
      </c>
    </row>
    <row r="748" spans="1:8" x14ac:dyDescent="0.25">
      <c r="A748" t="s">
        <v>225</v>
      </c>
      <c r="B748">
        <v>135020</v>
      </c>
      <c r="C748" s="3">
        <v>1359.05</v>
      </c>
      <c r="D748" s="6">
        <v>44277</v>
      </c>
      <c r="E748" t="str">
        <f>"17611220"</f>
        <v>17611220</v>
      </c>
      <c r="F748" t="str">
        <f>"Statement"</f>
        <v>Statement</v>
      </c>
      <c r="G748" s="3">
        <v>1359.05</v>
      </c>
      <c r="H748" t="str">
        <f>"157138833001"</f>
        <v>157138833001</v>
      </c>
    </row>
    <row r="749" spans="1:8" x14ac:dyDescent="0.25">
      <c r="E749" t="str">
        <f>""</f>
        <v/>
      </c>
      <c r="F749" t="str">
        <f>""</f>
        <v/>
      </c>
      <c r="H749" t="str">
        <f>"157820020001"</f>
        <v>157820020001</v>
      </c>
    </row>
    <row r="750" spans="1:8" x14ac:dyDescent="0.25">
      <c r="E750" t="str">
        <f>""</f>
        <v/>
      </c>
      <c r="F750" t="str">
        <f>""</f>
        <v/>
      </c>
      <c r="H750" t="str">
        <f>"159195063001"</f>
        <v>159195063001</v>
      </c>
    </row>
    <row r="751" spans="1:8" x14ac:dyDescent="0.25">
      <c r="E751" t="str">
        <f>""</f>
        <v/>
      </c>
      <c r="F751" t="str">
        <f>""</f>
        <v/>
      </c>
      <c r="H751" t="str">
        <f>"159198980001"</f>
        <v>159198980001</v>
      </c>
    </row>
    <row r="752" spans="1:8" x14ac:dyDescent="0.25">
      <c r="E752" t="str">
        <f>""</f>
        <v/>
      </c>
      <c r="F752" t="str">
        <f>""</f>
        <v/>
      </c>
      <c r="H752" t="str">
        <f>"160576085001"</f>
        <v>160576085001</v>
      </c>
    </row>
    <row r="753" spans="1:8" x14ac:dyDescent="0.25">
      <c r="E753" t="str">
        <f>""</f>
        <v/>
      </c>
      <c r="F753" t="str">
        <f>""</f>
        <v/>
      </c>
      <c r="H753" t="str">
        <f>"160579829001"</f>
        <v>160579829001</v>
      </c>
    </row>
    <row r="754" spans="1:8" x14ac:dyDescent="0.25">
      <c r="E754" t="str">
        <f>""</f>
        <v/>
      </c>
      <c r="F754" t="str">
        <f>""</f>
        <v/>
      </c>
      <c r="H754" t="str">
        <f>"157734462001"</f>
        <v>157734462001</v>
      </c>
    </row>
    <row r="755" spans="1:8" x14ac:dyDescent="0.25">
      <c r="E755" t="str">
        <f>""</f>
        <v/>
      </c>
      <c r="F755" t="str">
        <f>""</f>
        <v/>
      </c>
      <c r="H755" t="str">
        <f>"157738939001"</f>
        <v>157738939001</v>
      </c>
    </row>
    <row r="756" spans="1:8" x14ac:dyDescent="0.25">
      <c r="E756" t="str">
        <f>""</f>
        <v/>
      </c>
      <c r="F756" t="str">
        <f>""</f>
        <v/>
      </c>
      <c r="H756" t="str">
        <f>"159888367001"</f>
        <v>159888367001</v>
      </c>
    </row>
    <row r="757" spans="1:8" x14ac:dyDescent="0.25">
      <c r="E757" t="str">
        <f>""</f>
        <v/>
      </c>
      <c r="F757" t="str">
        <f>""</f>
        <v/>
      </c>
      <c r="H757" t="str">
        <f>"159890901001"</f>
        <v>159890901001</v>
      </c>
    </row>
    <row r="758" spans="1:8" x14ac:dyDescent="0.25">
      <c r="E758" t="str">
        <f>""</f>
        <v/>
      </c>
      <c r="F758" t="str">
        <f>""</f>
        <v/>
      </c>
      <c r="H758" t="str">
        <f>"157013656001"</f>
        <v>157013656001</v>
      </c>
    </row>
    <row r="759" spans="1:8" x14ac:dyDescent="0.25">
      <c r="A759" t="s">
        <v>226</v>
      </c>
      <c r="B759">
        <v>135021</v>
      </c>
      <c r="C759" s="3">
        <v>24</v>
      </c>
      <c r="D759" s="6">
        <v>44277</v>
      </c>
      <c r="E759" t="str">
        <f>"202103152166"</f>
        <v>202103152166</v>
      </c>
      <c r="F759" t="str">
        <f>"4TH QTR ACTIVITY/ROSE P."</f>
        <v>4TH QTR ACTIVITY/ROSE P.</v>
      </c>
      <c r="G759" s="3">
        <v>24</v>
      </c>
      <c r="H759" t="str">
        <f>"4TH QTR ACTIVITY/ROSE P."</f>
        <v>4TH QTR ACTIVITY/ROSE P.</v>
      </c>
    </row>
    <row r="760" spans="1:8" x14ac:dyDescent="0.25">
      <c r="A760" t="s">
        <v>227</v>
      </c>
      <c r="B760">
        <v>4130</v>
      </c>
      <c r="C760" s="3">
        <v>145</v>
      </c>
      <c r="D760" s="6">
        <v>44278</v>
      </c>
      <c r="E760" t="str">
        <f>"0000056377"</f>
        <v>0000056377</v>
      </c>
      <c r="F760" t="str">
        <f>"INV 0000056377"</f>
        <v>INV 0000056377</v>
      </c>
      <c r="G760" s="3">
        <v>145</v>
      </c>
      <c r="H760" t="str">
        <f>"INV 0000056377"</f>
        <v>INV 0000056377</v>
      </c>
    </row>
    <row r="761" spans="1:8" x14ac:dyDescent="0.25">
      <c r="A761" t="s">
        <v>228</v>
      </c>
      <c r="B761">
        <v>135022</v>
      </c>
      <c r="C761" s="3">
        <v>45.75</v>
      </c>
      <c r="D761" s="6">
        <v>44277</v>
      </c>
      <c r="E761" t="str">
        <f>"202103112088"</f>
        <v>202103112088</v>
      </c>
      <c r="F761" t="str">
        <f>"ACCT#1137/PCT#4"</f>
        <v>ACCT#1137/PCT#4</v>
      </c>
      <c r="G761" s="3">
        <v>45.75</v>
      </c>
      <c r="H761" t="str">
        <f>"ACCT#1137/PCT#4"</f>
        <v>ACCT#1137/PCT#4</v>
      </c>
    </row>
    <row r="762" spans="1:8" x14ac:dyDescent="0.25">
      <c r="A762" t="s">
        <v>229</v>
      </c>
      <c r="B762">
        <v>4106</v>
      </c>
      <c r="C762" s="3">
        <v>7590.25</v>
      </c>
      <c r="D762" s="6">
        <v>44278</v>
      </c>
      <c r="E762" t="str">
        <f>"2008458"</f>
        <v>2008458</v>
      </c>
      <c r="F762" t="str">
        <f>"ACCT# BA-CNTY-O1"</f>
        <v>ACCT# BA-CNTY-O1</v>
      </c>
      <c r="G762" s="3">
        <v>7590.25</v>
      </c>
      <c r="H762" t="str">
        <f>"ACCT# BA-CNTY-O1"</f>
        <v>ACCT# BA-CNTY-O1</v>
      </c>
    </row>
    <row r="763" spans="1:8" x14ac:dyDescent="0.25">
      <c r="A763" t="s">
        <v>230</v>
      </c>
      <c r="B763">
        <v>134860</v>
      </c>
      <c r="C763" s="3">
        <v>58.75</v>
      </c>
      <c r="D763" s="6">
        <v>44263</v>
      </c>
      <c r="E763" t="str">
        <f>"202103031963"</f>
        <v>202103031963</v>
      </c>
      <c r="F763" t="str">
        <f>"REIMBURSEMENT REQUEST-MEALS"</f>
        <v>REIMBURSEMENT REQUEST-MEALS</v>
      </c>
      <c r="G763" s="3">
        <v>58.75</v>
      </c>
      <c r="H763" t="str">
        <f>"REIMBURSEMENT REQUEST-MEALS"</f>
        <v>REIMBURSEMENT REQUEST-MEALS</v>
      </c>
    </row>
    <row r="764" spans="1:8" x14ac:dyDescent="0.25">
      <c r="A764" t="s">
        <v>231</v>
      </c>
      <c r="B764">
        <v>134861</v>
      </c>
      <c r="C764" s="3">
        <v>1124.0999999999999</v>
      </c>
      <c r="D764" s="6">
        <v>44263</v>
      </c>
      <c r="E764" t="str">
        <f>"202103031938"</f>
        <v>202103031938</v>
      </c>
      <c r="F764" t="str">
        <f>"ACCT#0200140783"</f>
        <v>ACCT#0200140783</v>
      </c>
      <c r="G764" s="3">
        <v>1124.0999999999999</v>
      </c>
      <c r="H764" t="str">
        <f t="shared" ref="H764:H776" si="15">"ACCT#0200140783"</f>
        <v>ACCT#0200140783</v>
      </c>
    </row>
    <row r="765" spans="1:8" x14ac:dyDescent="0.25">
      <c r="E765" t="str">
        <f>""</f>
        <v/>
      </c>
      <c r="F765" t="str">
        <f>""</f>
        <v/>
      </c>
      <c r="H765" t="str">
        <f t="shared" si="15"/>
        <v>ACCT#0200140783</v>
      </c>
    </row>
    <row r="766" spans="1:8" x14ac:dyDescent="0.25">
      <c r="E766" t="str">
        <f>""</f>
        <v/>
      </c>
      <c r="F766" t="str">
        <f>""</f>
        <v/>
      </c>
      <c r="H766" t="str">
        <f t="shared" si="15"/>
        <v>ACCT#0200140783</v>
      </c>
    </row>
    <row r="767" spans="1:8" x14ac:dyDescent="0.25">
      <c r="E767" t="str">
        <f>""</f>
        <v/>
      </c>
      <c r="F767" t="str">
        <f>""</f>
        <v/>
      </c>
      <c r="H767" t="str">
        <f t="shared" si="15"/>
        <v>ACCT#0200140783</v>
      </c>
    </row>
    <row r="768" spans="1:8" x14ac:dyDescent="0.25">
      <c r="E768" t="str">
        <f>""</f>
        <v/>
      </c>
      <c r="F768" t="str">
        <f>""</f>
        <v/>
      </c>
      <c r="H768" t="str">
        <f t="shared" si="15"/>
        <v>ACCT#0200140783</v>
      </c>
    </row>
    <row r="769" spans="1:8" x14ac:dyDescent="0.25">
      <c r="E769" t="str">
        <f>""</f>
        <v/>
      </c>
      <c r="F769" t="str">
        <f>""</f>
        <v/>
      </c>
      <c r="H769" t="str">
        <f t="shared" si="15"/>
        <v>ACCT#0200140783</v>
      </c>
    </row>
    <row r="770" spans="1:8" x14ac:dyDescent="0.25">
      <c r="E770" t="str">
        <f>""</f>
        <v/>
      </c>
      <c r="F770" t="str">
        <f>""</f>
        <v/>
      </c>
      <c r="H770" t="str">
        <f t="shared" si="15"/>
        <v>ACCT#0200140783</v>
      </c>
    </row>
    <row r="771" spans="1:8" x14ac:dyDescent="0.25">
      <c r="E771" t="str">
        <f>""</f>
        <v/>
      </c>
      <c r="F771" t="str">
        <f>""</f>
        <v/>
      </c>
      <c r="H771" t="str">
        <f t="shared" si="15"/>
        <v>ACCT#0200140783</v>
      </c>
    </row>
    <row r="772" spans="1:8" x14ac:dyDescent="0.25">
      <c r="E772" t="str">
        <f>""</f>
        <v/>
      </c>
      <c r="F772" t="str">
        <f>""</f>
        <v/>
      </c>
      <c r="H772" t="str">
        <f t="shared" si="15"/>
        <v>ACCT#0200140783</v>
      </c>
    </row>
    <row r="773" spans="1:8" x14ac:dyDescent="0.25">
      <c r="E773" t="str">
        <f>""</f>
        <v/>
      </c>
      <c r="F773" t="str">
        <f>""</f>
        <v/>
      </c>
      <c r="H773" t="str">
        <f t="shared" si="15"/>
        <v>ACCT#0200140783</v>
      </c>
    </row>
    <row r="774" spans="1:8" x14ac:dyDescent="0.25">
      <c r="E774" t="str">
        <f>""</f>
        <v/>
      </c>
      <c r="F774" t="str">
        <f>""</f>
        <v/>
      </c>
      <c r="H774" t="str">
        <f t="shared" si="15"/>
        <v>ACCT#0200140783</v>
      </c>
    </row>
    <row r="775" spans="1:8" x14ac:dyDescent="0.25">
      <c r="E775" t="str">
        <f>""</f>
        <v/>
      </c>
      <c r="F775" t="str">
        <f>""</f>
        <v/>
      </c>
      <c r="H775" t="str">
        <f t="shared" si="15"/>
        <v>ACCT#0200140783</v>
      </c>
    </row>
    <row r="776" spans="1:8" x14ac:dyDescent="0.25">
      <c r="E776" t="str">
        <f>""</f>
        <v/>
      </c>
      <c r="F776" t="str">
        <f>""</f>
        <v/>
      </c>
      <c r="H776" t="str">
        <f t="shared" si="15"/>
        <v>ACCT#0200140783</v>
      </c>
    </row>
    <row r="777" spans="1:8" x14ac:dyDescent="0.25">
      <c r="A777" t="s">
        <v>232</v>
      </c>
      <c r="B777">
        <v>4048</v>
      </c>
      <c r="C777" s="3">
        <v>624</v>
      </c>
      <c r="D777" s="6">
        <v>44264</v>
      </c>
      <c r="E777" t="str">
        <f>"202103031947"</f>
        <v>202103031947</v>
      </c>
      <c r="F777" t="str">
        <f>"TRASH REMOVAL/PCT#4"</f>
        <v>TRASH REMOVAL/PCT#4</v>
      </c>
      <c r="G777" s="3">
        <v>409.5</v>
      </c>
      <c r="H777" t="str">
        <f>"TRASH REMOVAL/PCT#4"</f>
        <v>TRASH REMOVAL/PCT#4</v>
      </c>
    </row>
    <row r="778" spans="1:8" x14ac:dyDescent="0.25">
      <c r="E778" t="str">
        <f>"202103031948"</f>
        <v>202103031948</v>
      </c>
      <c r="F778" t="str">
        <f>"TRASH REMOVAL/PCT#4"</f>
        <v>TRASH REMOVAL/PCT#4</v>
      </c>
      <c r="G778" s="3">
        <v>214.5</v>
      </c>
      <c r="H778" t="str">
        <f>"TRASH REMOVAL/PCT#4"</f>
        <v>TRASH REMOVAL/PCT#4</v>
      </c>
    </row>
    <row r="779" spans="1:8" x14ac:dyDescent="0.25">
      <c r="A779" t="s">
        <v>232</v>
      </c>
      <c r="B779">
        <v>4100</v>
      </c>
      <c r="C779" s="3">
        <v>292.5</v>
      </c>
      <c r="D779" s="6">
        <v>44278</v>
      </c>
      <c r="E779" t="str">
        <f>"202103162224"</f>
        <v>202103162224</v>
      </c>
      <c r="F779" t="str">
        <f>"TRASH REMOVAL/PCT#4"</f>
        <v>TRASH REMOVAL/PCT#4</v>
      </c>
      <c r="G779" s="3">
        <v>292.5</v>
      </c>
      <c r="H779" t="str">
        <f>"TRASH REMOVAL/PCT#4"</f>
        <v>TRASH REMOVAL/PCT#4</v>
      </c>
    </row>
    <row r="780" spans="1:8" x14ac:dyDescent="0.25">
      <c r="A780" t="s">
        <v>233</v>
      </c>
      <c r="B780">
        <v>135023</v>
      </c>
      <c r="C780" s="3">
        <v>13.32</v>
      </c>
      <c r="D780" s="6">
        <v>44277</v>
      </c>
      <c r="E780" t="str">
        <f>"S0130427001"</f>
        <v>S0130427001</v>
      </c>
      <c r="F780" t="str">
        <f>"ACCT#336320/PCT#3"</f>
        <v>ACCT#336320/PCT#3</v>
      </c>
      <c r="G780" s="3">
        <v>13.32</v>
      </c>
      <c r="H780" t="str">
        <f>"ACCT#336320/PCT#3"</f>
        <v>ACCT#336320/PCT#3</v>
      </c>
    </row>
    <row r="781" spans="1:8" x14ac:dyDescent="0.25">
      <c r="A781" t="s">
        <v>234</v>
      </c>
      <c r="B781">
        <v>4080</v>
      </c>
      <c r="C781" s="3">
        <v>225</v>
      </c>
      <c r="D781" s="6">
        <v>44264</v>
      </c>
      <c r="E781" t="str">
        <f>"202103021911"</f>
        <v>202103021911</v>
      </c>
      <c r="F781" t="str">
        <f>"20-20227"</f>
        <v>20-20227</v>
      </c>
      <c r="G781" s="3">
        <v>225</v>
      </c>
      <c r="H781" t="str">
        <f>"20-20227"</f>
        <v>20-20227</v>
      </c>
    </row>
    <row r="782" spans="1:8" x14ac:dyDescent="0.25">
      <c r="A782" t="s">
        <v>234</v>
      </c>
      <c r="B782">
        <v>4150</v>
      </c>
      <c r="C782" s="3">
        <v>840</v>
      </c>
      <c r="D782" s="6">
        <v>44278</v>
      </c>
      <c r="E782" t="str">
        <f>"202103102041"</f>
        <v>202103102041</v>
      </c>
      <c r="F782" t="str">
        <f>"JP4 4091320.1"</f>
        <v>JP4 4091320.1</v>
      </c>
      <c r="G782" s="3">
        <v>250</v>
      </c>
      <c r="H782" t="str">
        <f>"JP4 4091320.1"</f>
        <v>JP4 4091320.1</v>
      </c>
    </row>
    <row r="783" spans="1:8" x14ac:dyDescent="0.25">
      <c r="E783" t="str">
        <f>"202103102058"</f>
        <v>202103102058</v>
      </c>
      <c r="F783" t="str">
        <f>"53027"</f>
        <v>53027</v>
      </c>
      <c r="G783" s="3">
        <v>250</v>
      </c>
      <c r="H783" t="str">
        <f>"53027"</f>
        <v>53027</v>
      </c>
    </row>
    <row r="784" spans="1:8" x14ac:dyDescent="0.25">
      <c r="E784" t="str">
        <f>"202103102062"</f>
        <v>202103102062</v>
      </c>
      <c r="F784" t="str">
        <f>"21-20596"</f>
        <v>21-20596</v>
      </c>
      <c r="G784" s="3">
        <v>340</v>
      </c>
      <c r="H784" t="str">
        <f>"21-20596"</f>
        <v>21-20596</v>
      </c>
    </row>
    <row r="785" spans="1:8" x14ac:dyDescent="0.25">
      <c r="A785" t="s">
        <v>235</v>
      </c>
      <c r="B785">
        <v>4079</v>
      </c>
      <c r="C785" s="3">
        <v>412.29</v>
      </c>
      <c r="D785" s="6">
        <v>44264</v>
      </c>
      <c r="E785" t="str">
        <f>"3313037344"</f>
        <v>3313037344</v>
      </c>
      <c r="F785" t="str">
        <f>"INV 3313037344"</f>
        <v>INV 3313037344</v>
      </c>
      <c r="G785" s="3">
        <v>412.29</v>
      </c>
      <c r="H785" t="str">
        <f>"INV 3313037344"</f>
        <v>INV 3313037344</v>
      </c>
    </row>
    <row r="786" spans="1:8" x14ac:dyDescent="0.25">
      <c r="A786" t="s">
        <v>235</v>
      </c>
      <c r="B786">
        <v>4149</v>
      </c>
      <c r="C786" s="3">
        <v>195.96</v>
      </c>
      <c r="D786" s="6">
        <v>44278</v>
      </c>
      <c r="E786" t="str">
        <f>"3312987246"</f>
        <v>3312987246</v>
      </c>
      <c r="F786" t="str">
        <f>"ACCT#0010366024"</f>
        <v>ACCT#0010366024</v>
      </c>
      <c r="G786" s="3">
        <v>195.96</v>
      </c>
      <c r="H786" t="str">
        <f>"ACCT#0010366024"</f>
        <v>ACCT#0010366024</v>
      </c>
    </row>
    <row r="787" spans="1:8" x14ac:dyDescent="0.25">
      <c r="A787" t="s">
        <v>236</v>
      </c>
      <c r="B787">
        <v>4121</v>
      </c>
      <c r="C787" s="3">
        <v>418.61</v>
      </c>
      <c r="D787" s="6">
        <v>44278</v>
      </c>
      <c r="E787" t="str">
        <f>"202103112089"</f>
        <v>202103112089</v>
      </c>
      <c r="F787" t="str">
        <f>"ACCT#0005/PCT#4"</f>
        <v>ACCT#0005/PCT#4</v>
      </c>
      <c r="G787" s="3">
        <v>418.61</v>
      </c>
      <c r="H787" t="str">
        <f>"ACCT#0005/PCT#4"</f>
        <v>ACCT#0005/PCT#4</v>
      </c>
    </row>
    <row r="788" spans="1:8" x14ac:dyDescent="0.25">
      <c r="A788" t="s">
        <v>237</v>
      </c>
      <c r="B788">
        <v>134862</v>
      </c>
      <c r="C788" s="3">
        <v>50</v>
      </c>
      <c r="D788" s="6">
        <v>44263</v>
      </c>
      <c r="E788" t="str">
        <f>"16181"</f>
        <v>16181</v>
      </c>
      <c r="F788" t="str">
        <f>"RESTITUTION C. FERRIS"</f>
        <v>RESTITUTION C. FERRIS</v>
      </c>
      <c r="G788" s="3">
        <v>50</v>
      </c>
      <c r="H788" t="str">
        <f>"RESTITUTION C. FERRIS"</f>
        <v>RESTITUTION C. FERRIS</v>
      </c>
    </row>
    <row r="789" spans="1:8" x14ac:dyDescent="0.25">
      <c r="A789" t="s">
        <v>238</v>
      </c>
      <c r="B789">
        <v>135024</v>
      </c>
      <c r="C789" s="3">
        <v>2125</v>
      </c>
      <c r="D789" s="6">
        <v>44277</v>
      </c>
      <c r="E789" t="str">
        <f>"2020153"</f>
        <v>2020153</v>
      </c>
      <c r="F789" t="str">
        <f>"TRANSPORT/GREGORY WILLIAMS"</f>
        <v>TRANSPORT/GREGORY WILLIAMS</v>
      </c>
      <c r="G789" s="3">
        <v>345</v>
      </c>
      <c r="H789" t="str">
        <f>"TRANSPORT/GREGORY WILLIAMS"</f>
        <v>TRANSPORT/GREGORY WILLIAMS</v>
      </c>
    </row>
    <row r="790" spans="1:8" x14ac:dyDescent="0.25">
      <c r="E790" t="str">
        <f>"2020157"</f>
        <v>2020157</v>
      </c>
      <c r="F790" t="str">
        <f>"TRANSPORT/SAMUEL LOPEZ"</f>
        <v>TRANSPORT/SAMUEL LOPEZ</v>
      </c>
      <c r="G790" s="3">
        <v>345</v>
      </c>
      <c r="H790" t="str">
        <f>"TRANSPORT/SAMUEL LOPEZ"</f>
        <v>TRANSPORT/SAMUEL LOPEZ</v>
      </c>
    </row>
    <row r="791" spans="1:8" x14ac:dyDescent="0.25">
      <c r="E791" t="str">
        <f>"2020171"</f>
        <v>2020171</v>
      </c>
      <c r="F791" t="str">
        <f>"TRANSPORT/SILAS FRAZIER"</f>
        <v>TRANSPORT/SILAS FRAZIER</v>
      </c>
      <c r="G791" s="3">
        <v>495</v>
      </c>
      <c r="H791" t="str">
        <f>"TRANSPORT/SILAS FRAZIER"</f>
        <v>TRANSPORT/SILAS FRAZIER</v>
      </c>
    </row>
    <row r="792" spans="1:8" x14ac:dyDescent="0.25">
      <c r="E792" t="str">
        <f>"2021016"</f>
        <v>2021016</v>
      </c>
      <c r="F792" t="str">
        <f>"TRANSPORT/ROGER OSBORNE"</f>
        <v>TRANSPORT/ROGER OSBORNE</v>
      </c>
      <c r="G792" s="3">
        <v>495</v>
      </c>
      <c r="H792" t="str">
        <f>"TRANSPORT/ROGER OSBORNE"</f>
        <v>TRANSPORT/ROGER OSBORNE</v>
      </c>
    </row>
    <row r="793" spans="1:8" x14ac:dyDescent="0.25">
      <c r="E793" t="str">
        <f>"2021025"</f>
        <v>2021025</v>
      </c>
      <c r="F793" t="str">
        <f>"TRANSPORT/JESUS VENTURA"</f>
        <v>TRANSPORT/JESUS VENTURA</v>
      </c>
      <c r="G793" s="3">
        <v>445</v>
      </c>
      <c r="H793" t="str">
        <f>"TRANSPORT/JESUS VENTURA"</f>
        <v>TRANSPORT/JESUS VENTURA</v>
      </c>
    </row>
    <row r="794" spans="1:8" x14ac:dyDescent="0.25">
      <c r="A794" t="s">
        <v>239</v>
      </c>
      <c r="B794">
        <v>134863</v>
      </c>
      <c r="C794" s="3">
        <v>559</v>
      </c>
      <c r="D794" s="6">
        <v>44263</v>
      </c>
      <c r="E794" t="str">
        <f>"336677"</f>
        <v>336677</v>
      </c>
      <c r="F794" t="str">
        <f>"FIRE MAINTENANCE"</f>
        <v>FIRE MAINTENANCE</v>
      </c>
      <c r="G794" s="3">
        <v>559</v>
      </c>
      <c r="H794" t="str">
        <f>"FIRE MAINTENANCE"</f>
        <v>FIRE MAINTENANCE</v>
      </c>
    </row>
    <row r="795" spans="1:8" x14ac:dyDescent="0.25">
      <c r="A795" t="s">
        <v>240</v>
      </c>
      <c r="B795">
        <v>135025</v>
      </c>
      <c r="C795" s="3">
        <v>100</v>
      </c>
      <c r="D795" s="6">
        <v>44277</v>
      </c>
      <c r="E795" t="str">
        <f>"202103162213"</f>
        <v>202103162213</v>
      </c>
      <c r="F795" t="str">
        <f>"INDIGENT HEALTH"</f>
        <v>INDIGENT HEALTH</v>
      </c>
      <c r="G795" s="3">
        <v>100</v>
      </c>
      <c r="H795" t="str">
        <f>"INDIGENT HEALTH"</f>
        <v>INDIGENT HEALTH</v>
      </c>
    </row>
    <row r="796" spans="1:8" x14ac:dyDescent="0.25">
      <c r="A796" t="s">
        <v>241</v>
      </c>
      <c r="B796">
        <v>4096</v>
      </c>
      <c r="C796" s="3">
        <v>241.74</v>
      </c>
      <c r="D796" s="6">
        <v>44278</v>
      </c>
      <c r="E796" t="str">
        <f>"11C0121569859"</f>
        <v>11C0121569859</v>
      </c>
      <c r="F796" t="str">
        <f>"ACCT#0121569859/JP#4"</f>
        <v>ACCT#0121569859/JP#4</v>
      </c>
      <c r="G796" s="3">
        <v>91.87</v>
      </c>
      <c r="H796" t="str">
        <f>"ACCT#0121569859/JP#4"</f>
        <v>ACCT#0121569859/JP#4</v>
      </c>
    </row>
    <row r="797" spans="1:8" x14ac:dyDescent="0.25">
      <c r="E797" t="str">
        <f>"11C0121587851"</f>
        <v>11C0121587851</v>
      </c>
      <c r="F797" t="str">
        <f>"ACCT#0121587851"</f>
        <v>ACCT#0121587851</v>
      </c>
      <c r="G797" s="3">
        <v>149.87</v>
      </c>
      <c r="H797" t="str">
        <f>"ACCT#0121587851"</f>
        <v>ACCT#0121587851</v>
      </c>
    </row>
    <row r="798" spans="1:8" x14ac:dyDescent="0.25">
      <c r="A798" t="s">
        <v>242</v>
      </c>
      <c r="B798">
        <v>4065</v>
      </c>
      <c r="C798" s="3">
        <v>1000</v>
      </c>
      <c r="D798" s="6">
        <v>44264</v>
      </c>
      <c r="E798" t="str">
        <f>"41"</f>
        <v>41</v>
      </c>
      <c r="F798" t="str">
        <f>"SPAY/NEUTER SERVICES"</f>
        <v>SPAY/NEUTER SERVICES</v>
      </c>
      <c r="G798" s="3">
        <v>1000</v>
      </c>
      <c r="H798" t="str">
        <f>"SPAY/NEUTER SERVICES"</f>
        <v>SPAY/NEUTER SERVICES</v>
      </c>
    </row>
    <row r="799" spans="1:8" x14ac:dyDescent="0.25">
      <c r="A799" t="s">
        <v>242</v>
      </c>
      <c r="B799">
        <v>4124</v>
      </c>
      <c r="C799" s="3">
        <v>2000</v>
      </c>
      <c r="D799" s="6">
        <v>44278</v>
      </c>
      <c r="E799" t="str">
        <f>"43"</f>
        <v>43</v>
      </c>
      <c r="F799" t="str">
        <f>"SPAY/NEUTHER SERVICES"</f>
        <v>SPAY/NEUTHER SERVICES</v>
      </c>
      <c r="G799" s="3">
        <v>2000</v>
      </c>
      <c r="H799" t="str">
        <f>"SPAY/NEUTHER SERVICES"</f>
        <v>SPAY/NEUTHER SERVICES</v>
      </c>
    </row>
    <row r="800" spans="1:8" x14ac:dyDescent="0.25">
      <c r="A800" t="s">
        <v>243</v>
      </c>
      <c r="B800">
        <v>134864</v>
      </c>
      <c r="C800" s="3">
        <v>10</v>
      </c>
      <c r="D800" s="6">
        <v>44263</v>
      </c>
      <c r="E800" t="str">
        <f>"202103011836"</f>
        <v>202103011836</v>
      </c>
      <c r="F800" t="str">
        <f>"GAS/PCT#3"</f>
        <v>GAS/PCT#3</v>
      </c>
      <c r="G800" s="3">
        <v>10</v>
      </c>
      <c r="H800" t="str">
        <f>"GAS/PCT#3"</f>
        <v>GAS/PCT#3</v>
      </c>
    </row>
    <row r="801" spans="1:8" x14ac:dyDescent="0.25">
      <c r="A801" t="s">
        <v>244</v>
      </c>
      <c r="B801">
        <v>135026</v>
      </c>
      <c r="C801" s="3">
        <v>398.18</v>
      </c>
      <c r="D801" s="6">
        <v>44277</v>
      </c>
      <c r="E801" t="str">
        <f>"179-99-748321"</f>
        <v>179-99-748321</v>
      </c>
      <c r="F801" t="str">
        <f>"CUST#19610/PCT#3"</f>
        <v>CUST#19610/PCT#3</v>
      </c>
      <c r="G801" s="3">
        <v>186.99</v>
      </c>
      <c r="H801" t="str">
        <f>"CUST#19610/PCT#3"</f>
        <v>CUST#19610/PCT#3</v>
      </c>
    </row>
    <row r="802" spans="1:8" x14ac:dyDescent="0.25">
      <c r="E802" t="str">
        <f>"202103112092"</f>
        <v>202103112092</v>
      </c>
      <c r="F802" t="str">
        <f>"ACCT#16910/PCT#1"</f>
        <v>ACCT#16910/PCT#1</v>
      </c>
      <c r="G802" s="3">
        <v>211.19</v>
      </c>
      <c r="H802" t="str">
        <f>"ACCT#16910/PCT#1"</f>
        <v>ACCT#16910/PCT#1</v>
      </c>
    </row>
    <row r="803" spans="1:8" x14ac:dyDescent="0.25">
      <c r="A803" t="s">
        <v>245</v>
      </c>
      <c r="B803">
        <v>134790</v>
      </c>
      <c r="C803" s="3">
        <v>1356.62</v>
      </c>
      <c r="D803" s="6">
        <v>44259</v>
      </c>
      <c r="E803" t="str">
        <f>"303 002 309 729 2"</f>
        <v>303 002 309 729 2</v>
      </c>
      <c r="F803" t="str">
        <f>"ACCT#15 069 451 - 1 / 02242021"</f>
        <v>ACCT#15 069 451 - 1 / 02242021</v>
      </c>
      <c r="G803" s="3">
        <v>349.15</v>
      </c>
      <c r="H803" t="str">
        <f>"NRG ENERGY INC"</f>
        <v>NRG ENERGY INC</v>
      </c>
    </row>
    <row r="804" spans="1:8" x14ac:dyDescent="0.25">
      <c r="E804" t="str">
        <f>"305 000 784 935 1"</f>
        <v>305 000 784 935 1</v>
      </c>
      <c r="F804" t="str">
        <f>"ACCT#15 072 199 - 1 / 02242021"</f>
        <v>ACCT#15 072 199 - 1 / 02242021</v>
      </c>
      <c r="G804" s="3">
        <v>18.09</v>
      </c>
      <c r="H804" t="str">
        <f>"NRG ENERGY INC"</f>
        <v>NRG ENERGY INC</v>
      </c>
    </row>
    <row r="805" spans="1:8" x14ac:dyDescent="0.25">
      <c r="E805" t="str">
        <f>"305 000 784 936 9"</f>
        <v>305 000 784 936 9</v>
      </c>
      <c r="F805" t="str">
        <f>"ACCT#15 070 713 - 1 / 02242021"</f>
        <v>ACCT#15 070 713 - 1 / 02242021</v>
      </c>
      <c r="G805" s="3">
        <v>21.74</v>
      </c>
      <c r="H805" t="str">
        <f>"ACCT#15 070 713 - 1 / 02242021"</f>
        <v>ACCT#15 070 713 - 1 / 02242021</v>
      </c>
    </row>
    <row r="806" spans="1:8" x14ac:dyDescent="0.25">
      <c r="E806" t="str">
        <f>"305 000 784 937 7"</f>
        <v>305 000 784 937 7</v>
      </c>
      <c r="F806" t="str">
        <f>"ACCT#15 072 199 - 1 / 02242021"</f>
        <v>ACCT#15 072 199 - 1 / 02242021</v>
      </c>
      <c r="G806" s="3">
        <v>96.45</v>
      </c>
      <c r="H806" t="str">
        <f>"ACCT#15 072 199 - 1 / 02242021"</f>
        <v>ACCT#15 072 199 - 1 / 02242021</v>
      </c>
    </row>
    <row r="807" spans="1:8" x14ac:dyDescent="0.25">
      <c r="E807" t="str">
        <f>"305 000 784 938 5"</f>
        <v>305 000 784 938 5</v>
      </c>
      <c r="F807" t="str">
        <f>"ACCT#15 072 200 - 7 / 02242021"</f>
        <v>ACCT#15 072 200 - 7 / 02242021</v>
      </c>
      <c r="G807" s="3">
        <v>317.74</v>
      </c>
      <c r="H807" t="str">
        <f>"ACCT#15 072 200 - 7 / 02242021"</f>
        <v>ACCT#15 072 200 - 7 / 02242021</v>
      </c>
    </row>
    <row r="808" spans="1:8" x14ac:dyDescent="0.25">
      <c r="E808" t="str">
        <f>"305 000 784 939 3"</f>
        <v>305 000 784 939 3</v>
      </c>
      <c r="F808" t="str">
        <f>"ACCT#15 072 201 - 5 / 02242021"</f>
        <v>ACCT#15 072 201 - 5 / 02242021</v>
      </c>
      <c r="G808" s="3">
        <v>276.23</v>
      </c>
      <c r="H808" t="str">
        <f>"NRG ENERGY INC"</f>
        <v>NRG ENERGY INC</v>
      </c>
    </row>
    <row r="809" spans="1:8" x14ac:dyDescent="0.25">
      <c r="E809" t="str">
        <f>"305 000 784 940 1"</f>
        <v>305 000 784 940 1</v>
      </c>
      <c r="F809" t="str">
        <f>"ACCT#15 072 202 - 3 / 02242021"</f>
        <v>ACCT#15 072 202 - 3 / 02242021</v>
      </c>
      <c r="G809" s="3">
        <v>26.4</v>
      </c>
      <c r="H809" t="str">
        <f>"NRG ENERGY INC"</f>
        <v>NRG ENERGY INC</v>
      </c>
    </row>
    <row r="810" spans="1:8" x14ac:dyDescent="0.25">
      <c r="E810" t="str">
        <f>"305 000 784 941 9"</f>
        <v>305 000 784 941 9</v>
      </c>
      <c r="F810" t="str">
        <f>"ACCT#15 072 203 - 1 / 02242021"</f>
        <v>ACCT#15 072 203 - 1 / 02242021</v>
      </c>
      <c r="G810" s="3">
        <v>13.58</v>
      </c>
      <c r="H810" t="str">
        <f>"NRG ENERGY INC"</f>
        <v>NRG ENERGY INC</v>
      </c>
    </row>
    <row r="811" spans="1:8" x14ac:dyDescent="0.25">
      <c r="E811" t="str">
        <f>"305 000 784 942 7"</f>
        <v>305 000 784 942 7</v>
      </c>
      <c r="F811" t="str">
        <f>"ACCT#15 072 204 - 9 / 02242021"</f>
        <v>ACCT#15 072 204 - 9 / 02242021</v>
      </c>
      <c r="G811" s="3">
        <v>237.24</v>
      </c>
      <c r="H811" t="str">
        <f>"NRG ENERGY INC"</f>
        <v>NRG ENERGY INC</v>
      </c>
    </row>
    <row r="812" spans="1:8" x14ac:dyDescent="0.25">
      <c r="A812" t="s">
        <v>245</v>
      </c>
      <c r="B812">
        <v>135095</v>
      </c>
      <c r="C812" s="3">
        <v>1355.89</v>
      </c>
      <c r="D812" s="6">
        <v>44286</v>
      </c>
      <c r="E812" t="str">
        <f>"304 000 922 948 8"</f>
        <v>304 000 922 948 8</v>
      </c>
      <c r="F812" t="str">
        <f>"ACCT#15 069 451 - 1 / 03252021"</f>
        <v>ACCT#15 069 451 - 1 / 03252021</v>
      </c>
      <c r="G812" s="3">
        <v>404.95</v>
      </c>
      <c r="H812" t="str">
        <f>"NRG ENERGY INC"</f>
        <v>NRG ENERGY INC</v>
      </c>
    </row>
    <row r="813" spans="1:8" x14ac:dyDescent="0.25">
      <c r="E813" t="str">
        <f>"304 000 923 593 1"</f>
        <v>304 000 923 593 1</v>
      </c>
      <c r="F813" t="str">
        <f>"ACCT#15 070 712 - 3 / 03252021"</f>
        <v>ACCT#15 070 712 - 3 / 03252021</v>
      </c>
      <c r="G813" s="3">
        <v>18.18</v>
      </c>
      <c r="H813" t="str">
        <f>"ACCT#15 070 712 - 3 / 03252021"</f>
        <v>ACCT#15 070 712 - 3 / 03252021</v>
      </c>
    </row>
    <row r="814" spans="1:8" x14ac:dyDescent="0.25">
      <c r="E814" t="str">
        <f>"304 000 923 594 9"</f>
        <v>304 000 923 594 9</v>
      </c>
      <c r="F814" t="str">
        <f>"ACCT#15 070 713 - 1 / 03252021"</f>
        <v>ACCT#15 070 713 - 1 / 03252021</v>
      </c>
      <c r="G814" s="3">
        <v>21.89</v>
      </c>
      <c r="H814" t="str">
        <f>"NRG ENERGY INC"</f>
        <v>NRG ENERGY INC</v>
      </c>
    </row>
    <row r="815" spans="1:8" x14ac:dyDescent="0.25">
      <c r="E815" t="str">
        <f>"304 000 923 595 6"</f>
        <v>304 000 923 595 6</v>
      </c>
      <c r="F815" t="str">
        <f>"ACCT#15 072 199 - 1 / 03252021"</f>
        <v>ACCT#15 072 199 - 1 / 03252021</v>
      </c>
      <c r="G815" s="3">
        <v>50.07</v>
      </c>
      <c r="H815" t="str">
        <f>"ACCT#15 072 199 - 1 / 03252021"</f>
        <v>ACCT#15 072 199 - 1 / 03252021</v>
      </c>
    </row>
    <row r="816" spans="1:8" x14ac:dyDescent="0.25">
      <c r="E816" t="str">
        <f>"304 000 923 596 4"</f>
        <v>304 000 923 596 4</v>
      </c>
      <c r="F816" t="str">
        <f>"ACCT#15 072 200 - 7 / 03252021"</f>
        <v>ACCT#15 072 200 - 7 / 03252021</v>
      </c>
      <c r="G816" s="3">
        <v>255.37</v>
      </c>
      <c r="H816" t="str">
        <f>"NRG ENERGY INC"</f>
        <v>NRG ENERGY INC</v>
      </c>
    </row>
    <row r="817" spans="1:8" x14ac:dyDescent="0.25">
      <c r="E817" t="str">
        <f>"304 000 923 597 2"</f>
        <v>304 000 923 597 2</v>
      </c>
      <c r="F817" t="str">
        <f>"ACCT#15 072 201 - 5 / 03252021"</f>
        <v>ACCT#15 072 201 - 5 / 03252021</v>
      </c>
      <c r="G817" s="3">
        <v>304</v>
      </c>
      <c r="H817" t="str">
        <f>"ACCT#15 072 201 - 5 / 03252021"</f>
        <v>ACCT#15 072 201 - 5 / 03252021</v>
      </c>
    </row>
    <row r="818" spans="1:8" x14ac:dyDescent="0.25">
      <c r="E818" t="str">
        <f>"304 000 923 598 0"</f>
        <v>304 000 923 598 0</v>
      </c>
      <c r="F818" t="str">
        <f>"ACCT#15 072 202 - 3 / 03252021"</f>
        <v>ACCT#15 072 202 - 3 / 03252021</v>
      </c>
      <c r="G818" s="3">
        <v>28.8</v>
      </c>
      <c r="H818" t="str">
        <f>"NRG ENERGY INC"</f>
        <v>NRG ENERGY INC</v>
      </c>
    </row>
    <row r="819" spans="1:8" x14ac:dyDescent="0.25">
      <c r="E819" t="str">
        <f>"304 000 923 599 8"</f>
        <v>304 000 923 599 8</v>
      </c>
      <c r="F819" t="str">
        <f>"ACCT#15 072 203 - 1 / 03252021"</f>
        <v>ACCT#15 072 203 - 1 / 03252021</v>
      </c>
      <c r="G819" s="3">
        <v>13.34</v>
      </c>
      <c r="H819" t="str">
        <f>"NRG ENERGY INC"</f>
        <v>NRG ENERGY INC</v>
      </c>
    </row>
    <row r="820" spans="1:8" x14ac:dyDescent="0.25">
      <c r="E820" t="str">
        <f>"304 000 923 600 4"</f>
        <v>304 000 923 600 4</v>
      </c>
      <c r="F820" t="str">
        <f>"ACCT#15 072 204 - 9 / 03252021"</f>
        <v>ACCT#15 072 204 - 9 / 03252021</v>
      </c>
      <c r="G820" s="3">
        <v>259.29000000000002</v>
      </c>
      <c r="H820" t="str">
        <f>"NRG ENERGY INC"</f>
        <v>NRG ENERGY INC</v>
      </c>
    </row>
    <row r="821" spans="1:8" x14ac:dyDescent="0.25">
      <c r="A821" t="s">
        <v>246</v>
      </c>
      <c r="B821">
        <v>134865</v>
      </c>
      <c r="C821" s="3">
        <v>1500</v>
      </c>
      <c r="D821" s="6">
        <v>44263</v>
      </c>
      <c r="E821" t="str">
        <f>"202103021894"</f>
        <v>202103021894</v>
      </c>
      <c r="F821" t="str">
        <f>"16-759"</f>
        <v>16-759</v>
      </c>
      <c r="G821" s="3">
        <v>700</v>
      </c>
      <c r="H821" t="str">
        <f>"16-759"</f>
        <v>16-759</v>
      </c>
    </row>
    <row r="822" spans="1:8" x14ac:dyDescent="0.25">
      <c r="E822" t="str">
        <f>"202103021895"</f>
        <v>202103021895</v>
      </c>
      <c r="F822" t="str">
        <f>"17-025"</f>
        <v>17-025</v>
      </c>
      <c r="G822" s="3">
        <v>800</v>
      </c>
      <c r="H822" t="str">
        <f>"17-025"</f>
        <v>17-025</v>
      </c>
    </row>
    <row r="823" spans="1:8" x14ac:dyDescent="0.25">
      <c r="A823" t="s">
        <v>247</v>
      </c>
      <c r="B823">
        <v>134866</v>
      </c>
      <c r="C823" s="3">
        <v>9236.6299999999992</v>
      </c>
      <c r="D823" s="6">
        <v>44263</v>
      </c>
      <c r="E823" t="str">
        <f>"202103011850"</f>
        <v>202103011850</v>
      </c>
      <c r="F823" t="str">
        <f>"CUST#2000172616"</f>
        <v>CUST#2000172616</v>
      </c>
      <c r="G823" s="3">
        <v>9236.6299999999992</v>
      </c>
      <c r="H823" t="str">
        <f t="shared" ref="H823:H854" si="16">"CUST#2000172616"</f>
        <v>CUST#2000172616</v>
      </c>
    </row>
    <row r="824" spans="1:8" x14ac:dyDescent="0.25">
      <c r="E824" t="str">
        <f>""</f>
        <v/>
      </c>
      <c r="F824" t="str">
        <f>""</f>
        <v/>
      </c>
      <c r="H824" t="str">
        <f t="shared" si="16"/>
        <v>CUST#2000172616</v>
      </c>
    </row>
    <row r="825" spans="1:8" x14ac:dyDescent="0.25">
      <c r="E825" t="str">
        <f>""</f>
        <v/>
      </c>
      <c r="F825" t="str">
        <f>""</f>
        <v/>
      </c>
      <c r="H825" t="str">
        <f t="shared" si="16"/>
        <v>CUST#2000172616</v>
      </c>
    </row>
    <row r="826" spans="1:8" x14ac:dyDescent="0.25">
      <c r="E826" t="str">
        <f>""</f>
        <v/>
      </c>
      <c r="F826" t="str">
        <f>""</f>
        <v/>
      </c>
      <c r="H826" t="str">
        <f t="shared" si="16"/>
        <v>CUST#2000172616</v>
      </c>
    </row>
    <row r="827" spans="1:8" x14ac:dyDescent="0.25">
      <c r="E827" t="str">
        <f>""</f>
        <v/>
      </c>
      <c r="F827" t="str">
        <f>""</f>
        <v/>
      </c>
      <c r="H827" t="str">
        <f t="shared" si="16"/>
        <v>CUST#2000172616</v>
      </c>
    </row>
    <row r="828" spans="1:8" x14ac:dyDescent="0.25">
      <c r="E828" t="str">
        <f>""</f>
        <v/>
      </c>
      <c r="F828" t="str">
        <f>""</f>
        <v/>
      </c>
      <c r="H828" t="str">
        <f t="shared" si="16"/>
        <v>CUST#2000172616</v>
      </c>
    </row>
    <row r="829" spans="1:8" x14ac:dyDescent="0.25">
      <c r="E829" t="str">
        <f>""</f>
        <v/>
      </c>
      <c r="F829" t="str">
        <f>""</f>
        <v/>
      </c>
      <c r="H829" t="str">
        <f t="shared" si="16"/>
        <v>CUST#2000172616</v>
      </c>
    </row>
    <row r="830" spans="1:8" x14ac:dyDescent="0.25">
      <c r="E830" t="str">
        <f>""</f>
        <v/>
      </c>
      <c r="F830" t="str">
        <f>""</f>
        <v/>
      </c>
      <c r="H830" t="str">
        <f t="shared" si="16"/>
        <v>CUST#2000172616</v>
      </c>
    </row>
    <row r="831" spans="1:8" x14ac:dyDescent="0.25">
      <c r="E831" t="str">
        <f>""</f>
        <v/>
      </c>
      <c r="F831" t="str">
        <f>""</f>
        <v/>
      </c>
      <c r="H831" t="str">
        <f t="shared" si="16"/>
        <v>CUST#2000172616</v>
      </c>
    </row>
    <row r="832" spans="1:8" x14ac:dyDescent="0.25">
      <c r="E832" t="str">
        <f>""</f>
        <v/>
      </c>
      <c r="F832" t="str">
        <f>""</f>
        <v/>
      </c>
      <c r="H832" t="str">
        <f t="shared" si="16"/>
        <v>CUST#2000172616</v>
      </c>
    </row>
    <row r="833" spans="5:8" x14ac:dyDescent="0.25">
      <c r="E833" t="str">
        <f>""</f>
        <v/>
      </c>
      <c r="F833" t="str">
        <f>""</f>
        <v/>
      </c>
      <c r="H833" t="str">
        <f t="shared" si="16"/>
        <v>CUST#2000172616</v>
      </c>
    </row>
    <row r="834" spans="5:8" x14ac:dyDescent="0.25">
      <c r="E834" t="str">
        <f>""</f>
        <v/>
      </c>
      <c r="F834" t="str">
        <f>""</f>
        <v/>
      </c>
      <c r="H834" t="str">
        <f t="shared" si="16"/>
        <v>CUST#2000172616</v>
      </c>
    </row>
    <row r="835" spans="5:8" x14ac:dyDescent="0.25">
      <c r="E835" t="str">
        <f>""</f>
        <v/>
      </c>
      <c r="F835" t="str">
        <f>""</f>
        <v/>
      </c>
      <c r="H835" t="str">
        <f t="shared" si="16"/>
        <v>CUST#2000172616</v>
      </c>
    </row>
    <row r="836" spans="5:8" x14ac:dyDescent="0.25">
      <c r="E836" t="str">
        <f>""</f>
        <v/>
      </c>
      <c r="F836" t="str">
        <f>""</f>
        <v/>
      </c>
      <c r="H836" t="str">
        <f t="shared" si="16"/>
        <v>CUST#2000172616</v>
      </c>
    </row>
    <row r="837" spans="5:8" x14ac:dyDescent="0.25">
      <c r="E837" t="str">
        <f>""</f>
        <v/>
      </c>
      <c r="F837" t="str">
        <f>""</f>
        <v/>
      </c>
      <c r="H837" t="str">
        <f t="shared" si="16"/>
        <v>CUST#2000172616</v>
      </c>
    </row>
    <row r="838" spans="5:8" x14ac:dyDescent="0.25">
      <c r="E838" t="str">
        <f>""</f>
        <v/>
      </c>
      <c r="F838" t="str">
        <f>""</f>
        <v/>
      </c>
      <c r="H838" t="str">
        <f t="shared" si="16"/>
        <v>CUST#2000172616</v>
      </c>
    </row>
    <row r="839" spans="5:8" x14ac:dyDescent="0.25">
      <c r="E839" t="str">
        <f>""</f>
        <v/>
      </c>
      <c r="F839" t="str">
        <f>""</f>
        <v/>
      </c>
      <c r="H839" t="str">
        <f t="shared" si="16"/>
        <v>CUST#2000172616</v>
      </c>
    </row>
    <row r="840" spans="5:8" x14ac:dyDescent="0.25">
      <c r="E840" t="str">
        <f>""</f>
        <v/>
      </c>
      <c r="F840" t="str">
        <f>""</f>
        <v/>
      </c>
      <c r="H840" t="str">
        <f t="shared" si="16"/>
        <v>CUST#2000172616</v>
      </c>
    </row>
    <row r="841" spans="5:8" x14ac:dyDescent="0.25">
      <c r="E841" t="str">
        <f>""</f>
        <v/>
      </c>
      <c r="F841" t="str">
        <f>""</f>
        <v/>
      </c>
      <c r="H841" t="str">
        <f t="shared" si="16"/>
        <v>CUST#2000172616</v>
      </c>
    </row>
    <row r="842" spans="5:8" x14ac:dyDescent="0.25">
      <c r="E842" t="str">
        <f>""</f>
        <v/>
      </c>
      <c r="F842" t="str">
        <f>""</f>
        <v/>
      </c>
      <c r="H842" t="str">
        <f t="shared" si="16"/>
        <v>CUST#2000172616</v>
      </c>
    </row>
    <row r="843" spans="5:8" x14ac:dyDescent="0.25">
      <c r="E843" t="str">
        <f>""</f>
        <v/>
      </c>
      <c r="F843" t="str">
        <f>""</f>
        <v/>
      </c>
      <c r="H843" t="str">
        <f t="shared" si="16"/>
        <v>CUST#2000172616</v>
      </c>
    </row>
    <row r="844" spans="5:8" x14ac:dyDescent="0.25">
      <c r="E844" t="str">
        <f>""</f>
        <v/>
      </c>
      <c r="F844" t="str">
        <f>""</f>
        <v/>
      </c>
      <c r="H844" t="str">
        <f t="shared" si="16"/>
        <v>CUST#2000172616</v>
      </c>
    </row>
    <row r="845" spans="5:8" x14ac:dyDescent="0.25">
      <c r="E845" t="str">
        <f>""</f>
        <v/>
      </c>
      <c r="F845" t="str">
        <f>""</f>
        <v/>
      </c>
      <c r="H845" t="str">
        <f t="shared" si="16"/>
        <v>CUST#2000172616</v>
      </c>
    </row>
    <row r="846" spans="5:8" x14ac:dyDescent="0.25">
      <c r="E846" t="str">
        <f>""</f>
        <v/>
      </c>
      <c r="F846" t="str">
        <f>""</f>
        <v/>
      </c>
      <c r="H846" t="str">
        <f t="shared" si="16"/>
        <v>CUST#2000172616</v>
      </c>
    </row>
    <row r="847" spans="5:8" x14ac:dyDescent="0.25">
      <c r="E847" t="str">
        <f>""</f>
        <v/>
      </c>
      <c r="F847" t="str">
        <f>""</f>
        <v/>
      </c>
      <c r="H847" t="str">
        <f t="shared" si="16"/>
        <v>CUST#2000172616</v>
      </c>
    </row>
    <row r="848" spans="5:8" x14ac:dyDescent="0.25">
      <c r="E848" t="str">
        <f>""</f>
        <v/>
      </c>
      <c r="F848" t="str">
        <f>""</f>
        <v/>
      </c>
      <c r="H848" t="str">
        <f t="shared" si="16"/>
        <v>CUST#2000172616</v>
      </c>
    </row>
    <row r="849" spans="1:8" x14ac:dyDescent="0.25">
      <c r="E849" t="str">
        <f>""</f>
        <v/>
      </c>
      <c r="F849" t="str">
        <f>""</f>
        <v/>
      </c>
      <c r="H849" t="str">
        <f t="shared" si="16"/>
        <v>CUST#2000172616</v>
      </c>
    </row>
    <row r="850" spans="1:8" x14ac:dyDescent="0.25">
      <c r="E850" t="str">
        <f>""</f>
        <v/>
      </c>
      <c r="F850" t="str">
        <f>""</f>
        <v/>
      </c>
      <c r="H850" t="str">
        <f t="shared" si="16"/>
        <v>CUST#2000172616</v>
      </c>
    </row>
    <row r="851" spans="1:8" x14ac:dyDescent="0.25">
      <c r="E851" t="str">
        <f>""</f>
        <v/>
      </c>
      <c r="F851" t="str">
        <f>""</f>
        <v/>
      </c>
      <c r="H851" t="str">
        <f t="shared" si="16"/>
        <v>CUST#2000172616</v>
      </c>
    </row>
    <row r="852" spans="1:8" x14ac:dyDescent="0.25">
      <c r="E852" t="str">
        <f>""</f>
        <v/>
      </c>
      <c r="F852" t="str">
        <f>""</f>
        <v/>
      </c>
      <c r="H852" t="str">
        <f t="shared" si="16"/>
        <v>CUST#2000172616</v>
      </c>
    </row>
    <row r="853" spans="1:8" x14ac:dyDescent="0.25">
      <c r="E853" t="str">
        <f>""</f>
        <v/>
      </c>
      <c r="F853" t="str">
        <f>""</f>
        <v/>
      </c>
      <c r="H853" t="str">
        <f t="shared" si="16"/>
        <v>CUST#2000172616</v>
      </c>
    </row>
    <row r="854" spans="1:8" x14ac:dyDescent="0.25">
      <c r="E854" t="str">
        <f>""</f>
        <v/>
      </c>
      <c r="F854" t="str">
        <f>""</f>
        <v/>
      </c>
      <c r="H854" t="str">
        <f t="shared" si="16"/>
        <v>CUST#2000172616</v>
      </c>
    </row>
    <row r="855" spans="1:8" x14ac:dyDescent="0.25">
      <c r="A855" t="s">
        <v>248</v>
      </c>
      <c r="B855">
        <v>134867</v>
      </c>
      <c r="C855" s="3">
        <v>21.25</v>
      </c>
      <c r="D855" s="6">
        <v>44263</v>
      </c>
      <c r="E855" t="str">
        <f>"202103011851"</f>
        <v>202103011851</v>
      </c>
      <c r="F855" t="str">
        <f>"REIMBURSEMENT/POSTAL SERVICE"</f>
        <v>REIMBURSEMENT/POSTAL SERVICE</v>
      </c>
      <c r="G855" s="3">
        <v>21.25</v>
      </c>
      <c r="H855" t="str">
        <f>"REIMBURSEMENT/POSTAL SERVICE"</f>
        <v>REIMBURSEMENT/POSTAL SERVICE</v>
      </c>
    </row>
    <row r="856" spans="1:8" x14ac:dyDescent="0.25">
      <c r="A856" t="s">
        <v>249</v>
      </c>
      <c r="B856">
        <v>134868</v>
      </c>
      <c r="C856" s="3">
        <v>546</v>
      </c>
      <c r="D856" s="6">
        <v>44263</v>
      </c>
      <c r="E856" t="str">
        <f>"202103021919"</f>
        <v>202103021919</v>
      </c>
      <c r="F856" t="str">
        <f>"LPHPC RECORDING FEES"</f>
        <v>LPHPC RECORDING FEES</v>
      </c>
      <c r="G856" s="3">
        <v>546</v>
      </c>
      <c r="H856" t="str">
        <f>"LPHPC RECORDING FEES"</f>
        <v>LPHPC RECORDING FEES</v>
      </c>
    </row>
    <row r="857" spans="1:8" x14ac:dyDescent="0.25">
      <c r="A857" t="s">
        <v>249</v>
      </c>
      <c r="B857">
        <v>134869</v>
      </c>
      <c r="C857" s="3">
        <v>427</v>
      </c>
      <c r="D857" s="6">
        <v>44263</v>
      </c>
      <c r="E857" t="str">
        <f>"202103031937"</f>
        <v>202103031937</v>
      </c>
      <c r="F857" t="str">
        <f>"DEV. SERVICES RECORDING FEE"</f>
        <v>DEV. SERVICES RECORDING FEE</v>
      </c>
      <c r="G857" s="3">
        <v>427</v>
      </c>
      <c r="H857" t="str">
        <f>"DEV. SERVICES RECORDING FEE"</f>
        <v>DEV. SERVICES RECORDING FEE</v>
      </c>
    </row>
    <row r="858" spans="1:8" x14ac:dyDescent="0.25">
      <c r="A858" t="s">
        <v>249</v>
      </c>
      <c r="B858">
        <v>135027</v>
      </c>
      <c r="C858" s="3">
        <v>404</v>
      </c>
      <c r="D858" s="6">
        <v>44277</v>
      </c>
      <c r="E858" t="str">
        <f>"202103162193"</f>
        <v>202103162193</v>
      </c>
      <c r="F858" t="str">
        <f>"LPHCP RECORDING FEEES"</f>
        <v>LPHCP RECORDING FEEES</v>
      </c>
      <c r="G858" s="3">
        <v>404</v>
      </c>
      <c r="H858" t="str">
        <f>"LPHCP RECORDING FEEES"</f>
        <v>LPHCP RECORDING FEEES</v>
      </c>
    </row>
    <row r="859" spans="1:8" x14ac:dyDescent="0.25">
      <c r="A859" t="s">
        <v>249</v>
      </c>
      <c r="B859">
        <v>135028</v>
      </c>
      <c r="C859" s="3">
        <v>122</v>
      </c>
      <c r="D859" s="6">
        <v>44277</v>
      </c>
      <c r="E859" t="str">
        <f>"202103162229"</f>
        <v>202103162229</v>
      </c>
      <c r="F859" t="str">
        <f>"DEVELOPMENET SRVS RECORDING"</f>
        <v>DEVELOPMENET SRVS RECORDING</v>
      </c>
      <c r="G859" s="3">
        <v>122</v>
      </c>
      <c r="H859" t="str">
        <f>"DEVELOPMENET SRVS RECORDING"</f>
        <v>DEVELOPMENET SRVS RECORDING</v>
      </c>
    </row>
    <row r="860" spans="1:8" x14ac:dyDescent="0.25">
      <c r="A860" t="s">
        <v>250</v>
      </c>
      <c r="B860">
        <v>134870</v>
      </c>
      <c r="C860" s="3">
        <v>172.94</v>
      </c>
      <c r="D860" s="6">
        <v>44263</v>
      </c>
      <c r="E860" t="str">
        <f>"CVCS64282"</f>
        <v>CVCS64282</v>
      </c>
      <c r="F860" t="str">
        <f>"CUST#9486/PCT#4"</f>
        <v>CUST#9486/PCT#4</v>
      </c>
      <c r="G860" s="3">
        <v>65</v>
      </c>
      <c r="H860" t="str">
        <f>"CUST#9486/PCT#4"</f>
        <v>CUST#9486/PCT#4</v>
      </c>
    </row>
    <row r="861" spans="1:8" x14ac:dyDescent="0.25">
      <c r="E861" t="str">
        <f>"CVCS64313"</f>
        <v>CVCS64313</v>
      </c>
      <c r="F861" t="str">
        <f>"CUST#9486/PCT#4"</f>
        <v>CUST#9486/PCT#4</v>
      </c>
      <c r="G861" s="3">
        <v>107.94</v>
      </c>
      <c r="H861" t="str">
        <f>"CUST#9486/PCT#4"</f>
        <v>CUST#9486/PCT#4</v>
      </c>
    </row>
    <row r="862" spans="1:8" x14ac:dyDescent="0.25">
      <c r="A862" t="s">
        <v>251</v>
      </c>
      <c r="B862">
        <v>4155</v>
      </c>
      <c r="C862" s="3">
        <v>160</v>
      </c>
      <c r="D862" s="6">
        <v>44278</v>
      </c>
      <c r="E862" t="str">
        <f>"202103162210"</f>
        <v>202103162210</v>
      </c>
      <c r="F862" t="str">
        <f>"INDIGENT HEALTH"</f>
        <v>INDIGENT HEALTH</v>
      </c>
      <c r="G862" s="3">
        <v>160</v>
      </c>
      <c r="H862" t="str">
        <f>"INDIGENT HEALTH"</f>
        <v>INDIGENT HEALTH</v>
      </c>
    </row>
    <row r="863" spans="1:8" x14ac:dyDescent="0.25">
      <c r="A863" t="s">
        <v>252</v>
      </c>
      <c r="B863">
        <v>134871</v>
      </c>
      <c r="C863" s="3">
        <v>205</v>
      </c>
      <c r="D863" s="6">
        <v>44263</v>
      </c>
      <c r="E863" t="str">
        <f>"202103031955"</f>
        <v>202103031955</v>
      </c>
      <c r="F863" t="str">
        <f>"TRAVEL ADVANCE - PER DIEM"</f>
        <v>TRAVEL ADVANCE - PER DIEM</v>
      </c>
      <c r="G863" s="3">
        <v>205</v>
      </c>
      <c r="H863" t="str">
        <f>"TRAVEL ADVANCE - PER DIEM"</f>
        <v>TRAVEL ADVANCE - PER DIEM</v>
      </c>
    </row>
    <row r="864" spans="1:8" x14ac:dyDescent="0.25">
      <c r="A864" t="s">
        <v>253</v>
      </c>
      <c r="B864">
        <v>135029</v>
      </c>
      <c r="C864" s="3">
        <v>995.11</v>
      </c>
      <c r="D864" s="6">
        <v>44277</v>
      </c>
      <c r="E864" t="str">
        <f>"202103162215"</f>
        <v>202103162215</v>
      </c>
      <c r="F864" t="str">
        <f>"INDIGENT HEALTH"</f>
        <v>INDIGENT HEALTH</v>
      </c>
      <c r="G864" s="3">
        <v>995.11</v>
      </c>
      <c r="H864" t="str">
        <f>"INDIGENT HEALTH"</f>
        <v>INDIGENT HEALTH</v>
      </c>
    </row>
    <row r="865" spans="1:8" x14ac:dyDescent="0.25">
      <c r="E865" t="str">
        <f>""</f>
        <v/>
      </c>
      <c r="F865" t="str">
        <f>""</f>
        <v/>
      </c>
      <c r="H865" t="str">
        <f>"INDIGENT HEALTH"</f>
        <v>INDIGENT HEALTH</v>
      </c>
    </row>
    <row r="866" spans="1:8" x14ac:dyDescent="0.25">
      <c r="E866" t="str">
        <f>""</f>
        <v/>
      </c>
      <c r="F866" t="str">
        <f>""</f>
        <v/>
      </c>
      <c r="H866" t="str">
        <f>"INDIGENT HEALTH"</f>
        <v>INDIGENT HEALTH</v>
      </c>
    </row>
    <row r="867" spans="1:8" x14ac:dyDescent="0.25">
      <c r="A867" t="s">
        <v>254</v>
      </c>
      <c r="B867">
        <v>135030</v>
      </c>
      <c r="C867" s="3">
        <v>1167.32</v>
      </c>
      <c r="D867" s="6">
        <v>44277</v>
      </c>
      <c r="E867" t="str">
        <f>"202103162216"</f>
        <v>202103162216</v>
      </c>
      <c r="F867" t="str">
        <f>"INDIGENT HEALTH"</f>
        <v>INDIGENT HEALTH</v>
      </c>
      <c r="G867" s="3">
        <v>1167.32</v>
      </c>
      <c r="H867" t="str">
        <f>"INDIGENT HEALTH"</f>
        <v>INDIGENT HEALTH</v>
      </c>
    </row>
    <row r="868" spans="1:8" x14ac:dyDescent="0.25">
      <c r="A868" t="s">
        <v>255</v>
      </c>
      <c r="B868">
        <v>135031</v>
      </c>
      <c r="C868" s="3">
        <v>26028.71</v>
      </c>
      <c r="D868" s="6">
        <v>44277</v>
      </c>
      <c r="E868" t="str">
        <f>"202103162217"</f>
        <v>202103162217</v>
      </c>
      <c r="F868" t="str">
        <f>"INDIGENT HEALTH"</f>
        <v>INDIGENT HEALTH</v>
      </c>
      <c r="G868" s="3">
        <v>26028.71</v>
      </c>
      <c r="H868" t="str">
        <f>"INDIGENT HEALTH"</f>
        <v>INDIGENT HEALTH</v>
      </c>
    </row>
    <row r="869" spans="1:8" x14ac:dyDescent="0.25">
      <c r="A869" t="s">
        <v>256</v>
      </c>
      <c r="B869">
        <v>135032</v>
      </c>
      <c r="C869" s="3">
        <v>61.95</v>
      </c>
      <c r="D869" s="6">
        <v>44277</v>
      </c>
      <c r="E869" t="str">
        <f>"202103152174"</f>
        <v>202103152174</v>
      </c>
      <c r="F869" t="str">
        <f>"REIMBURSEMENT/SCOTT OWENS"</f>
        <v>REIMBURSEMENT/SCOTT OWENS</v>
      </c>
      <c r="G869" s="3">
        <v>61.95</v>
      </c>
      <c r="H869" t="str">
        <f>"REIMBURSEMENT/SCOTT OWENS"</f>
        <v>REIMBURSEMENT/SCOTT OWENS</v>
      </c>
    </row>
    <row r="870" spans="1:8" x14ac:dyDescent="0.25">
      <c r="A870" t="s">
        <v>257</v>
      </c>
      <c r="B870">
        <v>135033</v>
      </c>
      <c r="C870" s="3">
        <v>16468.7</v>
      </c>
      <c r="D870" s="6">
        <v>44277</v>
      </c>
      <c r="E870" t="str">
        <f>"202103162218"</f>
        <v>202103162218</v>
      </c>
      <c r="F870" t="str">
        <f>"INDIGENT HEALTH"</f>
        <v>INDIGENT HEALTH</v>
      </c>
      <c r="G870" s="3">
        <v>16468.7</v>
      </c>
      <c r="H870" t="str">
        <f>"INDIGENT HEALTH"</f>
        <v>INDIGENT HEALTH</v>
      </c>
    </row>
    <row r="871" spans="1:8" x14ac:dyDescent="0.25">
      <c r="A871" t="s">
        <v>258</v>
      </c>
      <c r="B871">
        <v>135034</v>
      </c>
      <c r="C871" s="3">
        <v>876.83</v>
      </c>
      <c r="D871" s="6">
        <v>44277</v>
      </c>
      <c r="E871" t="str">
        <f>"202103162204"</f>
        <v>202103162204</v>
      </c>
      <c r="F871" t="str">
        <f>"INDIGENT HEALTH"</f>
        <v>INDIGENT HEALTH</v>
      </c>
      <c r="G871" s="3">
        <v>876.83</v>
      </c>
      <c r="H871" t="str">
        <f>"INDIGENT HEALTH"</f>
        <v>INDIGENT HEALTH</v>
      </c>
    </row>
    <row r="872" spans="1:8" x14ac:dyDescent="0.25">
      <c r="A872" t="s">
        <v>259</v>
      </c>
      <c r="B872">
        <v>134872</v>
      </c>
      <c r="C872" s="3">
        <v>100</v>
      </c>
      <c r="D872" s="6">
        <v>44263</v>
      </c>
      <c r="E872" t="str">
        <f>"12962-"</f>
        <v>12962-</v>
      </c>
      <c r="F872" t="str">
        <f>"RESTITUTION D. MCCOMB"</f>
        <v>RESTITUTION D. MCCOMB</v>
      </c>
      <c r="G872" s="3">
        <v>50</v>
      </c>
      <c r="H872" t="str">
        <f>"RESTITUTION D. MCCOMB"</f>
        <v>RESTITUTION D. MCCOMB</v>
      </c>
    </row>
    <row r="873" spans="1:8" x14ac:dyDescent="0.25">
      <c r="E873" t="str">
        <f>"14962/3-3-21"</f>
        <v>14962/3-3-21</v>
      </c>
      <c r="F873" t="str">
        <f>"RESTITUTION D. MCCOMB"</f>
        <v>RESTITUTION D. MCCOMB</v>
      </c>
      <c r="G873" s="3">
        <v>50</v>
      </c>
      <c r="H873" t="str">
        <f>"RESTITUTION D. MCCOMB"</f>
        <v>RESTITUTION D. MCCOMB</v>
      </c>
    </row>
    <row r="874" spans="1:8" x14ac:dyDescent="0.25">
      <c r="A874" t="s">
        <v>260</v>
      </c>
      <c r="B874">
        <v>134873</v>
      </c>
      <c r="C874" s="3">
        <v>1137.3499999999999</v>
      </c>
      <c r="D874" s="6">
        <v>44263</v>
      </c>
      <c r="E874" t="str">
        <f>"5005084756"</f>
        <v>5005084756</v>
      </c>
      <c r="F874" t="str">
        <f>"ACCT#120050140"</f>
        <v>ACCT#120050140</v>
      </c>
      <c r="G874" s="3">
        <v>754.83</v>
      </c>
      <c r="H874" t="str">
        <f>"ACCT#120050140"</f>
        <v>ACCT#120050140</v>
      </c>
    </row>
    <row r="875" spans="1:8" x14ac:dyDescent="0.25">
      <c r="E875" t="str">
        <f>"5006084757"</f>
        <v>5006084757</v>
      </c>
      <c r="F875" t="str">
        <f>"ACCT#120020173"</f>
        <v>ACCT#120020173</v>
      </c>
      <c r="G875" s="3">
        <v>382.52</v>
      </c>
      <c r="H875" t="str">
        <f>"ACCT#120020173"</f>
        <v>ACCT#120020173</v>
      </c>
    </row>
    <row r="876" spans="1:8" x14ac:dyDescent="0.25">
      <c r="A876" t="s">
        <v>260</v>
      </c>
      <c r="B876">
        <v>135035</v>
      </c>
      <c r="C876" s="3">
        <v>85</v>
      </c>
      <c r="D876" s="6">
        <v>44277</v>
      </c>
      <c r="E876" t="str">
        <f>"1028879576"</f>
        <v>1028879576</v>
      </c>
      <c r="F876" t="str">
        <f>"ACCT#120047463/JERRY RITCHIE"</f>
        <v>ACCT#120047463/JERRY RITCHIE</v>
      </c>
      <c r="G876" s="3">
        <v>85</v>
      </c>
      <c r="H876" t="str">
        <f>"ACCT#120047463/JERRY RITCHIE"</f>
        <v>ACCT#120047463/JERRY RITCHIE</v>
      </c>
    </row>
    <row r="877" spans="1:8" x14ac:dyDescent="0.25">
      <c r="A877" t="s">
        <v>260</v>
      </c>
      <c r="B877">
        <v>135036</v>
      </c>
      <c r="C877" s="3">
        <v>1364.71</v>
      </c>
      <c r="D877" s="6">
        <v>44277</v>
      </c>
      <c r="E877" t="str">
        <f>"5006148386"</f>
        <v>5006148386</v>
      </c>
      <c r="F877" t="str">
        <f>"ACCT#120050140"</f>
        <v>ACCT#120050140</v>
      </c>
      <c r="G877" s="3">
        <v>1364.71</v>
      </c>
      <c r="H877" t="str">
        <f>"ACCT#120050140"</f>
        <v>ACCT#120050140</v>
      </c>
    </row>
    <row r="878" spans="1:8" x14ac:dyDescent="0.25">
      <c r="A878" t="s">
        <v>261</v>
      </c>
      <c r="B878">
        <v>134874</v>
      </c>
      <c r="C878" s="3">
        <v>6369.45</v>
      </c>
      <c r="D878" s="6">
        <v>44263</v>
      </c>
      <c r="E878" t="str">
        <f>"20049977"</f>
        <v>20049977</v>
      </c>
      <c r="F878" t="str">
        <f>"Camera and Mount"</f>
        <v>Camera and Mount</v>
      </c>
      <c r="G878" s="3">
        <v>2156</v>
      </c>
      <c r="H878" t="str">
        <f>"Dome Camera"</f>
        <v>Dome Camera</v>
      </c>
    </row>
    <row r="879" spans="1:8" x14ac:dyDescent="0.25">
      <c r="E879" t="str">
        <f>""</f>
        <v/>
      </c>
      <c r="F879" t="str">
        <f>""</f>
        <v/>
      </c>
      <c r="H879" t="str">
        <f>"Pole Mount"</f>
        <v>Pole Mount</v>
      </c>
    </row>
    <row r="880" spans="1:8" x14ac:dyDescent="0.25">
      <c r="E880" t="str">
        <f>"22799"</f>
        <v>22799</v>
      </c>
      <c r="F880" t="str">
        <f>"SHI Microsoft Software"</f>
        <v>SHI Microsoft Software</v>
      </c>
      <c r="G880" s="3">
        <v>2799.6</v>
      </c>
      <c r="H880" t="str">
        <f>"MicrosoftSoftwareVAR"</f>
        <v>MicrosoftSoftwareVAR</v>
      </c>
    </row>
    <row r="881" spans="1:8" x14ac:dyDescent="0.25">
      <c r="E881" t="str">
        <f>"22877"</f>
        <v>22877</v>
      </c>
      <c r="F881" t="str">
        <f>"Extension Cables"</f>
        <v>Extension Cables</v>
      </c>
      <c r="G881" s="3">
        <v>128</v>
      </c>
      <c r="H881" t="str">
        <f>"zero conne"</f>
        <v>zero conne</v>
      </c>
    </row>
    <row r="882" spans="1:8" x14ac:dyDescent="0.25">
      <c r="E882" t="str">
        <f>"22949"</f>
        <v>22949</v>
      </c>
      <c r="F882" t="str">
        <f>"SHI GOVERNMENT SOLUTIONS INC."</f>
        <v>SHI GOVERNMENT SOLUTIONS INC.</v>
      </c>
      <c r="G882" s="3">
        <v>1285.8499999999999</v>
      </c>
      <c r="H882" t="str">
        <f>"NetMotion"</f>
        <v>NetMotion</v>
      </c>
    </row>
    <row r="883" spans="1:8" x14ac:dyDescent="0.25">
      <c r="A883" t="s">
        <v>261</v>
      </c>
      <c r="B883">
        <v>135037</v>
      </c>
      <c r="C883" s="3">
        <v>28006.880000000001</v>
      </c>
      <c r="D883" s="6">
        <v>44277</v>
      </c>
      <c r="E883" t="str">
        <f>"19877"</f>
        <v>19877</v>
      </c>
      <c r="F883" t="str">
        <f>"Office 365"</f>
        <v>Office 365</v>
      </c>
      <c r="G883" s="3">
        <v>16429</v>
      </c>
      <c r="H883" t="str">
        <f>"Part 2 of 2"</f>
        <v>Part 2 of 2</v>
      </c>
    </row>
    <row r="884" spans="1:8" x14ac:dyDescent="0.25">
      <c r="E884" t="str">
        <f>"22540"</f>
        <v>22540</v>
      </c>
      <c r="F884" t="str">
        <f>"SHI Govt Solutions"</f>
        <v>SHI Govt Solutions</v>
      </c>
      <c r="G884" s="3">
        <v>3970</v>
      </c>
      <c r="H884" t="str">
        <f>"IR1101-DINRAIL"</f>
        <v>IR1101-DINRAIL</v>
      </c>
    </row>
    <row r="885" spans="1:8" x14ac:dyDescent="0.25">
      <c r="E885" t="str">
        <f>""</f>
        <v/>
      </c>
      <c r="F885" t="str">
        <f>""</f>
        <v/>
      </c>
      <c r="H885" t="str">
        <f>"IR-CAB-CON-USB"</f>
        <v>IR-CAB-CON-USB</v>
      </c>
    </row>
    <row r="886" spans="1:8" x14ac:dyDescent="0.25">
      <c r="E886" t="str">
        <f>""</f>
        <v/>
      </c>
      <c r="F886" t="str">
        <f>""</f>
        <v/>
      </c>
      <c r="H886" t="str">
        <f>"4G-LTE-ANTM-0-3B"</f>
        <v>4G-LTE-ANTM-0-3B</v>
      </c>
    </row>
    <row r="887" spans="1:8" x14ac:dyDescent="0.25">
      <c r="E887" t="str">
        <f>"22780"</f>
        <v>22780</v>
      </c>
      <c r="F887" t="str">
        <f>"SHI"</f>
        <v>SHI</v>
      </c>
      <c r="G887" s="3">
        <v>6857.88</v>
      </c>
      <c r="H887" t="str">
        <f>"NetMotionMobility1yr"</f>
        <v>NetMotionMobility1yr</v>
      </c>
    </row>
    <row r="888" spans="1:8" x14ac:dyDescent="0.25">
      <c r="E888" t="str">
        <f>"23122"</f>
        <v>23122</v>
      </c>
      <c r="F888" t="str">
        <f>"Zoom Renewal"</f>
        <v>Zoom Renewal</v>
      </c>
      <c r="G888" s="3">
        <v>750</v>
      </c>
      <c r="H888" t="str">
        <f>"Zoom Renewal"</f>
        <v>Zoom Renewal</v>
      </c>
    </row>
    <row r="889" spans="1:8" x14ac:dyDescent="0.25">
      <c r="A889" t="s">
        <v>262</v>
      </c>
      <c r="B889">
        <v>134875</v>
      </c>
      <c r="C889" s="3">
        <v>268.67</v>
      </c>
      <c r="D889" s="6">
        <v>44263</v>
      </c>
      <c r="E889" t="str">
        <f>"8181579045"</f>
        <v>8181579045</v>
      </c>
      <c r="F889" t="str">
        <f>"ACCT#16151857/PURCHASING"</f>
        <v>ACCT#16151857/PURCHASING</v>
      </c>
      <c r="G889" s="3">
        <v>127.13</v>
      </c>
      <c r="H889" t="str">
        <f>"ACCT#16151857/PURCHASING"</f>
        <v>ACCT#16151857/PURCHASING</v>
      </c>
    </row>
    <row r="890" spans="1:8" x14ac:dyDescent="0.25">
      <c r="E890" t="str">
        <f>""</f>
        <v/>
      </c>
      <c r="F890" t="str">
        <f>""</f>
        <v/>
      </c>
      <c r="H890" t="str">
        <f>"ACCT#16151857/PURCHASING"</f>
        <v>ACCT#16151857/PURCHASING</v>
      </c>
    </row>
    <row r="891" spans="1:8" x14ac:dyDescent="0.25">
      <c r="E891" t="str">
        <f>""</f>
        <v/>
      </c>
      <c r="F891" t="str">
        <f>""</f>
        <v/>
      </c>
      <c r="H891" t="str">
        <f>"ACCT#16151857/PURCHASING"</f>
        <v>ACCT#16151857/PURCHASING</v>
      </c>
    </row>
    <row r="892" spans="1:8" x14ac:dyDescent="0.25">
      <c r="E892" t="str">
        <f>"8181579155"</f>
        <v>8181579155</v>
      </c>
      <c r="F892" t="str">
        <f>"ACCT#16155373/PURCHASING"</f>
        <v>ACCT#16155373/PURCHASING</v>
      </c>
      <c r="G892" s="3">
        <v>141.54</v>
      </c>
      <c r="H892" t="str">
        <f t="shared" ref="H892:H897" si="17">"ACCT#16155373/PURCHASING"</f>
        <v>ACCT#16155373/PURCHASING</v>
      </c>
    </row>
    <row r="893" spans="1:8" x14ac:dyDescent="0.25">
      <c r="E893" t="str">
        <f>""</f>
        <v/>
      </c>
      <c r="F893" t="str">
        <f>""</f>
        <v/>
      </c>
      <c r="H893" t="str">
        <f t="shared" si="17"/>
        <v>ACCT#16155373/PURCHASING</v>
      </c>
    </row>
    <row r="894" spans="1:8" x14ac:dyDescent="0.25">
      <c r="E894" t="str">
        <f>""</f>
        <v/>
      </c>
      <c r="F894" t="str">
        <f>""</f>
        <v/>
      </c>
      <c r="H894" t="str">
        <f t="shared" si="17"/>
        <v>ACCT#16155373/PURCHASING</v>
      </c>
    </row>
    <row r="895" spans="1:8" x14ac:dyDescent="0.25">
      <c r="E895" t="str">
        <f>""</f>
        <v/>
      </c>
      <c r="F895" t="str">
        <f>""</f>
        <v/>
      </c>
      <c r="H895" t="str">
        <f t="shared" si="17"/>
        <v>ACCT#16155373/PURCHASING</v>
      </c>
    </row>
    <row r="896" spans="1:8" x14ac:dyDescent="0.25">
      <c r="E896" t="str">
        <f>""</f>
        <v/>
      </c>
      <c r="F896" t="str">
        <f>""</f>
        <v/>
      </c>
      <c r="H896" t="str">
        <f t="shared" si="17"/>
        <v>ACCT#16155373/PURCHASING</v>
      </c>
    </row>
    <row r="897" spans="1:8" x14ac:dyDescent="0.25">
      <c r="E897" t="str">
        <f>""</f>
        <v/>
      </c>
      <c r="F897" t="str">
        <f>""</f>
        <v/>
      </c>
      <c r="H897" t="str">
        <f t="shared" si="17"/>
        <v>ACCT#16155373/PURCHASING</v>
      </c>
    </row>
    <row r="898" spans="1:8" x14ac:dyDescent="0.25">
      <c r="A898" t="s">
        <v>262</v>
      </c>
      <c r="B898">
        <v>135038</v>
      </c>
      <c r="C898" s="3">
        <v>331.25</v>
      </c>
      <c r="D898" s="6">
        <v>44277</v>
      </c>
      <c r="E898" t="str">
        <f>"8181578706"</f>
        <v>8181578706</v>
      </c>
      <c r="F898" t="str">
        <f>"INV 8181578706"</f>
        <v>INV 8181578706</v>
      </c>
      <c r="G898" s="3">
        <v>167.61</v>
      </c>
      <c r="H898" t="str">
        <f>"INV 8181578706 (LE)"</f>
        <v>INV 8181578706 (LE)</v>
      </c>
    </row>
    <row r="899" spans="1:8" x14ac:dyDescent="0.25">
      <c r="E899" t="str">
        <f>""</f>
        <v/>
      </c>
      <c r="F899" t="str">
        <f>""</f>
        <v/>
      </c>
      <c r="H899" t="str">
        <f>"INV 8181578706 (JAIL"</f>
        <v>INV 8181578706 (JAIL</v>
      </c>
    </row>
    <row r="900" spans="1:8" x14ac:dyDescent="0.25">
      <c r="E900" t="str">
        <f>"8181579193"</f>
        <v>8181579193</v>
      </c>
      <c r="F900" t="str">
        <f>"CUST#16156071"</f>
        <v>CUST#16156071</v>
      </c>
      <c r="G900" s="3">
        <v>87.92</v>
      </c>
      <c r="H900" t="str">
        <f>"CUST#16156071"</f>
        <v>CUST#16156071</v>
      </c>
    </row>
    <row r="901" spans="1:8" x14ac:dyDescent="0.25">
      <c r="E901" t="str">
        <f>"8181579259"</f>
        <v>8181579259</v>
      </c>
      <c r="F901" t="str">
        <f>"CUST#16158670"</f>
        <v>CUST#16158670</v>
      </c>
      <c r="G901" s="3">
        <v>75.72</v>
      </c>
      <c r="H901" t="str">
        <f>"CUST#16158670"</f>
        <v>CUST#16158670</v>
      </c>
    </row>
    <row r="902" spans="1:8" x14ac:dyDescent="0.25">
      <c r="A902" t="s">
        <v>262</v>
      </c>
      <c r="B902">
        <v>135088</v>
      </c>
      <c r="C902" s="3">
        <v>174.68</v>
      </c>
      <c r="D902" s="6">
        <v>44278</v>
      </c>
      <c r="E902" t="str">
        <f>"8181199818"</f>
        <v>8181199818</v>
      </c>
      <c r="F902" t="str">
        <f>"CUST#16156071/TAX OFFICE"</f>
        <v>CUST#16156071/TAX OFFICE</v>
      </c>
      <c r="G902" s="3">
        <v>86.97</v>
      </c>
      <c r="H902" t="str">
        <f>"CUST#16156071/TAX OFFICE"</f>
        <v>CUST#16156071/TAX OFFICE</v>
      </c>
    </row>
    <row r="903" spans="1:8" x14ac:dyDescent="0.25">
      <c r="E903" t="str">
        <f>"8181390689"</f>
        <v>8181390689</v>
      </c>
      <c r="F903" t="str">
        <f>"CUST#16156071/TAX OFFICE"</f>
        <v>CUST#16156071/TAX OFFICE</v>
      </c>
      <c r="G903" s="3">
        <v>87.71</v>
      </c>
      <c r="H903" t="str">
        <f>"CUST#16156071/TAX OFFICE"</f>
        <v>CUST#16156071/TAX OFFICE</v>
      </c>
    </row>
    <row r="904" spans="1:8" x14ac:dyDescent="0.25">
      <c r="A904" t="s">
        <v>263</v>
      </c>
      <c r="B904">
        <v>135039</v>
      </c>
      <c r="C904" s="3">
        <v>252.9</v>
      </c>
      <c r="D904" s="6">
        <v>44277</v>
      </c>
      <c r="E904" t="str">
        <f>"202103162219"</f>
        <v>202103162219</v>
      </c>
      <c r="F904" t="str">
        <f>"INDIGENT HEALTH"</f>
        <v>INDIGENT HEALTH</v>
      </c>
      <c r="G904" s="3">
        <v>252.9</v>
      </c>
      <c r="H904" t="str">
        <f>"INDIGENT HEALTH"</f>
        <v>INDIGENT HEALTH</v>
      </c>
    </row>
    <row r="905" spans="1:8" x14ac:dyDescent="0.25">
      <c r="A905" t="s">
        <v>264</v>
      </c>
      <c r="B905">
        <v>135040</v>
      </c>
      <c r="C905" s="3">
        <v>151.83000000000001</v>
      </c>
      <c r="D905" s="6">
        <v>44277</v>
      </c>
      <c r="E905" t="str">
        <f>"202103162220"</f>
        <v>202103162220</v>
      </c>
      <c r="F905" t="str">
        <f>"INDIGENT HEALTH"</f>
        <v>INDIGENT HEALTH</v>
      </c>
      <c r="G905" s="3">
        <v>151.83000000000001</v>
      </c>
      <c r="H905" t="str">
        <f>"INDIGENT HEALTH"</f>
        <v>INDIGENT HEALTH</v>
      </c>
    </row>
    <row r="906" spans="1:8" x14ac:dyDescent="0.25">
      <c r="A906" t="s">
        <v>265</v>
      </c>
      <c r="B906">
        <v>135041</v>
      </c>
      <c r="C906" s="3">
        <v>343.3</v>
      </c>
      <c r="D906" s="6">
        <v>44277</v>
      </c>
      <c r="E906" t="str">
        <f>"0479701"</f>
        <v>0479701</v>
      </c>
      <c r="F906" t="str">
        <f>"INV 0479701 / 0485035"</f>
        <v>INV 0479701 / 0485035</v>
      </c>
      <c r="G906" s="3">
        <v>343.3</v>
      </c>
      <c r="H906" t="str">
        <f>"INV 0479701"</f>
        <v>INV 0479701</v>
      </c>
    </row>
    <row r="907" spans="1:8" x14ac:dyDescent="0.25">
      <c r="E907" t="str">
        <f>""</f>
        <v/>
      </c>
      <c r="F907" t="str">
        <f>""</f>
        <v/>
      </c>
      <c r="H907" t="str">
        <f>"INV 0485035"</f>
        <v>INV 0485035</v>
      </c>
    </row>
    <row r="908" spans="1:8" x14ac:dyDescent="0.25">
      <c r="A908" t="s">
        <v>266</v>
      </c>
      <c r="B908">
        <v>135042</v>
      </c>
      <c r="C908" s="3">
        <v>5599.1</v>
      </c>
      <c r="D908" s="6">
        <v>44277</v>
      </c>
      <c r="E908" t="str">
        <f>"35736"</f>
        <v>35736</v>
      </c>
      <c r="F908" t="str">
        <f>"PRECINCT#2"</f>
        <v>PRECINCT#2</v>
      </c>
      <c r="G908" s="3">
        <v>70.400000000000006</v>
      </c>
      <c r="H908" t="str">
        <f>"PRECINCT#2"</f>
        <v>PRECINCT#2</v>
      </c>
    </row>
    <row r="909" spans="1:8" x14ac:dyDescent="0.25">
      <c r="E909" t="str">
        <f>"35737"</f>
        <v>35737</v>
      </c>
      <c r="F909" t="str">
        <f>"PRECICNT#3"</f>
        <v>PRECICNT#3</v>
      </c>
      <c r="G909" s="3">
        <v>197.95</v>
      </c>
      <c r="H909" t="str">
        <f>"PRECICNT#3"</f>
        <v>PRECICNT#3</v>
      </c>
    </row>
    <row r="910" spans="1:8" x14ac:dyDescent="0.25">
      <c r="E910" t="str">
        <f>"35977"</f>
        <v>35977</v>
      </c>
      <c r="F910" t="str">
        <f>"STATMENT#35977/PCT#4"</f>
        <v>STATMENT#35977/PCT#4</v>
      </c>
      <c r="G910" s="3">
        <v>5330.75</v>
      </c>
      <c r="H910" t="str">
        <f>"STATMENT#35977/PCT#4"</f>
        <v>STATMENT#35977/PCT#4</v>
      </c>
    </row>
    <row r="911" spans="1:8" x14ac:dyDescent="0.25">
      <c r="A911" t="s">
        <v>267</v>
      </c>
      <c r="B911">
        <v>135043</v>
      </c>
      <c r="C911" s="3">
        <v>341</v>
      </c>
      <c r="D911" s="6">
        <v>44277</v>
      </c>
      <c r="E911" t="str">
        <f>"202103112084"</f>
        <v>202103112084</v>
      </c>
      <c r="F911" t="str">
        <f>"ACCT#260/PCT#2"</f>
        <v>ACCT#260/PCT#2</v>
      </c>
      <c r="G911" s="3">
        <v>341</v>
      </c>
      <c r="H911" t="str">
        <f>"ACCT#260/PCT#2"</f>
        <v>ACCT#260/PCT#2</v>
      </c>
    </row>
    <row r="912" spans="1:8" x14ac:dyDescent="0.25">
      <c r="A912" t="s">
        <v>268</v>
      </c>
      <c r="B912">
        <v>135044</v>
      </c>
      <c r="C912" s="3">
        <v>379.68</v>
      </c>
      <c r="D912" s="6">
        <v>44277</v>
      </c>
      <c r="E912" t="str">
        <f>"4738*155*2*3"</f>
        <v>4738*155*2*3</v>
      </c>
      <c r="F912" t="str">
        <f>"JAIL MEDICAL"</f>
        <v>JAIL MEDICAL</v>
      </c>
      <c r="G912" s="3">
        <v>379.68</v>
      </c>
      <c r="H912" t="str">
        <f>"JAIL MEDICAL"</f>
        <v>JAIL MEDICAL</v>
      </c>
    </row>
    <row r="913" spans="1:8" x14ac:dyDescent="0.25">
      <c r="A913" t="s">
        <v>269</v>
      </c>
      <c r="B913">
        <v>134876</v>
      </c>
      <c r="C913" s="3">
        <v>1880.7</v>
      </c>
      <c r="D913" s="6">
        <v>44263</v>
      </c>
      <c r="E913" t="str">
        <f>"202103011845"</f>
        <v>202103011845</v>
      </c>
      <c r="F913" t="str">
        <f>"KENYON JENKINS"</f>
        <v>KENYON JENKINS</v>
      </c>
      <c r="G913" s="3">
        <v>1390.28</v>
      </c>
      <c r="H913" t="str">
        <f>"KENYON JENKINS"</f>
        <v>KENYON JENKINS</v>
      </c>
    </row>
    <row r="914" spans="1:8" x14ac:dyDescent="0.25">
      <c r="E914" t="str">
        <f>"21T-743"</f>
        <v>21T-743</v>
      </c>
      <c r="F914" t="str">
        <f>"FEB 2021 FEE"</f>
        <v>FEB 2021 FEE</v>
      </c>
      <c r="G914" s="3">
        <v>490.42</v>
      </c>
      <c r="H914" t="str">
        <f>"FEB 2021 FEE"</f>
        <v>FEB 2021 FEE</v>
      </c>
    </row>
    <row r="915" spans="1:8" x14ac:dyDescent="0.25">
      <c r="A915" t="s">
        <v>270</v>
      </c>
      <c r="B915">
        <v>134877</v>
      </c>
      <c r="C915" s="3">
        <v>300</v>
      </c>
      <c r="D915" s="6">
        <v>44263</v>
      </c>
      <c r="E915" t="str">
        <f>"202103031967"</f>
        <v>202103031967</v>
      </c>
      <c r="F915" t="str">
        <f>"COMMISSIONERS MEMBERSHIP DUES"</f>
        <v>COMMISSIONERS MEMBERSHIP DUES</v>
      </c>
      <c r="G915" s="3">
        <v>300</v>
      </c>
      <c r="H915" t="str">
        <f>"COMMISSIONERS MEMBERSHIP DUES"</f>
        <v>COMMISSIONERS MEMBERSHIP DUES</v>
      </c>
    </row>
    <row r="916" spans="1:8" x14ac:dyDescent="0.25">
      <c r="A916" t="s">
        <v>271</v>
      </c>
      <c r="B916">
        <v>135045</v>
      </c>
      <c r="C916" s="3">
        <v>240.5</v>
      </c>
      <c r="D916" s="6">
        <v>44277</v>
      </c>
      <c r="E916" t="str">
        <f>"4240023733"</f>
        <v>4240023733</v>
      </c>
      <c r="F916" t="str">
        <f>"INV 4240023733"</f>
        <v>INV 4240023733</v>
      </c>
      <c r="G916" s="3">
        <v>240.5</v>
      </c>
      <c r="H916" t="str">
        <f>"INV 4240023733"</f>
        <v>INV 4240023733</v>
      </c>
    </row>
    <row r="917" spans="1:8" x14ac:dyDescent="0.25">
      <c r="A917" t="s">
        <v>272</v>
      </c>
      <c r="B917">
        <v>134878</v>
      </c>
      <c r="C917" s="3">
        <v>174.03</v>
      </c>
      <c r="D917" s="6">
        <v>44263</v>
      </c>
      <c r="E917" t="str">
        <f>"S1120609"</f>
        <v>S1120609</v>
      </c>
      <c r="F917" t="str">
        <f>"ACCT#114382"</f>
        <v>ACCT#114382</v>
      </c>
      <c r="G917" s="3">
        <v>174.03</v>
      </c>
      <c r="H917" t="str">
        <f>"ACCT#114382"</f>
        <v>ACCT#114382</v>
      </c>
    </row>
    <row r="918" spans="1:8" x14ac:dyDescent="0.25">
      <c r="A918" t="s">
        <v>273</v>
      </c>
      <c r="B918">
        <v>4068</v>
      </c>
      <c r="C918" s="3">
        <v>318.39999999999998</v>
      </c>
      <c r="D918" s="6">
        <v>44264</v>
      </c>
      <c r="E918" t="str">
        <f>"248511"</f>
        <v>248511</v>
      </c>
      <c r="F918" t="str">
        <f>"INV 248511"</f>
        <v>INV 248511</v>
      </c>
      <c r="G918" s="3">
        <v>318.39999999999998</v>
      </c>
      <c r="H918" t="str">
        <f>"INV 248511"</f>
        <v>INV 248511</v>
      </c>
    </row>
    <row r="919" spans="1:8" x14ac:dyDescent="0.25">
      <c r="A919" t="s">
        <v>274</v>
      </c>
      <c r="B919">
        <v>135046</v>
      </c>
      <c r="C919" s="3">
        <v>46.73</v>
      </c>
      <c r="D919" s="6">
        <v>44277</v>
      </c>
      <c r="E919" t="str">
        <f>"202103162214"</f>
        <v>202103162214</v>
      </c>
      <c r="F919" t="str">
        <f>"INDIGENT HEALTH"</f>
        <v>INDIGENT HEALTH</v>
      </c>
      <c r="G919" s="3">
        <v>46.73</v>
      </c>
      <c r="H919" t="str">
        <f>"INDIGENT HEALTH"</f>
        <v>INDIGENT HEALTH</v>
      </c>
    </row>
    <row r="920" spans="1:8" x14ac:dyDescent="0.25">
      <c r="A920" t="s">
        <v>275</v>
      </c>
      <c r="B920">
        <v>135047</v>
      </c>
      <c r="C920" s="3">
        <v>615.48</v>
      </c>
      <c r="D920" s="6">
        <v>44277</v>
      </c>
      <c r="E920" t="str">
        <f>"202103162221"</f>
        <v>202103162221</v>
      </c>
      <c r="F920" t="str">
        <f>"INDIGENT HEALTH"</f>
        <v>INDIGENT HEALTH</v>
      </c>
      <c r="G920" s="3">
        <v>615.48</v>
      </c>
      <c r="H920" t="str">
        <f>"INDIGENT HEALTH"</f>
        <v>INDIGENT HEALTH</v>
      </c>
    </row>
    <row r="921" spans="1:8" x14ac:dyDescent="0.25">
      <c r="A921" t="s">
        <v>276</v>
      </c>
      <c r="B921">
        <v>135048</v>
      </c>
      <c r="C921" s="3">
        <v>1857.03</v>
      </c>
      <c r="D921" s="6">
        <v>44277</v>
      </c>
      <c r="E921" t="str">
        <f>"8061474130"</f>
        <v>8061474130</v>
      </c>
      <c r="F921" t="str">
        <f>"Statement"</f>
        <v>Statement</v>
      </c>
      <c r="G921" s="3">
        <v>1857.03</v>
      </c>
      <c r="H921" t="str">
        <f>"3471211391"</f>
        <v>3471211391</v>
      </c>
    </row>
    <row r="922" spans="1:8" x14ac:dyDescent="0.25">
      <c r="E922" t="str">
        <f>""</f>
        <v/>
      </c>
      <c r="F922" t="str">
        <f>""</f>
        <v/>
      </c>
      <c r="H922" t="str">
        <f>"3471311392"</f>
        <v>3471311392</v>
      </c>
    </row>
    <row r="923" spans="1:8" x14ac:dyDescent="0.25">
      <c r="E923" t="str">
        <f>""</f>
        <v/>
      </c>
      <c r="F923" t="str">
        <f>""</f>
        <v/>
      </c>
      <c r="H923" t="str">
        <f>"3471211393"</f>
        <v>3471211393</v>
      </c>
    </row>
    <row r="924" spans="1:8" x14ac:dyDescent="0.25">
      <c r="E924" t="str">
        <f>""</f>
        <v/>
      </c>
      <c r="F924" t="str">
        <f>""</f>
        <v/>
      </c>
      <c r="H924" t="str">
        <f>"3471211395"</f>
        <v>3471211395</v>
      </c>
    </row>
    <row r="925" spans="1:8" x14ac:dyDescent="0.25">
      <c r="E925" t="str">
        <f>""</f>
        <v/>
      </c>
      <c r="F925" t="str">
        <f>""</f>
        <v/>
      </c>
      <c r="H925" t="str">
        <f>"3471211394"</f>
        <v>3471211394</v>
      </c>
    </row>
    <row r="926" spans="1:8" x14ac:dyDescent="0.25">
      <c r="E926" t="str">
        <f>""</f>
        <v/>
      </c>
      <c r="F926" t="str">
        <f>""</f>
        <v/>
      </c>
      <c r="H926" t="str">
        <f>"3471211396"</f>
        <v>3471211396</v>
      </c>
    </row>
    <row r="927" spans="1:8" x14ac:dyDescent="0.25">
      <c r="A927" t="s">
        <v>277</v>
      </c>
      <c r="B927">
        <v>135049</v>
      </c>
      <c r="C927" s="3">
        <v>465</v>
      </c>
      <c r="D927" s="6">
        <v>44277</v>
      </c>
      <c r="E927" t="str">
        <f>"202103162196"</f>
        <v>202103162196</v>
      </c>
      <c r="F927" t="str">
        <f>"MONTH OF FEBRUARY 2021"</f>
        <v>MONTH OF FEBRUARY 2021</v>
      </c>
      <c r="G927" s="3">
        <v>465</v>
      </c>
      <c r="H927" t="str">
        <f>"MONTH OF FEBRUARY 2021"</f>
        <v>MONTH OF FEBRUARY 2021</v>
      </c>
    </row>
    <row r="928" spans="1:8" x14ac:dyDescent="0.25">
      <c r="A928" t="s">
        <v>278</v>
      </c>
      <c r="B928">
        <v>134879</v>
      </c>
      <c r="C928" s="3">
        <v>834.29</v>
      </c>
      <c r="D928" s="6">
        <v>44263</v>
      </c>
      <c r="E928" t="str">
        <f>"4009948572"</f>
        <v>4009948572</v>
      </c>
      <c r="F928" t="str">
        <f>"INV 4009948572"</f>
        <v>INV 4009948572</v>
      </c>
      <c r="G928" s="3">
        <v>834.29</v>
      </c>
      <c r="H928" t="str">
        <f>"INV 4009948572"</f>
        <v>INV 4009948572</v>
      </c>
    </row>
    <row r="929" spans="1:8" x14ac:dyDescent="0.25">
      <c r="A929" t="s">
        <v>279</v>
      </c>
      <c r="B929">
        <v>4050</v>
      </c>
      <c r="C929" s="3">
        <v>624</v>
      </c>
      <c r="D929" s="6">
        <v>44264</v>
      </c>
      <c r="E929" t="str">
        <f>"202103031943"</f>
        <v>202103031943</v>
      </c>
      <c r="F929" t="str">
        <f>"TRASH REMOVAL/PCT#4"</f>
        <v>TRASH REMOVAL/PCT#4</v>
      </c>
      <c r="G929" s="3">
        <v>409.5</v>
      </c>
      <c r="H929" t="str">
        <f>"TRASH REMOVAL/PCT#4"</f>
        <v>TRASH REMOVAL/PCT#4</v>
      </c>
    </row>
    <row r="930" spans="1:8" x14ac:dyDescent="0.25">
      <c r="E930" t="str">
        <f>"202103031944"</f>
        <v>202103031944</v>
      </c>
      <c r="F930" t="str">
        <f>"TRASH REMOVAL/PCT#4"</f>
        <v>TRASH REMOVAL/PCT#4</v>
      </c>
      <c r="G930" s="3">
        <v>214.5</v>
      </c>
      <c r="H930" t="str">
        <f>"TRASH REMOVAL/PCT#4"</f>
        <v>TRASH REMOVAL/PCT#4</v>
      </c>
    </row>
    <row r="931" spans="1:8" x14ac:dyDescent="0.25">
      <c r="A931" t="s">
        <v>279</v>
      </c>
      <c r="B931">
        <v>4103</v>
      </c>
      <c r="C931" s="3">
        <v>364</v>
      </c>
      <c r="D931" s="6">
        <v>44278</v>
      </c>
      <c r="E931" t="str">
        <f>"202103162225"</f>
        <v>202103162225</v>
      </c>
      <c r="F931" t="str">
        <f>"TRASH REMOVAL/PCT#4"</f>
        <v>TRASH REMOVAL/PCT#4</v>
      </c>
      <c r="G931" s="3">
        <v>364</v>
      </c>
      <c r="H931" t="str">
        <f>"TRASH REMOVAL/PCT#4"</f>
        <v>TRASH REMOVAL/PCT#4</v>
      </c>
    </row>
    <row r="932" spans="1:8" x14ac:dyDescent="0.25">
      <c r="A932" t="s">
        <v>280</v>
      </c>
      <c r="B932">
        <v>4118</v>
      </c>
      <c r="C932" s="3">
        <v>13000</v>
      </c>
      <c r="D932" s="6">
        <v>44278</v>
      </c>
      <c r="E932" t="str">
        <f>"884"</f>
        <v>884</v>
      </c>
      <c r="F932" t="str">
        <f>"MOWING/SHREDDING"</f>
        <v>MOWING/SHREDDING</v>
      </c>
      <c r="G932" s="3">
        <v>13000</v>
      </c>
      <c r="H932" t="str">
        <f>"MOWING/SHREDDING"</f>
        <v>MOWING/SHREDDING</v>
      </c>
    </row>
    <row r="933" spans="1:8" x14ac:dyDescent="0.25">
      <c r="A933" t="s">
        <v>281</v>
      </c>
      <c r="B933">
        <v>4125</v>
      </c>
      <c r="C933" s="3">
        <v>6724.12</v>
      </c>
      <c r="D933" s="6">
        <v>44278</v>
      </c>
      <c r="E933" t="str">
        <f>"95994752"</f>
        <v>95994752</v>
      </c>
      <c r="F933" t="str">
        <f>"ACCT#10187718/PCT#2"</f>
        <v>ACCT#10187718/PCT#2</v>
      </c>
      <c r="G933" s="3">
        <v>2533.88</v>
      </c>
      <c r="H933" t="str">
        <f>"ACCT#10187718/PCT#2"</f>
        <v>ACCT#10187718/PCT#2</v>
      </c>
    </row>
    <row r="934" spans="1:8" x14ac:dyDescent="0.25">
      <c r="E934" t="str">
        <f>"96008025"</f>
        <v>96008025</v>
      </c>
      <c r="F934" t="str">
        <f>"ACCT#10187930/PCT#2"</f>
        <v>ACCT#10187930/PCT#2</v>
      </c>
      <c r="G934" s="3">
        <v>4190.24</v>
      </c>
      <c r="H934" t="str">
        <f>"ACCT#10187930/PCT#4"</f>
        <v>ACCT#10187930/PCT#4</v>
      </c>
    </row>
    <row r="935" spans="1:8" x14ac:dyDescent="0.25">
      <c r="A935" t="s">
        <v>282</v>
      </c>
      <c r="B935">
        <v>135050</v>
      </c>
      <c r="C935" s="3">
        <v>50</v>
      </c>
      <c r="D935" s="6">
        <v>44277</v>
      </c>
      <c r="E935" t="str">
        <f>"9436326170"</f>
        <v>9436326170</v>
      </c>
      <c r="F935" t="str">
        <f>"INV 9436326170"</f>
        <v>INV 9436326170</v>
      </c>
      <c r="G935" s="3">
        <v>50</v>
      </c>
      <c r="H935" t="str">
        <f>"INV 9436326170"</f>
        <v>INV 9436326170</v>
      </c>
    </row>
    <row r="936" spans="1:8" x14ac:dyDescent="0.25">
      <c r="A936" t="s">
        <v>283</v>
      </c>
      <c r="B936">
        <v>135051</v>
      </c>
      <c r="C936" s="3">
        <v>80</v>
      </c>
      <c r="D936" s="6">
        <v>44277</v>
      </c>
      <c r="E936" t="str">
        <f>"1096"</f>
        <v>1096</v>
      </c>
      <c r="F936" t="str">
        <f>"INV 1096"</f>
        <v>INV 1096</v>
      </c>
      <c r="G936" s="3">
        <v>80</v>
      </c>
      <c r="H936" t="str">
        <f>"INV 1096"</f>
        <v>INV 1096</v>
      </c>
    </row>
    <row r="937" spans="1:8" x14ac:dyDescent="0.25">
      <c r="A937" t="s">
        <v>284</v>
      </c>
      <c r="B937">
        <v>4056</v>
      </c>
      <c r="C937" s="3">
        <v>60.24</v>
      </c>
      <c r="D937" s="6">
        <v>44264</v>
      </c>
      <c r="E937" t="str">
        <f>"21030206"</f>
        <v>21030206</v>
      </c>
      <c r="F937" t="str">
        <f>"SVC CONTRACT 02/01-03/01"</f>
        <v>SVC CONTRACT 02/01-03/01</v>
      </c>
      <c r="G937" s="3">
        <v>60.24</v>
      </c>
      <c r="H937" t="str">
        <f>"SVC CONTRACT 02/01-03/01"</f>
        <v>SVC CONTRACT 02/01-03/01</v>
      </c>
    </row>
    <row r="938" spans="1:8" x14ac:dyDescent="0.25">
      <c r="A938" t="s">
        <v>285</v>
      </c>
      <c r="B938">
        <v>135052</v>
      </c>
      <c r="C938" s="3">
        <v>25</v>
      </c>
      <c r="D938" s="6">
        <v>44277</v>
      </c>
      <c r="E938" t="str">
        <f>"202103152172"</f>
        <v>202103152172</v>
      </c>
      <c r="F938" t="str">
        <f>"TCOLE EXAM/MADISON FARRBO"</f>
        <v>TCOLE EXAM/MADISON FARRBO</v>
      </c>
      <c r="G938" s="3">
        <v>25</v>
      </c>
      <c r="H938" t="str">
        <f>"TCOLE EXAM/MADISON FARRBO"</f>
        <v>TCOLE EXAM/MADISON FARRBO</v>
      </c>
    </row>
    <row r="939" spans="1:8" x14ac:dyDescent="0.25">
      <c r="A939" t="s">
        <v>285</v>
      </c>
      <c r="B939">
        <v>135053</v>
      </c>
      <c r="C939" s="3">
        <v>25</v>
      </c>
      <c r="D939" s="6">
        <v>44277</v>
      </c>
      <c r="E939" t="str">
        <f>"202103152173"</f>
        <v>202103152173</v>
      </c>
      <c r="F939" t="str">
        <f>"TCOLE EXAM/SETH WARNER"</f>
        <v>TCOLE EXAM/SETH WARNER</v>
      </c>
      <c r="G939" s="3">
        <v>25</v>
      </c>
      <c r="H939" t="str">
        <f>"TCOLE EXAM/SETH WARNER"</f>
        <v>TCOLE EXAM/SETH WARNER</v>
      </c>
    </row>
    <row r="940" spans="1:8" x14ac:dyDescent="0.25">
      <c r="A940" t="s">
        <v>286</v>
      </c>
      <c r="B940">
        <v>4164</v>
      </c>
      <c r="C940" s="3">
        <v>221</v>
      </c>
      <c r="D940" s="6">
        <v>44278</v>
      </c>
      <c r="E940" t="str">
        <f>"2104069"</f>
        <v>2104069</v>
      </c>
      <c r="F940" t="str">
        <f>"MONTHLY BILLING"</f>
        <v>MONTHLY BILLING</v>
      </c>
      <c r="G940" s="3">
        <v>221</v>
      </c>
      <c r="H940" t="str">
        <f>"MONTHLY BILLING"</f>
        <v>MONTHLY BILLING</v>
      </c>
    </row>
    <row r="941" spans="1:8" x14ac:dyDescent="0.25">
      <c r="A941" t="s">
        <v>287</v>
      </c>
      <c r="B941">
        <v>4081</v>
      </c>
      <c r="C941" s="3">
        <v>301.93</v>
      </c>
      <c r="D941" s="6">
        <v>44264</v>
      </c>
      <c r="E941" t="str">
        <f>"202103021871"</f>
        <v>202103021871</v>
      </c>
      <c r="F941" t="str">
        <f>"TRAVEL EXPENSE/VISITING JUDGE"</f>
        <v>TRAVEL EXPENSE/VISITING JUDGE</v>
      </c>
      <c r="G941" s="3">
        <v>301.93</v>
      </c>
      <c r="H941" t="str">
        <f>"TRAVEL EXPENSE/VISITING JUDGE"</f>
        <v>TRAVEL EXPENSE/VISITING JUDGE</v>
      </c>
    </row>
    <row r="942" spans="1:8" x14ac:dyDescent="0.25">
      <c r="A942" t="s">
        <v>288</v>
      </c>
      <c r="B942">
        <v>134880</v>
      </c>
      <c r="C942" s="3">
        <v>10251.98</v>
      </c>
      <c r="D942" s="6">
        <v>44263</v>
      </c>
      <c r="E942" t="str">
        <f>"1053743"</f>
        <v>1053743</v>
      </c>
      <c r="F942" t="str">
        <f>"CUST#01-0112917/PCT#1"</f>
        <v>CUST#01-0112917/PCT#1</v>
      </c>
      <c r="G942" s="3">
        <v>240.12</v>
      </c>
      <c r="H942" t="str">
        <f>"CUST#01-0112917/PCT#1"</f>
        <v>CUST#01-0112917/PCT#1</v>
      </c>
    </row>
    <row r="943" spans="1:8" x14ac:dyDescent="0.25">
      <c r="E943" t="str">
        <f>"1056912"</f>
        <v>1056912</v>
      </c>
      <c r="F943" t="str">
        <f>"ACCT#01-0112917/PCT#3"</f>
        <v>ACCT#01-0112917/PCT#3</v>
      </c>
      <c r="G943" s="3">
        <v>3608.61</v>
      </c>
      <c r="H943" t="str">
        <f>"ACCT#01-0112917/PCT#3"</f>
        <v>ACCT#01-0112917/PCT#3</v>
      </c>
    </row>
    <row r="944" spans="1:8" x14ac:dyDescent="0.25">
      <c r="E944" t="str">
        <f>"1061287"</f>
        <v>1061287</v>
      </c>
      <c r="F944" t="str">
        <f>"ACCT#01-0112917/PCT#3"</f>
        <v>ACCT#01-0112917/PCT#3</v>
      </c>
      <c r="G944" s="3">
        <v>4267.0600000000004</v>
      </c>
      <c r="H944" t="str">
        <f>"ACCT#01-0112917/PCT#3"</f>
        <v>ACCT#01-0112917/PCT#3</v>
      </c>
    </row>
    <row r="945" spans="1:8" x14ac:dyDescent="0.25">
      <c r="E945" t="str">
        <f>"1062134-IN"</f>
        <v>1062134-IN</v>
      </c>
      <c r="F945" t="str">
        <f>"ACCT#01-0112917/PCT#4"</f>
        <v>ACCT#01-0112917/PCT#4</v>
      </c>
      <c r="G945" s="3">
        <v>2136.19</v>
      </c>
      <c r="H945" t="str">
        <f>"ACCT#01-0112917/PCT#4"</f>
        <v>ACCT#01-0112917/PCT#4</v>
      </c>
    </row>
    <row r="946" spans="1:8" x14ac:dyDescent="0.25">
      <c r="A946" t="s">
        <v>288</v>
      </c>
      <c r="B946">
        <v>135054</v>
      </c>
      <c r="C946" s="3">
        <v>11292.98</v>
      </c>
      <c r="D946" s="6">
        <v>44277</v>
      </c>
      <c r="E946" t="str">
        <f>"1067513-IN"</f>
        <v>1067513-IN</v>
      </c>
      <c r="F946" t="str">
        <f>"ACCT#01-0112917/PCT#4"</f>
        <v>ACCT#01-0112917/PCT#4</v>
      </c>
      <c r="G946" s="3">
        <v>4405.12</v>
      </c>
      <c r="H946" t="str">
        <f>"ACCT#01-0112917/PCT#4"</f>
        <v>ACCT#01-0112917/PCT#4</v>
      </c>
    </row>
    <row r="947" spans="1:8" x14ac:dyDescent="0.25">
      <c r="E947" t="str">
        <f>"1067761-IN"</f>
        <v>1067761-IN</v>
      </c>
      <c r="F947" t="str">
        <f>"ACCt#01-0112917/PCT#1"</f>
        <v>ACCt#01-0112917/PCT#1</v>
      </c>
      <c r="G947" s="3">
        <v>2984.94</v>
      </c>
      <c r="H947" t="str">
        <f>"ACCt#01-0112917/PCT#1"</f>
        <v>ACCt#01-0112917/PCT#1</v>
      </c>
    </row>
    <row r="948" spans="1:8" x14ac:dyDescent="0.25">
      <c r="E948" t="str">
        <f>"1069952-IN"</f>
        <v>1069952-IN</v>
      </c>
      <c r="F948" t="str">
        <f>"ACCT#01-0112917/PCT#3"</f>
        <v>ACCT#01-0112917/PCT#3</v>
      </c>
      <c r="G948" s="3">
        <v>3902.92</v>
      </c>
      <c r="H948" t="str">
        <f>"ACCT#01-0112917/PCT#3"</f>
        <v>ACCT#01-0112917/PCT#3</v>
      </c>
    </row>
    <row r="949" spans="1:8" x14ac:dyDescent="0.25">
      <c r="A949" t="s">
        <v>289</v>
      </c>
      <c r="B949">
        <v>4091</v>
      </c>
      <c r="C949" s="3">
        <v>5028.1000000000004</v>
      </c>
      <c r="D949" s="6">
        <v>44264</v>
      </c>
      <c r="E949" t="str">
        <f>"9729"</f>
        <v>9729</v>
      </c>
      <c r="F949" t="str">
        <f>"RIP RAP/PCT#1"</f>
        <v>RIP RAP/PCT#1</v>
      </c>
      <c r="G949" s="3">
        <v>5028.1000000000004</v>
      </c>
      <c r="H949" t="str">
        <f>"RIP RAP/PCT#1"</f>
        <v>RIP RAP/PCT#1</v>
      </c>
    </row>
    <row r="950" spans="1:8" x14ac:dyDescent="0.25">
      <c r="A950" t="s">
        <v>290</v>
      </c>
      <c r="B950">
        <v>134881</v>
      </c>
      <c r="C950" s="3">
        <v>150</v>
      </c>
      <c r="D950" s="6">
        <v>44263</v>
      </c>
      <c r="E950" t="str">
        <f>"202103021928"</f>
        <v>202103021928</v>
      </c>
      <c r="F950" t="str">
        <f>"MARCH BOND RENEWALS"</f>
        <v>MARCH BOND RENEWALS</v>
      </c>
      <c r="G950" s="3">
        <v>150</v>
      </c>
      <c r="H950" t="str">
        <f>"MARCH BOND RENEWALS"</f>
        <v>MARCH BOND RENEWALS</v>
      </c>
    </row>
    <row r="951" spans="1:8" x14ac:dyDescent="0.25">
      <c r="A951" t="s">
        <v>290</v>
      </c>
      <c r="B951">
        <v>135055</v>
      </c>
      <c r="C951" s="3">
        <v>450</v>
      </c>
      <c r="D951" s="6">
        <v>44277</v>
      </c>
      <c r="E951" t="str">
        <f>"202103162234"</f>
        <v>202103162234</v>
      </c>
      <c r="F951" t="str">
        <f>"APRIL BOND RENEWALS"</f>
        <v>APRIL BOND RENEWALS</v>
      </c>
      <c r="G951" s="3">
        <v>400</v>
      </c>
      <c r="H951" t="str">
        <f>"APRIL BOND RENEWALS"</f>
        <v>APRIL BOND RENEWALS</v>
      </c>
    </row>
    <row r="952" spans="1:8" x14ac:dyDescent="0.25">
      <c r="E952" t="str">
        <f>"6499"</f>
        <v>6499</v>
      </c>
      <c r="F952" t="str">
        <f>"INV 6499"</f>
        <v>INV 6499</v>
      </c>
      <c r="G952" s="3">
        <v>50</v>
      </c>
      <c r="H952" t="str">
        <f>"INV 6499"</f>
        <v>INV 6499</v>
      </c>
    </row>
    <row r="953" spans="1:8" x14ac:dyDescent="0.25">
      <c r="A953" t="s">
        <v>291</v>
      </c>
      <c r="B953">
        <v>134882</v>
      </c>
      <c r="C953" s="3">
        <v>875</v>
      </c>
      <c r="D953" s="6">
        <v>44263</v>
      </c>
      <c r="E953" t="str">
        <f>"312013"</f>
        <v>312013</v>
      </c>
      <c r="F953" t="str">
        <f>"MEMBER ID:256513/ESMERALDA OSO"</f>
        <v>MEMBER ID:256513/ESMERALDA OSO</v>
      </c>
      <c r="G953" s="3">
        <v>130</v>
      </c>
      <c r="H953" t="str">
        <f>"MEMBER ID:256513/ESMERALDA OSO"</f>
        <v>MEMBER ID:256513/ESMERALDA OSO</v>
      </c>
    </row>
    <row r="954" spans="1:8" x14ac:dyDescent="0.25">
      <c r="E954" t="str">
        <f>"312014"</f>
        <v>312014</v>
      </c>
      <c r="F954" t="str">
        <f>"MEMBER ID:256514/PATSY MIRELES"</f>
        <v>MEMBER ID:256514/PATSY MIRELES</v>
      </c>
      <c r="G954" s="3">
        <v>130</v>
      </c>
      <c r="H954" t="str">
        <f>"MEMBER ID:256514/PATSY MIRELES"</f>
        <v>MEMBER ID:256514/PATSY MIRELES</v>
      </c>
    </row>
    <row r="955" spans="1:8" x14ac:dyDescent="0.25">
      <c r="E955" t="str">
        <f>"312015"</f>
        <v>312015</v>
      </c>
      <c r="F955" t="str">
        <f>"MEMBER ID:256513/ESMERALDA OSO"</f>
        <v>MEMBER ID:256513/ESMERALDA OSO</v>
      </c>
      <c r="G955" s="3">
        <v>130</v>
      </c>
      <c r="H955" t="str">
        <f>"MEMBER ID:256513/ESMERALDA OSO"</f>
        <v>MEMBER ID:256513/ESMERALDA OSO</v>
      </c>
    </row>
    <row r="956" spans="1:8" x14ac:dyDescent="0.25">
      <c r="E956" t="str">
        <f>"312016"</f>
        <v>312016</v>
      </c>
      <c r="F956" t="str">
        <f>"MEMBER ID:256514/PATSY MIRELES"</f>
        <v>MEMBER ID:256514/PATSY MIRELES</v>
      </c>
      <c r="G956" s="3">
        <v>130</v>
      </c>
      <c r="H956" t="str">
        <f>"MEMBER ID:256514/PATSY MIRELES"</f>
        <v>MEMBER ID:256514/PATSY MIRELES</v>
      </c>
    </row>
    <row r="957" spans="1:8" x14ac:dyDescent="0.25">
      <c r="E957" t="str">
        <f>"312033"</f>
        <v>312033</v>
      </c>
      <c r="F957" t="str">
        <f>"MEMBER ID:255680/ELLEN OWENS"</f>
        <v>MEMBER ID:255680/ELLEN OWENS</v>
      </c>
      <c r="G957" s="3">
        <v>130</v>
      </c>
      <c r="H957" t="str">
        <f>"MEMBER ID:255680/ELLEN OWENS"</f>
        <v>MEMBER ID:255680/ELLEN OWENS</v>
      </c>
    </row>
    <row r="958" spans="1:8" x14ac:dyDescent="0.25">
      <c r="E958" t="str">
        <f>"312034"</f>
        <v>312034</v>
      </c>
      <c r="F958" t="str">
        <f>"MEMBER ID:255680/ELLEN OWENS"</f>
        <v>MEMBER ID:255680/ELLEN OWENS</v>
      </c>
      <c r="G958" s="3">
        <v>130</v>
      </c>
      <c r="H958" t="str">
        <f>"MEMBER ID:255680/ELLEN OWENS"</f>
        <v>MEMBER ID:255680/ELLEN OWENS</v>
      </c>
    </row>
    <row r="959" spans="1:8" x14ac:dyDescent="0.25">
      <c r="E959" t="str">
        <f>"68850"</f>
        <v>68850</v>
      </c>
      <c r="F959" t="str">
        <f>"MEMBERSHIP DUES/C.ALLEN"</f>
        <v>MEMBERSHIP DUES/C.ALLEN</v>
      </c>
      <c r="G959" s="3">
        <v>60</v>
      </c>
      <c r="H959" t="str">
        <f>"MEMBERSHIP DUES/C.ALLEN"</f>
        <v>MEMBERSHIP DUES/C.ALLEN</v>
      </c>
    </row>
    <row r="960" spans="1:8" x14ac:dyDescent="0.25">
      <c r="E960" t="str">
        <f>"7023"</f>
        <v>7023</v>
      </c>
      <c r="F960" t="str">
        <f>"JPCA MEMBERSHIP DUES"</f>
        <v>JPCA MEMBERSHIP DUES</v>
      </c>
      <c r="G960" s="3">
        <v>35</v>
      </c>
      <c r="H960" t="str">
        <f>"JPCA MEMBERSHIP DUES"</f>
        <v>JPCA MEMBERSHIP DUES</v>
      </c>
    </row>
    <row r="961" spans="1:8" x14ac:dyDescent="0.25">
      <c r="A961" t="s">
        <v>291</v>
      </c>
      <c r="B961">
        <v>135056</v>
      </c>
      <c r="C961" s="3">
        <v>91527.43</v>
      </c>
      <c r="D961" s="6">
        <v>44277</v>
      </c>
      <c r="E961" t="str">
        <f>"30604-WC2"</f>
        <v>30604-WC2</v>
      </c>
      <c r="F961" t="str">
        <f>"2ND QTR INVOICE/WORKERS COMP"</f>
        <v>2ND QTR INVOICE/WORKERS COMP</v>
      </c>
      <c r="G961" s="3">
        <v>91527.43</v>
      </c>
      <c r="H961" t="str">
        <f t="shared" ref="H961:H1007" si="18">"2ND QTR INVOICE/WORKERS COMP"</f>
        <v>2ND QTR INVOICE/WORKERS COMP</v>
      </c>
    </row>
    <row r="962" spans="1:8" x14ac:dyDescent="0.25">
      <c r="E962" t="str">
        <f>""</f>
        <v/>
      </c>
      <c r="F962" t="str">
        <f>""</f>
        <v/>
      </c>
      <c r="H962" t="str">
        <f t="shared" si="18"/>
        <v>2ND QTR INVOICE/WORKERS COMP</v>
      </c>
    </row>
    <row r="963" spans="1:8" x14ac:dyDescent="0.25">
      <c r="E963" t="str">
        <f>""</f>
        <v/>
      </c>
      <c r="F963" t="str">
        <f>""</f>
        <v/>
      </c>
      <c r="H963" t="str">
        <f t="shared" si="18"/>
        <v>2ND QTR INVOICE/WORKERS COMP</v>
      </c>
    </row>
    <row r="964" spans="1:8" x14ac:dyDescent="0.25">
      <c r="E964" t="str">
        <f>""</f>
        <v/>
      </c>
      <c r="F964" t="str">
        <f>""</f>
        <v/>
      </c>
      <c r="H964" t="str">
        <f t="shared" si="18"/>
        <v>2ND QTR INVOICE/WORKERS COMP</v>
      </c>
    </row>
    <row r="965" spans="1:8" x14ac:dyDescent="0.25">
      <c r="E965" t="str">
        <f>""</f>
        <v/>
      </c>
      <c r="F965" t="str">
        <f>""</f>
        <v/>
      </c>
      <c r="H965" t="str">
        <f t="shared" si="18"/>
        <v>2ND QTR INVOICE/WORKERS COMP</v>
      </c>
    </row>
    <row r="966" spans="1:8" x14ac:dyDescent="0.25">
      <c r="E966" t="str">
        <f>""</f>
        <v/>
      </c>
      <c r="F966" t="str">
        <f>""</f>
        <v/>
      </c>
      <c r="H966" t="str">
        <f t="shared" si="18"/>
        <v>2ND QTR INVOICE/WORKERS COMP</v>
      </c>
    </row>
    <row r="967" spans="1:8" x14ac:dyDescent="0.25">
      <c r="E967" t="str">
        <f>""</f>
        <v/>
      </c>
      <c r="F967" t="str">
        <f>""</f>
        <v/>
      </c>
      <c r="H967" t="str">
        <f t="shared" si="18"/>
        <v>2ND QTR INVOICE/WORKERS COMP</v>
      </c>
    </row>
    <row r="968" spans="1:8" x14ac:dyDescent="0.25">
      <c r="E968" t="str">
        <f>""</f>
        <v/>
      </c>
      <c r="F968" t="str">
        <f>""</f>
        <v/>
      </c>
      <c r="H968" t="str">
        <f t="shared" si="18"/>
        <v>2ND QTR INVOICE/WORKERS COMP</v>
      </c>
    </row>
    <row r="969" spans="1:8" x14ac:dyDescent="0.25">
      <c r="E969" t="str">
        <f>""</f>
        <v/>
      </c>
      <c r="F969" t="str">
        <f>""</f>
        <v/>
      </c>
      <c r="H969" t="str">
        <f t="shared" si="18"/>
        <v>2ND QTR INVOICE/WORKERS COMP</v>
      </c>
    </row>
    <row r="970" spans="1:8" x14ac:dyDescent="0.25">
      <c r="E970" t="str">
        <f>""</f>
        <v/>
      </c>
      <c r="F970" t="str">
        <f>""</f>
        <v/>
      </c>
      <c r="H970" t="str">
        <f t="shared" si="18"/>
        <v>2ND QTR INVOICE/WORKERS COMP</v>
      </c>
    </row>
    <row r="971" spans="1:8" x14ac:dyDescent="0.25">
      <c r="E971" t="str">
        <f>""</f>
        <v/>
      </c>
      <c r="F971" t="str">
        <f>""</f>
        <v/>
      </c>
      <c r="H971" t="str">
        <f t="shared" si="18"/>
        <v>2ND QTR INVOICE/WORKERS COMP</v>
      </c>
    </row>
    <row r="972" spans="1:8" x14ac:dyDescent="0.25">
      <c r="E972" t="str">
        <f>""</f>
        <v/>
      </c>
      <c r="F972" t="str">
        <f>""</f>
        <v/>
      </c>
      <c r="H972" t="str">
        <f t="shared" si="18"/>
        <v>2ND QTR INVOICE/WORKERS COMP</v>
      </c>
    </row>
    <row r="973" spans="1:8" x14ac:dyDescent="0.25">
      <c r="E973" t="str">
        <f>""</f>
        <v/>
      </c>
      <c r="F973" t="str">
        <f>""</f>
        <v/>
      </c>
      <c r="H973" t="str">
        <f t="shared" si="18"/>
        <v>2ND QTR INVOICE/WORKERS COMP</v>
      </c>
    </row>
    <row r="974" spans="1:8" x14ac:dyDescent="0.25">
      <c r="E974" t="str">
        <f>""</f>
        <v/>
      </c>
      <c r="F974" t="str">
        <f>""</f>
        <v/>
      </c>
      <c r="H974" t="str">
        <f t="shared" si="18"/>
        <v>2ND QTR INVOICE/WORKERS COMP</v>
      </c>
    </row>
    <row r="975" spans="1:8" x14ac:dyDescent="0.25">
      <c r="E975" t="str">
        <f>""</f>
        <v/>
      </c>
      <c r="F975" t="str">
        <f>""</f>
        <v/>
      </c>
      <c r="H975" t="str">
        <f t="shared" si="18"/>
        <v>2ND QTR INVOICE/WORKERS COMP</v>
      </c>
    </row>
    <row r="976" spans="1:8" x14ac:dyDescent="0.25">
      <c r="E976" t="str">
        <f>""</f>
        <v/>
      </c>
      <c r="F976" t="str">
        <f>""</f>
        <v/>
      </c>
      <c r="H976" t="str">
        <f t="shared" si="18"/>
        <v>2ND QTR INVOICE/WORKERS COMP</v>
      </c>
    </row>
    <row r="977" spans="5:8" x14ac:dyDescent="0.25">
      <c r="E977" t="str">
        <f>""</f>
        <v/>
      </c>
      <c r="F977" t="str">
        <f>""</f>
        <v/>
      </c>
      <c r="H977" t="str">
        <f t="shared" si="18"/>
        <v>2ND QTR INVOICE/WORKERS COMP</v>
      </c>
    </row>
    <row r="978" spans="5:8" x14ac:dyDescent="0.25">
      <c r="E978" t="str">
        <f>""</f>
        <v/>
      </c>
      <c r="F978" t="str">
        <f>""</f>
        <v/>
      </c>
      <c r="H978" t="str">
        <f t="shared" si="18"/>
        <v>2ND QTR INVOICE/WORKERS COMP</v>
      </c>
    </row>
    <row r="979" spans="5:8" x14ac:dyDescent="0.25">
      <c r="E979" t="str">
        <f>""</f>
        <v/>
      </c>
      <c r="F979" t="str">
        <f>""</f>
        <v/>
      </c>
      <c r="H979" t="str">
        <f t="shared" si="18"/>
        <v>2ND QTR INVOICE/WORKERS COMP</v>
      </c>
    </row>
    <row r="980" spans="5:8" x14ac:dyDescent="0.25">
      <c r="E980" t="str">
        <f>""</f>
        <v/>
      </c>
      <c r="F980" t="str">
        <f>""</f>
        <v/>
      </c>
      <c r="H980" t="str">
        <f t="shared" si="18"/>
        <v>2ND QTR INVOICE/WORKERS COMP</v>
      </c>
    </row>
    <row r="981" spans="5:8" x14ac:dyDescent="0.25">
      <c r="E981" t="str">
        <f>""</f>
        <v/>
      </c>
      <c r="F981" t="str">
        <f>""</f>
        <v/>
      </c>
      <c r="H981" t="str">
        <f t="shared" si="18"/>
        <v>2ND QTR INVOICE/WORKERS COMP</v>
      </c>
    </row>
    <row r="982" spans="5:8" x14ac:dyDescent="0.25">
      <c r="E982" t="str">
        <f>""</f>
        <v/>
      </c>
      <c r="F982" t="str">
        <f>""</f>
        <v/>
      </c>
      <c r="H982" t="str">
        <f t="shared" si="18"/>
        <v>2ND QTR INVOICE/WORKERS COMP</v>
      </c>
    </row>
    <row r="983" spans="5:8" x14ac:dyDescent="0.25">
      <c r="E983" t="str">
        <f>""</f>
        <v/>
      </c>
      <c r="F983" t="str">
        <f>""</f>
        <v/>
      </c>
      <c r="H983" t="str">
        <f t="shared" si="18"/>
        <v>2ND QTR INVOICE/WORKERS COMP</v>
      </c>
    </row>
    <row r="984" spans="5:8" x14ac:dyDescent="0.25">
      <c r="E984" t="str">
        <f>""</f>
        <v/>
      </c>
      <c r="F984" t="str">
        <f>""</f>
        <v/>
      </c>
      <c r="H984" t="str">
        <f t="shared" si="18"/>
        <v>2ND QTR INVOICE/WORKERS COMP</v>
      </c>
    </row>
    <row r="985" spans="5:8" x14ac:dyDescent="0.25">
      <c r="E985" t="str">
        <f>""</f>
        <v/>
      </c>
      <c r="F985" t="str">
        <f>""</f>
        <v/>
      </c>
      <c r="H985" t="str">
        <f t="shared" si="18"/>
        <v>2ND QTR INVOICE/WORKERS COMP</v>
      </c>
    </row>
    <row r="986" spans="5:8" x14ac:dyDescent="0.25">
      <c r="E986" t="str">
        <f>""</f>
        <v/>
      </c>
      <c r="F986" t="str">
        <f>""</f>
        <v/>
      </c>
      <c r="H986" t="str">
        <f t="shared" si="18"/>
        <v>2ND QTR INVOICE/WORKERS COMP</v>
      </c>
    </row>
    <row r="987" spans="5:8" x14ac:dyDescent="0.25">
      <c r="E987" t="str">
        <f>""</f>
        <v/>
      </c>
      <c r="F987" t="str">
        <f>""</f>
        <v/>
      </c>
      <c r="H987" t="str">
        <f t="shared" si="18"/>
        <v>2ND QTR INVOICE/WORKERS COMP</v>
      </c>
    </row>
    <row r="988" spans="5:8" x14ac:dyDescent="0.25">
      <c r="E988" t="str">
        <f>""</f>
        <v/>
      </c>
      <c r="F988" t="str">
        <f>""</f>
        <v/>
      </c>
      <c r="H988" t="str">
        <f t="shared" si="18"/>
        <v>2ND QTR INVOICE/WORKERS COMP</v>
      </c>
    </row>
    <row r="989" spans="5:8" x14ac:dyDescent="0.25">
      <c r="E989" t="str">
        <f>""</f>
        <v/>
      </c>
      <c r="F989" t="str">
        <f>""</f>
        <v/>
      </c>
      <c r="H989" t="str">
        <f t="shared" si="18"/>
        <v>2ND QTR INVOICE/WORKERS COMP</v>
      </c>
    </row>
    <row r="990" spans="5:8" x14ac:dyDescent="0.25">
      <c r="E990" t="str">
        <f>""</f>
        <v/>
      </c>
      <c r="F990" t="str">
        <f>""</f>
        <v/>
      </c>
      <c r="H990" t="str">
        <f t="shared" si="18"/>
        <v>2ND QTR INVOICE/WORKERS COMP</v>
      </c>
    </row>
    <row r="991" spans="5:8" x14ac:dyDescent="0.25">
      <c r="E991" t="str">
        <f>""</f>
        <v/>
      </c>
      <c r="F991" t="str">
        <f>""</f>
        <v/>
      </c>
      <c r="H991" t="str">
        <f t="shared" si="18"/>
        <v>2ND QTR INVOICE/WORKERS COMP</v>
      </c>
    </row>
    <row r="992" spans="5:8" x14ac:dyDescent="0.25">
      <c r="E992" t="str">
        <f>""</f>
        <v/>
      </c>
      <c r="F992" t="str">
        <f>""</f>
        <v/>
      </c>
      <c r="H992" t="str">
        <f t="shared" si="18"/>
        <v>2ND QTR INVOICE/WORKERS COMP</v>
      </c>
    </row>
    <row r="993" spans="1:8" x14ac:dyDescent="0.25">
      <c r="E993" t="str">
        <f>""</f>
        <v/>
      </c>
      <c r="F993" t="str">
        <f>""</f>
        <v/>
      </c>
      <c r="H993" t="str">
        <f t="shared" si="18"/>
        <v>2ND QTR INVOICE/WORKERS COMP</v>
      </c>
    </row>
    <row r="994" spans="1:8" x14ac:dyDescent="0.25">
      <c r="E994" t="str">
        <f>""</f>
        <v/>
      </c>
      <c r="F994" t="str">
        <f>""</f>
        <v/>
      </c>
      <c r="H994" t="str">
        <f t="shared" si="18"/>
        <v>2ND QTR INVOICE/WORKERS COMP</v>
      </c>
    </row>
    <row r="995" spans="1:8" x14ac:dyDescent="0.25">
      <c r="E995" t="str">
        <f>""</f>
        <v/>
      </c>
      <c r="F995" t="str">
        <f>""</f>
        <v/>
      </c>
      <c r="H995" t="str">
        <f t="shared" si="18"/>
        <v>2ND QTR INVOICE/WORKERS COMP</v>
      </c>
    </row>
    <row r="996" spans="1:8" x14ac:dyDescent="0.25">
      <c r="E996" t="str">
        <f>""</f>
        <v/>
      </c>
      <c r="F996" t="str">
        <f>""</f>
        <v/>
      </c>
      <c r="H996" t="str">
        <f t="shared" si="18"/>
        <v>2ND QTR INVOICE/WORKERS COMP</v>
      </c>
    </row>
    <row r="997" spans="1:8" x14ac:dyDescent="0.25">
      <c r="E997" t="str">
        <f>""</f>
        <v/>
      </c>
      <c r="F997" t="str">
        <f>""</f>
        <v/>
      </c>
      <c r="H997" t="str">
        <f t="shared" si="18"/>
        <v>2ND QTR INVOICE/WORKERS COMP</v>
      </c>
    </row>
    <row r="998" spans="1:8" x14ac:dyDescent="0.25">
      <c r="E998" t="str">
        <f>""</f>
        <v/>
      </c>
      <c r="F998" t="str">
        <f>""</f>
        <v/>
      </c>
      <c r="H998" t="str">
        <f t="shared" si="18"/>
        <v>2ND QTR INVOICE/WORKERS COMP</v>
      </c>
    </row>
    <row r="999" spans="1:8" x14ac:dyDescent="0.25">
      <c r="E999" t="str">
        <f>""</f>
        <v/>
      </c>
      <c r="F999" t="str">
        <f>""</f>
        <v/>
      </c>
      <c r="H999" t="str">
        <f t="shared" si="18"/>
        <v>2ND QTR INVOICE/WORKERS COMP</v>
      </c>
    </row>
    <row r="1000" spans="1:8" x14ac:dyDescent="0.25">
      <c r="E1000" t="str">
        <f>""</f>
        <v/>
      </c>
      <c r="F1000" t="str">
        <f>""</f>
        <v/>
      </c>
      <c r="H1000" t="str">
        <f t="shared" si="18"/>
        <v>2ND QTR INVOICE/WORKERS COMP</v>
      </c>
    </row>
    <row r="1001" spans="1:8" x14ac:dyDescent="0.25">
      <c r="E1001" t="str">
        <f>""</f>
        <v/>
      </c>
      <c r="F1001" t="str">
        <f>""</f>
        <v/>
      </c>
      <c r="H1001" t="str">
        <f t="shared" si="18"/>
        <v>2ND QTR INVOICE/WORKERS COMP</v>
      </c>
    </row>
    <row r="1002" spans="1:8" x14ac:dyDescent="0.25">
      <c r="E1002" t="str">
        <f>""</f>
        <v/>
      </c>
      <c r="F1002" t="str">
        <f>""</f>
        <v/>
      </c>
      <c r="H1002" t="str">
        <f t="shared" si="18"/>
        <v>2ND QTR INVOICE/WORKERS COMP</v>
      </c>
    </row>
    <row r="1003" spans="1:8" x14ac:dyDescent="0.25">
      <c r="E1003" t="str">
        <f>""</f>
        <v/>
      </c>
      <c r="F1003" t="str">
        <f>""</f>
        <v/>
      </c>
      <c r="H1003" t="str">
        <f t="shared" si="18"/>
        <v>2ND QTR INVOICE/WORKERS COMP</v>
      </c>
    </row>
    <row r="1004" spans="1:8" x14ac:dyDescent="0.25">
      <c r="E1004" t="str">
        <f>""</f>
        <v/>
      </c>
      <c r="F1004" t="str">
        <f>""</f>
        <v/>
      </c>
      <c r="H1004" t="str">
        <f t="shared" si="18"/>
        <v>2ND QTR INVOICE/WORKERS COMP</v>
      </c>
    </row>
    <row r="1005" spans="1:8" x14ac:dyDescent="0.25">
      <c r="E1005" t="str">
        <f>""</f>
        <v/>
      </c>
      <c r="F1005" t="str">
        <f>""</f>
        <v/>
      </c>
      <c r="H1005" t="str">
        <f t="shared" si="18"/>
        <v>2ND QTR INVOICE/WORKERS COMP</v>
      </c>
    </row>
    <row r="1006" spans="1:8" x14ac:dyDescent="0.25">
      <c r="E1006" t="str">
        <f>""</f>
        <v/>
      </c>
      <c r="F1006" t="str">
        <f>""</f>
        <v/>
      </c>
      <c r="H1006" t="str">
        <f t="shared" si="18"/>
        <v>2ND QTR INVOICE/WORKERS COMP</v>
      </c>
    </row>
    <row r="1007" spans="1:8" x14ac:dyDescent="0.25">
      <c r="E1007" t="str">
        <f>""</f>
        <v/>
      </c>
      <c r="F1007" t="str">
        <f>""</f>
        <v/>
      </c>
      <c r="H1007" t="str">
        <f t="shared" si="18"/>
        <v>2ND QTR INVOICE/WORKERS COMP</v>
      </c>
    </row>
    <row r="1008" spans="1:8" x14ac:dyDescent="0.25">
      <c r="A1008" t="s">
        <v>291</v>
      </c>
      <c r="B1008">
        <v>135057</v>
      </c>
      <c r="C1008" s="3">
        <v>860</v>
      </c>
      <c r="D1008" s="6">
        <v>44277</v>
      </c>
      <c r="E1008" t="str">
        <f>"312377"</f>
        <v>312377</v>
      </c>
      <c r="F1008" t="str">
        <f>"MEMBER ID#255680/ELLEN OWENS"</f>
        <v>MEMBER ID#255680/ELLEN OWENS</v>
      </c>
      <c r="G1008" s="3">
        <v>325</v>
      </c>
      <c r="H1008" t="str">
        <f>"MEMBER ID#255680/ELLEN OWENS"</f>
        <v>MEMBER ID#255680/ELLEN OWENS</v>
      </c>
    </row>
    <row r="1009" spans="1:8" x14ac:dyDescent="0.25">
      <c r="E1009" t="str">
        <f>"98993"</f>
        <v>98993</v>
      </c>
      <c r="F1009" t="str">
        <f>"ACCT#250078/ DIANE MONTOYA"</f>
        <v>ACCT#250078/ DIANE MONTOYA</v>
      </c>
      <c r="G1009" s="3">
        <v>35</v>
      </c>
      <c r="H1009" t="str">
        <f>"ACCT#250078/ DIANE MONTOYA"</f>
        <v>ACCT#250078/ DIANE MONTOYA</v>
      </c>
    </row>
    <row r="1010" spans="1:8" x14ac:dyDescent="0.25">
      <c r="E1010" t="str">
        <f>"R312600"</f>
        <v>R312600</v>
      </c>
      <c r="F1010" t="str">
        <f>"ACCT#256514/PATSY MIRELES"</f>
        <v>ACCT#256514/PATSY MIRELES</v>
      </c>
      <c r="G1010" s="3">
        <v>250</v>
      </c>
      <c r="H1010" t="str">
        <f>"ACCT#256514/PATSY MIRELES"</f>
        <v>ACCT#256514/PATSY MIRELES</v>
      </c>
    </row>
    <row r="1011" spans="1:8" x14ac:dyDescent="0.25">
      <c r="E1011" t="str">
        <f>"R312602"</f>
        <v>R312602</v>
      </c>
      <c r="F1011" t="str">
        <f>"ACCT#256513/ESMERALDA O."</f>
        <v>ACCT#256513/ESMERALDA O.</v>
      </c>
      <c r="G1011" s="3">
        <v>250</v>
      </c>
      <c r="H1011" t="str">
        <f>"ACCT#256513/ESMERALDA O."</f>
        <v>ACCT#256513/ESMERALDA O.</v>
      </c>
    </row>
    <row r="1012" spans="1:8" x14ac:dyDescent="0.25">
      <c r="A1012" t="s">
        <v>292</v>
      </c>
      <c r="B1012">
        <v>135058</v>
      </c>
      <c r="C1012" s="3">
        <v>270</v>
      </c>
      <c r="D1012" s="6">
        <v>44277</v>
      </c>
      <c r="E1012" t="str">
        <f>"202103172248"</f>
        <v>202103172248</v>
      </c>
      <c r="F1012" t="str">
        <f>"OVE AXLE/OVER GROSS PERMIT"</f>
        <v>OVE AXLE/OVER GROSS PERMIT</v>
      </c>
      <c r="G1012" s="3">
        <v>270</v>
      </c>
      <c r="H1012" t="str">
        <f>"OVE AXLE/OVER GROSS PERMIT"</f>
        <v>OVE AXLE/OVER GROSS PERMIT</v>
      </c>
    </row>
    <row r="1013" spans="1:8" x14ac:dyDescent="0.25">
      <c r="A1013" t="s">
        <v>293</v>
      </c>
      <c r="B1013">
        <v>134883</v>
      </c>
      <c r="C1013" s="3">
        <v>8</v>
      </c>
      <c r="D1013" s="6">
        <v>44263</v>
      </c>
      <c r="E1013" t="str">
        <f>"208876"</f>
        <v>208876</v>
      </c>
      <c r="F1013" t="str">
        <f>"RTI#210010"</f>
        <v>RTI#210010</v>
      </c>
      <c r="G1013" s="3">
        <v>8</v>
      </c>
      <c r="H1013" t="str">
        <f>"RTI#210010"</f>
        <v>RTI#210010</v>
      </c>
    </row>
    <row r="1014" spans="1:8" x14ac:dyDescent="0.25">
      <c r="A1014" t="s">
        <v>293</v>
      </c>
      <c r="B1014">
        <v>134884</v>
      </c>
      <c r="C1014" s="3">
        <v>160</v>
      </c>
      <c r="D1014" s="6">
        <v>44263</v>
      </c>
      <c r="E1014" t="str">
        <f>"16884"</f>
        <v>16884</v>
      </c>
      <c r="F1014" t="str">
        <f>"RESTITUTION N. GARCIA"</f>
        <v>RESTITUTION N. GARCIA</v>
      </c>
      <c r="G1014" s="3">
        <v>160</v>
      </c>
      <c r="H1014" t="str">
        <f>"RESTITUTION N. GARCIA"</f>
        <v>RESTITUTION N. GARCIA</v>
      </c>
    </row>
    <row r="1015" spans="1:8" x14ac:dyDescent="0.25">
      <c r="A1015" t="s">
        <v>294</v>
      </c>
      <c r="B1015">
        <v>134885</v>
      </c>
      <c r="C1015" s="3">
        <v>155</v>
      </c>
      <c r="D1015" s="6">
        <v>44263</v>
      </c>
      <c r="E1015" t="str">
        <f>"5824033"</f>
        <v>5824033</v>
      </c>
      <c r="F1015" t="str">
        <f>"CUST#1-238865"</f>
        <v>CUST#1-238865</v>
      </c>
      <c r="G1015" s="3">
        <v>155</v>
      </c>
      <c r="H1015" t="str">
        <f>"CUST#1-238865"</f>
        <v>CUST#1-238865</v>
      </c>
    </row>
    <row r="1016" spans="1:8" x14ac:dyDescent="0.25">
      <c r="A1016" t="s">
        <v>295</v>
      </c>
      <c r="B1016">
        <v>135059</v>
      </c>
      <c r="C1016" s="3">
        <v>300</v>
      </c>
      <c r="D1016" s="6">
        <v>44277</v>
      </c>
      <c r="E1016" t="str">
        <f>"12793"</f>
        <v>12793</v>
      </c>
      <c r="F1016" t="str">
        <f>"REGISTRATION/ADENA LAWIS"</f>
        <v>REGISTRATION/ADENA LAWIS</v>
      </c>
      <c r="G1016" s="3">
        <v>300</v>
      </c>
      <c r="H1016" t="str">
        <f>"REGISTRATION/ADENA LAWIS"</f>
        <v>REGISTRATION/ADENA LAWIS</v>
      </c>
    </row>
    <row r="1017" spans="1:8" x14ac:dyDescent="0.25">
      <c r="A1017" t="s">
        <v>296</v>
      </c>
      <c r="B1017">
        <v>135060</v>
      </c>
      <c r="C1017" s="3">
        <v>990</v>
      </c>
      <c r="D1017" s="6">
        <v>44277</v>
      </c>
      <c r="E1017" t="str">
        <f>"4474"</f>
        <v>4474</v>
      </c>
      <c r="F1017" t="str">
        <f>"TRAINING INVOICE 4474"</f>
        <v>TRAINING INVOICE 4474</v>
      </c>
      <c r="G1017" s="3">
        <v>595</v>
      </c>
      <c r="H1017" t="str">
        <f>"TRAINING INV 4474"</f>
        <v>TRAINING INV 4474</v>
      </c>
    </row>
    <row r="1018" spans="1:8" x14ac:dyDescent="0.25">
      <c r="E1018" t="str">
        <f>"4478"</f>
        <v>4478</v>
      </c>
      <c r="F1018" t="str">
        <f>"TRAINING INV 4478"</f>
        <v>TRAINING INV 4478</v>
      </c>
      <c r="G1018" s="3">
        <v>395</v>
      </c>
      <c r="H1018" t="str">
        <f>"TRAINING INV 4478"</f>
        <v>TRAINING INV 4478</v>
      </c>
    </row>
    <row r="1019" spans="1:8" x14ac:dyDescent="0.25">
      <c r="A1019" t="s">
        <v>297</v>
      </c>
      <c r="B1019">
        <v>134886</v>
      </c>
      <c r="C1019" s="3">
        <v>75</v>
      </c>
      <c r="D1019" s="6">
        <v>44263</v>
      </c>
      <c r="E1019" t="str">
        <f>"19710"</f>
        <v>19710</v>
      </c>
      <c r="F1019" t="str">
        <f>"MEMBERSHIP DUES/RAYMA DAVIS"</f>
        <v>MEMBERSHIP DUES/RAYMA DAVIS</v>
      </c>
      <c r="G1019" s="3">
        <v>75</v>
      </c>
      <c r="H1019" t="str">
        <f>"MEMBERSHIP DUES/RAYMA DAVIS"</f>
        <v>MEMBERSHIP DUES/RAYMA DAVIS</v>
      </c>
    </row>
    <row r="1020" spans="1:8" x14ac:dyDescent="0.25">
      <c r="A1020" t="s">
        <v>298</v>
      </c>
      <c r="B1020">
        <v>134887</v>
      </c>
      <c r="C1020" s="3">
        <v>100</v>
      </c>
      <c r="D1020" s="6">
        <v>44263</v>
      </c>
      <c r="E1020" t="str">
        <f>"54534"</f>
        <v>54534</v>
      </c>
      <c r="F1020" t="str">
        <f>"TRAINING N. GONZALES"</f>
        <v>TRAINING N. GONZALES</v>
      </c>
      <c r="G1020" s="3">
        <v>50</v>
      </c>
      <c r="H1020" t="str">
        <f>"TRAINING N. GONZALES"</f>
        <v>TRAINING N. GONZALES</v>
      </c>
    </row>
    <row r="1021" spans="1:8" x14ac:dyDescent="0.25">
      <c r="E1021" t="str">
        <f>"54652"</f>
        <v>54652</v>
      </c>
      <c r="F1021" t="str">
        <f>"TEXAS JUSTICE COURT TRAINING C"</f>
        <v>TEXAS JUSTICE COURT TRAINING C</v>
      </c>
      <c r="G1021" s="3">
        <v>50</v>
      </c>
      <c r="H1021" t="str">
        <f>"TEXAS JUSTICE COURT TRAINING C"</f>
        <v>TEXAS JUSTICE COURT TRAINING C</v>
      </c>
    </row>
    <row r="1022" spans="1:8" x14ac:dyDescent="0.25">
      <c r="A1022" t="s">
        <v>299</v>
      </c>
      <c r="B1022">
        <v>135061</v>
      </c>
      <c r="C1022" s="3">
        <v>654.5</v>
      </c>
      <c r="D1022" s="6">
        <v>44277</v>
      </c>
      <c r="E1022" t="str">
        <f>"J2-69201"</f>
        <v>J2-69201</v>
      </c>
      <c r="F1022" t="str">
        <f>"A8329872/RODERICK FLETCHER"</f>
        <v>A8329872/RODERICK FLETCHER</v>
      </c>
      <c r="G1022" s="3">
        <v>382.5</v>
      </c>
      <c r="H1022" t="str">
        <f>"A8329872/RODERICK FLETCHER"</f>
        <v>A8329872/RODERICK FLETCHER</v>
      </c>
    </row>
    <row r="1023" spans="1:8" x14ac:dyDescent="0.25">
      <c r="E1023" t="str">
        <f>"J2-69204"</f>
        <v>J2-69204</v>
      </c>
      <c r="F1023" t="str">
        <f>"A8329871/RONALD MANSFIELD"</f>
        <v>A8329871/RONALD MANSFIELD</v>
      </c>
      <c r="G1023" s="3">
        <v>114.75</v>
      </c>
      <c r="H1023" t="str">
        <f>"A8329871/RONALD MANSFIELD"</f>
        <v>A8329871/RONALD MANSFIELD</v>
      </c>
    </row>
    <row r="1024" spans="1:8" x14ac:dyDescent="0.25">
      <c r="E1024" t="str">
        <f>"J2-69318"</f>
        <v>J2-69318</v>
      </c>
      <c r="F1024" t="str">
        <f>"A8270658/LISA LAVEDAN"</f>
        <v>A8270658/LISA LAVEDAN</v>
      </c>
      <c r="G1024" s="3">
        <v>157.25</v>
      </c>
      <c r="H1024" t="str">
        <f>"A8270658/LISA LAVEDAN"</f>
        <v>A8270658/LISA LAVEDAN</v>
      </c>
    </row>
    <row r="1025" spans="1:8" x14ac:dyDescent="0.25">
      <c r="A1025" t="s">
        <v>300</v>
      </c>
      <c r="B1025">
        <v>135062</v>
      </c>
      <c r="C1025" s="3">
        <v>50</v>
      </c>
      <c r="D1025" s="6">
        <v>44277</v>
      </c>
      <c r="E1025" t="str">
        <f>"DE-10-2021"</f>
        <v>DE-10-2021</v>
      </c>
      <c r="F1025" t="str">
        <f>"TRAINING/ CONNIE RABEL"</f>
        <v>TRAINING/ CONNIE RABEL</v>
      </c>
      <c r="G1025" s="3">
        <v>50</v>
      </c>
      <c r="H1025" t="str">
        <f>"TRAINING/ CONNIE RABEL"</f>
        <v>TRAINING/ CONNIE RABEL</v>
      </c>
    </row>
    <row r="1026" spans="1:8" x14ac:dyDescent="0.25">
      <c r="A1026" t="s">
        <v>301</v>
      </c>
      <c r="B1026">
        <v>4059</v>
      </c>
      <c r="C1026" s="3">
        <v>882</v>
      </c>
      <c r="D1026" s="6">
        <v>44264</v>
      </c>
      <c r="E1026" t="str">
        <f>"207622"</f>
        <v>207622</v>
      </c>
      <c r="F1026" t="str">
        <f>"ACCT#188757/LBJ BUILDING"</f>
        <v>ACCT#188757/LBJ BUILDING</v>
      </c>
      <c r="G1026" s="3">
        <v>69</v>
      </c>
      <c r="H1026" t="str">
        <f>"ACCT#188757/LBJ BUILDING"</f>
        <v>ACCT#188757/LBJ BUILDING</v>
      </c>
    </row>
    <row r="1027" spans="1:8" x14ac:dyDescent="0.25">
      <c r="E1027" t="str">
        <f>"207637"</f>
        <v>207637</v>
      </c>
      <c r="F1027" t="str">
        <f>"ACCT#188757/PCT#4"</f>
        <v>ACCT#188757/PCT#4</v>
      </c>
      <c r="G1027" s="3">
        <v>95.5</v>
      </c>
      <c r="H1027" t="str">
        <f>"ACCT#188757/PCT#4"</f>
        <v>ACCT#188757/PCT#4</v>
      </c>
    </row>
    <row r="1028" spans="1:8" x14ac:dyDescent="0.25">
      <c r="E1028" t="str">
        <f>"207674"</f>
        <v>207674</v>
      </c>
      <c r="F1028" t="str">
        <f>"ACCT#188757/TAX OFFICE"</f>
        <v>ACCT#188757/TAX OFFICE</v>
      </c>
      <c r="G1028" s="3">
        <v>102</v>
      </c>
      <c r="H1028" t="str">
        <f>"ACCT#188757/TAX OFFICE"</f>
        <v>ACCT#188757/TAX OFFICE</v>
      </c>
    </row>
    <row r="1029" spans="1:8" x14ac:dyDescent="0.25">
      <c r="E1029" t="str">
        <f>"207723"</f>
        <v>207723</v>
      </c>
      <c r="F1029" t="str">
        <f>"PCT#1 SIGN SHOP"</f>
        <v>PCT#1 SIGN SHOP</v>
      </c>
      <c r="G1029" s="3">
        <v>95</v>
      </c>
      <c r="H1029" t="str">
        <f>"PCT#1 SIGN SHOP"</f>
        <v>PCT#1 SIGN SHOP</v>
      </c>
    </row>
    <row r="1030" spans="1:8" x14ac:dyDescent="0.25">
      <c r="E1030" t="str">
        <f>"207790"</f>
        <v>207790</v>
      </c>
      <c r="F1030" t="str">
        <f>"ACCT#188757/JUVENILE BOOTCAMP"</f>
        <v>ACCT#188757/JUVENILE BOOTCAMP</v>
      </c>
      <c r="G1030" s="3">
        <v>118.5</v>
      </c>
      <c r="H1030" t="str">
        <f>"ACCT#188757/JUVENILE BOOTCAMP"</f>
        <v>ACCT#188757/JUVENILE BOOTCAMP</v>
      </c>
    </row>
    <row r="1031" spans="1:8" x14ac:dyDescent="0.25">
      <c r="E1031" t="str">
        <f>"207792"</f>
        <v>207792</v>
      </c>
      <c r="F1031" t="str">
        <f>"ACCT#188757/ANIMAL SHELTER"</f>
        <v>ACCT#188757/ANIMAL SHELTER</v>
      </c>
      <c r="G1031" s="3">
        <v>290</v>
      </c>
      <c r="H1031" t="str">
        <f>"ACCT#188757/ANIMAL SHELTER"</f>
        <v>ACCT#188757/ANIMAL SHELTER</v>
      </c>
    </row>
    <row r="1032" spans="1:8" x14ac:dyDescent="0.25">
      <c r="E1032" t="str">
        <f>"208220"</f>
        <v>208220</v>
      </c>
      <c r="F1032" t="str">
        <f>"ACCT#188757/MIKE FISHER BLD"</f>
        <v>ACCT#188757/MIKE FISHER BLD</v>
      </c>
      <c r="G1032" s="3">
        <v>112</v>
      </c>
      <c r="H1032" t="str">
        <f>"ACCT#188757/MIKE FISHER BLD"</f>
        <v>ACCT#188757/MIKE FISHER BLD</v>
      </c>
    </row>
    <row r="1033" spans="1:8" x14ac:dyDescent="0.25">
      <c r="A1033" t="s">
        <v>301</v>
      </c>
      <c r="B1033">
        <v>4117</v>
      </c>
      <c r="C1033" s="3">
        <v>151</v>
      </c>
      <c r="D1033" s="6">
        <v>44278</v>
      </c>
      <c r="E1033" t="str">
        <f>"210253"</f>
        <v>210253</v>
      </c>
      <c r="F1033" t="str">
        <f>"ACCT#188757/LOST PINES PARK"</f>
        <v>ACCT#188757/LOST PINES PARK</v>
      </c>
      <c r="G1033" s="3">
        <v>75</v>
      </c>
      <c r="H1033" t="str">
        <f>"ACCT#188757/LOST PINES PARK"</f>
        <v>ACCT#188757/LOST PINES PARK</v>
      </c>
    </row>
    <row r="1034" spans="1:8" x14ac:dyDescent="0.25">
      <c r="E1034" t="str">
        <f>"210934"</f>
        <v>210934</v>
      </c>
      <c r="F1034" t="str">
        <f>"ACCT#188757/ DPS/TDL"</f>
        <v>ACCT#188757/ DPS/TDL</v>
      </c>
      <c r="G1034" s="3">
        <v>76</v>
      </c>
      <c r="H1034" t="str">
        <f>"ACCT#188757/ DPS/TDL"</f>
        <v>ACCT#188757/ DPS/TDL</v>
      </c>
    </row>
    <row r="1035" spans="1:8" x14ac:dyDescent="0.25">
      <c r="A1035" t="s">
        <v>302</v>
      </c>
      <c r="B1035">
        <v>134888</v>
      </c>
      <c r="C1035" s="3">
        <v>125</v>
      </c>
      <c r="D1035" s="6">
        <v>44263</v>
      </c>
      <c r="E1035" t="str">
        <f>"2021-019"</f>
        <v>2021-019</v>
      </c>
      <c r="F1035" t="str">
        <f>"MEMBERSHIP DUES/ADENA LEWIS"</f>
        <v>MEMBERSHIP DUES/ADENA LEWIS</v>
      </c>
      <c r="G1035" s="3">
        <v>125</v>
      </c>
      <c r="H1035" t="str">
        <f>"MEMBERSHIP DUES/ADENA LEWIS"</f>
        <v>MEMBERSHIP DUES/ADENA LEWIS</v>
      </c>
    </row>
    <row r="1036" spans="1:8" x14ac:dyDescent="0.25">
      <c r="A1036" t="s">
        <v>303</v>
      </c>
      <c r="B1036">
        <v>4052</v>
      </c>
      <c r="C1036" s="3">
        <v>800</v>
      </c>
      <c r="D1036" s="6">
        <v>44264</v>
      </c>
      <c r="E1036" t="str">
        <f>"202103021880"</f>
        <v>202103021880</v>
      </c>
      <c r="F1036" t="str">
        <f>"16-995"</f>
        <v>16-995</v>
      </c>
      <c r="G1036" s="3">
        <v>700</v>
      </c>
      <c r="H1036" t="str">
        <f>"16-995"</f>
        <v>16-995</v>
      </c>
    </row>
    <row r="1037" spans="1:8" x14ac:dyDescent="0.25">
      <c r="E1037" t="str">
        <f>"202103021881"</f>
        <v>202103021881</v>
      </c>
      <c r="F1037" t="str">
        <f>"1705-335"</f>
        <v>1705-335</v>
      </c>
      <c r="G1037" s="3">
        <v>100</v>
      </c>
      <c r="H1037" t="str">
        <f>"1705-335"</f>
        <v>1705-335</v>
      </c>
    </row>
    <row r="1038" spans="1:8" x14ac:dyDescent="0.25">
      <c r="A1038" t="s">
        <v>303</v>
      </c>
      <c r="B1038">
        <v>4105</v>
      </c>
      <c r="C1038" s="3">
        <v>1562.5</v>
      </c>
      <c r="D1038" s="6">
        <v>44278</v>
      </c>
      <c r="E1038" t="str">
        <f>"202103102065"</f>
        <v>202103102065</v>
      </c>
      <c r="F1038" t="str">
        <f>"3122920186"</f>
        <v>3122920186</v>
      </c>
      <c r="G1038" s="3">
        <v>250</v>
      </c>
      <c r="H1038" t="str">
        <f>"3122920186"</f>
        <v>3122920186</v>
      </c>
    </row>
    <row r="1039" spans="1:8" x14ac:dyDescent="0.25">
      <c r="E1039" t="str">
        <f>"202103102066"</f>
        <v>202103102066</v>
      </c>
      <c r="F1039" t="str">
        <f>"JP 3310012020"</f>
        <v>JP 3310012020</v>
      </c>
      <c r="G1039" s="3">
        <v>250</v>
      </c>
      <c r="H1039" t="str">
        <f>"JP 3310012020"</f>
        <v>JP 3310012020</v>
      </c>
    </row>
    <row r="1040" spans="1:8" x14ac:dyDescent="0.25">
      <c r="E1040" t="str">
        <f>"202103102067"</f>
        <v>202103102067</v>
      </c>
      <c r="F1040" t="str">
        <f>"19-19885"</f>
        <v>19-19885</v>
      </c>
      <c r="G1040" s="3">
        <v>100</v>
      </c>
      <c r="H1040" t="str">
        <f>"19-19885"</f>
        <v>19-19885</v>
      </c>
    </row>
    <row r="1041" spans="1:8" x14ac:dyDescent="0.25">
      <c r="E1041" t="str">
        <f>"202103102072"</f>
        <v>202103102072</v>
      </c>
      <c r="F1041" t="str">
        <f>"19-19885"</f>
        <v>19-19885</v>
      </c>
      <c r="G1041" s="3">
        <v>100</v>
      </c>
      <c r="H1041" t="str">
        <f>"19-19885"</f>
        <v>19-19885</v>
      </c>
    </row>
    <row r="1042" spans="1:8" x14ac:dyDescent="0.25">
      <c r="E1042" t="str">
        <f>"202103152169"</f>
        <v>202103152169</v>
      </c>
      <c r="F1042" t="str">
        <f>"21-20594"</f>
        <v>21-20594</v>
      </c>
      <c r="G1042" s="3">
        <v>212.5</v>
      </c>
      <c r="H1042" t="str">
        <f>"21-20594"</f>
        <v>21-20594</v>
      </c>
    </row>
    <row r="1043" spans="1:8" x14ac:dyDescent="0.25">
      <c r="E1043" t="str">
        <f>"202103152170"</f>
        <v>202103152170</v>
      </c>
      <c r="F1043" t="str">
        <f>"120220-5"</f>
        <v>120220-5</v>
      </c>
      <c r="G1043" s="3">
        <v>250</v>
      </c>
      <c r="H1043" t="str">
        <f>"120220-5"</f>
        <v>120220-5</v>
      </c>
    </row>
    <row r="1044" spans="1:8" x14ac:dyDescent="0.25">
      <c r="E1044" t="str">
        <f>"202103162192"</f>
        <v>202103162192</v>
      </c>
      <c r="F1044" t="str">
        <f>"16-093"</f>
        <v>16-093</v>
      </c>
      <c r="G1044" s="3">
        <v>400</v>
      </c>
      <c r="H1044" t="str">
        <f>"16-093"</f>
        <v>16-093</v>
      </c>
    </row>
    <row r="1045" spans="1:8" x14ac:dyDescent="0.25">
      <c r="A1045" t="s">
        <v>304</v>
      </c>
      <c r="B1045">
        <v>135063</v>
      </c>
      <c r="C1045" s="3">
        <v>366.98</v>
      </c>
      <c r="D1045" s="6">
        <v>44277</v>
      </c>
      <c r="E1045" t="str">
        <f>"70263862"</f>
        <v>70263862</v>
      </c>
      <c r="F1045" t="str">
        <f>"INV 70263862"</f>
        <v>INV 70263862</v>
      </c>
      <c r="G1045" s="3">
        <v>366.98</v>
      </c>
      <c r="H1045" t="str">
        <f>"INV 70263862"</f>
        <v>INV 70263862</v>
      </c>
    </row>
    <row r="1046" spans="1:8" x14ac:dyDescent="0.25">
      <c r="A1046" t="s">
        <v>305</v>
      </c>
      <c r="B1046">
        <v>135064</v>
      </c>
      <c r="C1046" s="3">
        <v>30000</v>
      </c>
      <c r="D1046" s="6">
        <v>44277</v>
      </c>
      <c r="E1046" t="str">
        <f>"0006003"</f>
        <v>0006003</v>
      </c>
      <c r="F1046" t="str">
        <f>"FILE#80-99-0027"</f>
        <v>FILE#80-99-0027</v>
      </c>
      <c r="G1046" s="3">
        <v>30000</v>
      </c>
      <c r="H1046" t="str">
        <f>"FILE#80-99-0027"</f>
        <v>FILE#80-99-0027</v>
      </c>
    </row>
    <row r="1047" spans="1:8" x14ac:dyDescent="0.25">
      <c r="A1047" t="s">
        <v>306</v>
      </c>
      <c r="B1047">
        <v>135065</v>
      </c>
      <c r="C1047" s="3">
        <v>856.59</v>
      </c>
      <c r="D1047" s="6">
        <v>44277</v>
      </c>
      <c r="E1047" t="str">
        <f>"843919986"</f>
        <v>843919986</v>
      </c>
      <c r="F1047" t="str">
        <f>"ACCT#1000310962"</f>
        <v>ACCT#1000310962</v>
      </c>
      <c r="G1047" s="3">
        <v>856.59</v>
      </c>
      <c r="H1047" t="str">
        <f>"ACCT#1000310962"</f>
        <v>ACCT#1000310962</v>
      </c>
    </row>
    <row r="1048" spans="1:8" x14ac:dyDescent="0.25">
      <c r="A1048" t="s">
        <v>307</v>
      </c>
      <c r="B1048">
        <v>134889</v>
      </c>
      <c r="C1048" s="3">
        <v>790.43</v>
      </c>
      <c r="D1048" s="6">
        <v>44263</v>
      </c>
      <c r="E1048" t="str">
        <f>"0155923021221"</f>
        <v>0155923021221</v>
      </c>
      <c r="F1048" t="str">
        <f>"ACCT#8260160170155923"</f>
        <v>ACCT#8260160170155923</v>
      </c>
      <c r="G1048" s="3">
        <v>120.14</v>
      </c>
      <c r="H1048" t="str">
        <f>"ACCT#8260160170155923"</f>
        <v>ACCT#8260160170155923</v>
      </c>
    </row>
    <row r="1049" spans="1:8" x14ac:dyDescent="0.25">
      <c r="E1049" t="str">
        <f>"0164314020921"</f>
        <v>0164314020921</v>
      </c>
      <c r="F1049" t="str">
        <f>"ACCT#8260 16 111 0164314"</f>
        <v>ACCT#8260 16 111 0164314</v>
      </c>
      <c r="G1049" s="3">
        <v>670.29</v>
      </c>
      <c r="H1049" t="str">
        <f>"ACCT#8260 16 111 0164314"</f>
        <v>ACCT#8260 16 111 0164314</v>
      </c>
    </row>
    <row r="1050" spans="1:8" x14ac:dyDescent="0.25">
      <c r="A1050" t="s">
        <v>307</v>
      </c>
      <c r="B1050">
        <v>135066</v>
      </c>
      <c r="C1050" s="3">
        <v>4494.37</v>
      </c>
      <c r="D1050" s="6">
        <v>44277</v>
      </c>
      <c r="E1050" t="str">
        <f>"0164314030921"</f>
        <v>0164314030921</v>
      </c>
      <c r="F1050" t="str">
        <f>"ACCT#8260161110164314"</f>
        <v>ACCT#8260161110164314</v>
      </c>
      <c r="G1050" s="3">
        <v>1428.18</v>
      </c>
      <c r="H1050" t="str">
        <f>"ACCT#8260161110164314"</f>
        <v>ACCT#8260161110164314</v>
      </c>
    </row>
    <row r="1051" spans="1:8" x14ac:dyDescent="0.25">
      <c r="E1051" t="str">
        <f>"202103162228"</f>
        <v>202103162228</v>
      </c>
      <c r="F1051" t="str">
        <f>"ACCT#8260163000003669"</f>
        <v>ACCT#8260163000003669</v>
      </c>
      <c r="G1051" s="3">
        <v>3066.19</v>
      </c>
      <c r="H1051" t="str">
        <f>"ACCT#8260163000003669"</f>
        <v>ACCT#8260163000003669</v>
      </c>
    </row>
    <row r="1052" spans="1:8" x14ac:dyDescent="0.25">
      <c r="E1052" t="str">
        <f>""</f>
        <v/>
      </c>
      <c r="F1052" t="str">
        <f>""</f>
        <v/>
      </c>
      <c r="H1052" t="str">
        <f>"ACCT#8260163000003669"</f>
        <v>ACCT#8260163000003669</v>
      </c>
    </row>
    <row r="1053" spans="1:8" x14ac:dyDescent="0.25">
      <c r="A1053" t="s">
        <v>308</v>
      </c>
      <c r="B1053">
        <v>135067</v>
      </c>
      <c r="C1053" s="3">
        <v>21.5</v>
      </c>
      <c r="D1053" s="6">
        <v>44277</v>
      </c>
      <c r="E1053" t="str">
        <f>"202103112086"</f>
        <v>202103112086</v>
      </c>
      <c r="F1053" t="str">
        <f>"REIMBUREMENT/ TOMMY POTTS"</f>
        <v>REIMBUREMENT/ TOMMY POTTS</v>
      </c>
      <c r="G1053" s="3">
        <v>21.5</v>
      </c>
      <c r="H1053" t="str">
        <f>"REIMBUREMENT/ TOMMY POTTS"</f>
        <v>REIMBUREMENT/ TOMMY POTTS</v>
      </c>
    </row>
    <row r="1054" spans="1:8" x14ac:dyDescent="0.25">
      <c r="A1054" t="s">
        <v>309</v>
      </c>
      <c r="B1054">
        <v>135068</v>
      </c>
      <c r="C1054" s="3">
        <v>960</v>
      </c>
      <c r="D1054" s="6">
        <v>44277</v>
      </c>
      <c r="E1054" t="str">
        <f>"11-238"</f>
        <v>11-238</v>
      </c>
      <c r="F1054" t="str">
        <f t="shared" ref="F1054:F1065" si="19">"SERVICE"</f>
        <v>SERVICE</v>
      </c>
      <c r="G1054" s="3">
        <v>15</v>
      </c>
      <c r="H1054" t="str">
        <f t="shared" ref="H1054:H1065" si="20">"SERVICE"</f>
        <v>SERVICE</v>
      </c>
    </row>
    <row r="1055" spans="1:8" x14ac:dyDescent="0.25">
      <c r="E1055" t="str">
        <f>"12205-3-10-21"</f>
        <v>12205-3-10-21</v>
      </c>
      <c r="F1055" t="str">
        <f t="shared" si="19"/>
        <v>SERVICE</v>
      </c>
      <c r="G1055" s="3">
        <v>75</v>
      </c>
      <c r="H1055" t="str">
        <f t="shared" si="20"/>
        <v>SERVICE</v>
      </c>
    </row>
    <row r="1056" spans="1:8" x14ac:dyDescent="0.25">
      <c r="E1056" t="str">
        <f>"12940"</f>
        <v>12940</v>
      </c>
      <c r="F1056" t="str">
        <f t="shared" si="19"/>
        <v>SERVICE</v>
      </c>
      <c r="G1056" s="3">
        <v>50</v>
      </c>
      <c r="H1056" t="str">
        <f t="shared" si="20"/>
        <v>SERVICE</v>
      </c>
    </row>
    <row r="1057" spans="1:8" x14ac:dyDescent="0.25">
      <c r="E1057" t="str">
        <f>"12940-3-10-21"</f>
        <v>12940-3-10-21</v>
      </c>
      <c r="F1057" t="str">
        <f t="shared" si="19"/>
        <v>SERVICE</v>
      </c>
      <c r="G1057" s="3">
        <v>50</v>
      </c>
      <c r="H1057" t="str">
        <f t="shared" si="20"/>
        <v>SERVICE</v>
      </c>
    </row>
    <row r="1058" spans="1:8" x14ac:dyDescent="0.25">
      <c r="E1058" t="str">
        <f>"12940-3-11/21"</f>
        <v>12940-3-11/21</v>
      </c>
      <c r="F1058" t="str">
        <f t="shared" si="19"/>
        <v>SERVICE</v>
      </c>
      <c r="G1058" s="3">
        <v>50</v>
      </c>
      <c r="H1058" t="str">
        <f t="shared" si="20"/>
        <v>SERVICE</v>
      </c>
    </row>
    <row r="1059" spans="1:8" x14ac:dyDescent="0.25">
      <c r="E1059" t="str">
        <f>"13379"</f>
        <v>13379</v>
      </c>
      <c r="F1059" t="str">
        <f t="shared" si="19"/>
        <v>SERVICE</v>
      </c>
      <c r="G1059" s="3">
        <v>160</v>
      </c>
      <c r="H1059" t="str">
        <f t="shared" si="20"/>
        <v>SERVICE</v>
      </c>
    </row>
    <row r="1060" spans="1:8" x14ac:dyDescent="0.25">
      <c r="E1060" t="str">
        <f>"13470"</f>
        <v>13470</v>
      </c>
      <c r="F1060" t="str">
        <f t="shared" si="19"/>
        <v>SERVICE</v>
      </c>
      <c r="G1060" s="3">
        <v>160</v>
      </c>
      <c r="H1060" t="str">
        <f t="shared" si="20"/>
        <v>SERVICE</v>
      </c>
    </row>
    <row r="1061" spans="1:8" x14ac:dyDescent="0.25">
      <c r="E1061" t="str">
        <f>"13470-310-21"</f>
        <v>13470-310-21</v>
      </c>
      <c r="F1061" t="str">
        <f t="shared" si="19"/>
        <v>SERVICE</v>
      </c>
      <c r="G1061" s="3">
        <v>160</v>
      </c>
      <c r="H1061" t="str">
        <f t="shared" si="20"/>
        <v>SERVICE</v>
      </c>
    </row>
    <row r="1062" spans="1:8" x14ac:dyDescent="0.25">
      <c r="E1062" t="str">
        <f>"13515"</f>
        <v>13515</v>
      </c>
      <c r="F1062" t="str">
        <f t="shared" si="19"/>
        <v>SERVICE</v>
      </c>
      <c r="G1062" s="3">
        <v>80</v>
      </c>
      <c r="H1062" t="str">
        <f t="shared" si="20"/>
        <v>SERVICE</v>
      </c>
    </row>
    <row r="1063" spans="1:8" x14ac:dyDescent="0.25">
      <c r="E1063" t="str">
        <f>"13578"</f>
        <v>13578</v>
      </c>
      <c r="F1063" t="str">
        <f t="shared" si="19"/>
        <v>SERVICE</v>
      </c>
      <c r="G1063" s="3">
        <v>80</v>
      </c>
      <c r="H1063" t="str">
        <f t="shared" si="20"/>
        <v>SERVICE</v>
      </c>
    </row>
    <row r="1064" spans="1:8" x14ac:dyDescent="0.25">
      <c r="E1064" t="str">
        <f>"13597"</f>
        <v>13597</v>
      </c>
      <c r="F1064" t="str">
        <f t="shared" si="19"/>
        <v>SERVICE</v>
      </c>
      <c r="G1064" s="3">
        <v>5</v>
      </c>
      <c r="H1064" t="str">
        <f t="shared" si="20"/>
        <v>SERVICE</v>
      </c>
    </row>
    <row r="1065" spans="1:8" x14ac:dyDescent="0.25">
      <c r="E1065" t="str">
        <f>"13597-3-11-21"</f>
        <v>13597-3-11-21</v>
      </c>
      <c r="F1065" t="str">
        <f t="shared" si="19"/>
        <v>SERVICE</v>
      </c>
      <c r="G1065" s="3">
        <v>75</v>
      </c>
      <c r="H1065" t="str">
        <f t="shared" si="20"/>
        <v>SERVICE</v>
      </c>
    </row>
    <row r="1066" spans="1:8" x14ac:dyDescent="0.25">
      <c r="A1066" t="s">
        <v>309</v>
      </c>
      <c r="B1066">
        <v>135090</v>
      </c>
      <c r="C1066" s="3">
        <v>80</v>
      </c>
      <c r="D1066" s="6">
        <v>44280</v>
      </c>
      <c r="E1066" t="str">
        <f>"202103252352"</f>
        <v>202103252352</v>
      </c>
      <c r="F1066" t="str">
        <f>"PERSONAL SERVICE CITATION G343"</f>
        <v>PERSONAL SERVICE CITATION G343</v>
      </c>
      <c r="G1066" s="3">
        <v>80</v>
      </c>
      <c r="H1066" t="str">
        <f>"PERSONAL SERVICE CITATION G343"</f>
        <v>PERSONAL SERVICE CITATION G343</v>
      </c>
    </row>
    <row r="1067" spans="1:8" x14ac:dyDescent="0.25">
      <c r="A1067" t="s">
        <v>310</v>
      </c>
      <c r="B1067">
        <v>135069</v>
      </c>
      <c r="C1067" s="3">
        <v>3335</v>
      </c>
      <c r="D1067" s="6">
        <v>44277</v>
      </c>
      <c r="E1067" t="str">
        <f>"PA-20-07176"</f>
        <v>PA-20-07176</v>
      </c>
      <c r="F1067" t="str">
        <f>"FORENSIC SRVS/REBECCA MASON.C"</f>
        <v>FORENSIC SRVS/REBECCA MASON.C</v>
      </c>
      <c r="G1067" s="3">
        <v>3335</v>
      </c>
      <c r="H1067" t="str">
        <f>"FORENSIC SRVS/REBECCA MASON.C"</f>
        <v>FORENSIC SRVS/REBECCA MASON.C</v>
      </c>
    </row>
    <row r="1068" spans="1:8" x14ac:dyDescent="0.25">
      <c r="A1068" t="s">
        <v>311</v>
      </c>
      <c r="B1068">
        <v>134890</v>
      </c>
      <c r="C1068" s="3">
        <v>97</v>
      </c>
      <c r="D1068" s="6">
        <v>44263</v>
      </c>
      <c r="E1068" t="str">
        <f>"202103031950"</f>
        <v>202103031950</v>
      </c>
      <c r="F1068" t="str">
        <f>"REIMBURSEMENT T. ROBERTSON"</f>
        <v>REIMBURSEMENT T. ROBERTSON</v>
      </c>
      <c r="G1068" s="3">
        <v>97</v>
      </c>
      <c r="H1068" t="str">
        <f>"REIMBURSEMENT T. ROBERTSON"</f>
        <v>REIMBURSEMENT T. ROBERTSON</v>
      </c>
    </row>
    <row r="1069" spans="1:8" x14ac:dyDescent="0.25">
      <c r="A1069" t="s">
        <v>312</v>
      </c>
      <c r="B1069">
        <v>4090</v>
      </c>
      <c r="C1069" s="3">
        <v>250</v>
      </c>
      <c r="D1069" s="6">
        <v>44264</v>
      </c>
      <c r="E1069" t="str">
        <f>"202103021882"</f>
        <v>202103021882</v>
      </c>
      <c r="F1069" t="str">
        <f>"57-454"</f>
        <v>57-454</v>
      </c>
      <c r="G1069" s="3">
        <v>250</v>
      </c>
      <c r="H1069" t="str">
        <f>"57-454"</f>
        <v>57-454</v>
      </c>
    </row>
    <row r="1070" spans="1:8" x14ac:dyDescent="0.25">
      <c r="A1070" t="s">
        <v>312</v>
      </c>
      <c r="B1070">
        <v>4168</v>
      </c>
      <c r="C1070" s="3">
        <v>1200</v>
      </c>
      <c r="D1070" s="6">
        <v>44278</v>
      </c>
      <c r="E1070" t="str">
        <f>"202103162181"</f>
        <v>202103162181</v>
      </c>
      <c r="F1070" t="str">
        <f>"DCPC 20-159/ TRN925-358-9507"</f>
        <v>DCPC 20-159/ TRN925-358-9507</v>
      </c>
      <c r="G1070" s="3">
        <v>400</v>
      </c>
      <c r="H1070" t="str">
        <f>"DCPC 20-159/ TRN925-358-9507"</f>
        <v>DCPC 20-159/ TRN925-358-9507</v>
      </c>
    </row>
    <row r="1071" spans="1:8" x14ac:dyDescent="0.25">
      <c r="E1071" t="str">
        <f>"202103162182"</f>
        <v>202103162182</v>
      </c>
      <c r="F1071" t="str">
        <f>"40309908"</f>
        <v>40309908</v>
      </c>
      <c r="G1071" s="3">
        <v>400</v>
      </c>
      <c r="H1071" t="str">
        <f>"40309908"</f>
        <v>40309908</v>
      </c>
    </row>
    <row r="1072" spans="1:8" x14ac:dyDescent="0.25">
      <c r="E1072" t="str">
        <f>"202103162183"</f>
        <v>202103162183</v>
      </c>
      <c r="F1072" t="str">
        <f>"02-0401-5"</f>
        <v>02-0401-5</v>
      </c>
      <c r="G1072" s="3">
        <v>400</v>
      </c>
      <c r="H1072" t="str">
        <f>"02-0401-5"</f>
        <v>02-0401-5</v>
      </c>
    </row>
    <row r="1073" spans="1:8" x14ac:dyDescent="0.25">
      <c r="A1073" t="s">
        <v>313</v>
      </c>
      <c r="B1073">
        <v>134891</v>
      </c>
      <c r="C1073" s="3">
        <v>18540</v>
      </c>
      <c r="D1073" s="6">
        <v>44263</v>
      </c>
      <c r="E1073" t="str">
        <f>"21999"</f>
        <v>21999</v>
      </c>
      <c r="F1073" t="str">
        <f>"Ticket Writers"</f>
        <v>Ticket Writers</v>
      </c>
      <c r="G1073" s="3">
        <v>18540</v>
      </c>
      <c r="H1073" t="str">
        <f>"Ticket Writers"</f>
        <v>Ticket Writers</v>
      </c>
    </row>
    <row r="1074" spans="1:8" x14ac:dyDescent="0.25">
      <c r="A1074" t="s">
        <v>313</v>
      </c>
      <c r="B1074">
        <v>135070</v>
      </c>
      <c r="C1074" s="3">
        <v>46347.37</v>
      </c>
      <c r="D1074" s="6">
        <v>44277</v>
      </c>
      <c r="E1074" t="str">
        <f>"020-128082"</f>
        <v>020-128082</v>
      </c>
      <c r="F1074" t="str">
        <f>"CUST#42161"</f>
        <v>CUST#42161</v>
      </c>
      <c r="G1074" s="3">
        <v>39443.25</v>
      </c>
      <c r="H1074" t="str">
        <f t="shared" ref="H1074:H1079" si="21">"CUST#42161"</f>
        <v>CUST#42161</v>
      </c>
    </row>
    <row r="1075" spans="1:8" x14ac:dyDescent="0.25">
      <c r="E1075" t="str">
        <f>""</f>
        <v/>
      </c>
      <c r="F1075" t="str">
        <f>""</f>
        <v/>
      </c>
      <c r="H1075" t="str">
        <f t="shared" si="21"/>
        <v>CUST#42161</v>
      </c>
    </row>
    <row r="1076" spans="1:8" x14ac:dyDescent="0.25">
      <c r="E1076" t="str">
        <f>"020-128083"</f>
        <v>020-128083</v>
      </c>
      <c r="F1076" t="str">
        <f>"CUST#42161"</f>
        <v>CUST#42161</v>
      </c>
      <c r="G1076" s="3">
        <v>590.89</v>
      </c>
      <c r="H1076" t="str">
        <f t="shared" si="21"/>
        <v>CUST#42161</v>
      </c>
    </row>
    <row r="1077" spans="1:8" x14ac:dyDescent="0.25">
      <c r="E1077" t="str">
        <f>"020-25806"</f>
        <v>020-25806</v>
      </c>
      <c r="F1077" t="str">
        <f>"CUST#42161"</f>
        <v>CUST#42161</v>
      </c>
      <c r="G1077" s="3">
        <v>573.67999999999995</v>
      </c>
      <c r="H1077" t="str">
        <f t="shared" si="21"/>
        <v>CUST#42161</v>
      </c>
    </row>
    <row r="1078" spans="1:8" x14ac:dyDescent="0.25">
      <c r="E1078" t="str">
        <f>"130-119377"</f>
        <v>130-119377</v>
      </c>
      <c r="F1078" t="str">
        <f>"CUST#42161"</f>
        <v>CUST#42161</v>
      </c>
      <c r="G1078" s="3">
        <v>2239.5500000000002</v>
      </c>
      <c r="H1078" t="str">
        <f t="shared" si="21"/>
        <v>CUST#42161</v>
      </c>
    </row>
    <row r="1079" spans="1:8" x14ac:dyDescent="0.25">
      <c r="E1079" t="str">
        <f>"130-119393"</f>
        <v>130-119393</v>
      </c>
      <c r="F1079" t="str">
        <f>"CUST#42161"</f>
        <v>CUST#42161</v>
      </c>
      <c r="G1079" s="3">
        <v>3500</v>
      </c>
      <c r="H1079" t="str">
        <f t="shared" si="21"/>
        <v>CUST#42161</v>
      </c>
    </row>
    <row r="1080" spans="1:8" x14ac:dyDescent="0.25">
      <c r="A1080" t="s">
        <v>314</v>
      </c>
      <c r="B1080">
        <v>4159</v>
      </c>
      <c r="C1080" s="3">
        <v>50.82</v>
      </c>
      <c r="D1080" s="6">
        <v>44278</v>
      </c>
      <c r="E1080" t="str">
        <f>"77625933"</f>
        <v>77625933</v>
      </c>
      <c r="F1080" t="str">
        <f>"INV 77625933-00"</f>
        <v>INV 77625933-00</v>
      </c>
      <c r="G1080" s="3">
        <v>50.82</v>
      </c>
      <c r="H1080" t="str">
        <f>"INV 77625933-00"</f>
        <v>INV 77625933-00</v>
      </c>
    </row>
    <row r="1081" spans="1:8" x14ac:dyDescent="0.25">
      <c r="A1081" t="s">
        <v>315</v>
      </c>
      <c r="B1081">
        <v>135071</v>
      </c>
      <c r="C1081" s="3">
        <v>259.77</v>
      </c>
      <c r="D1081" s="6">
        <v>44277</v>
      </c>
      <c r="E1081" t="str">
        <f>"W04939"</f>
        <v>W04939</v>
      </c>
      <c r="F1081" t="str">
        <f>"ACCT#BASTR014"</f>
        <v>ACCT#BASTR014</v>
      </c>
      <c r="G1081" s="3">
        <v>259.77</v>
      </c>
      <c r="H1081" t="str">
        <f>"ACCT#BASTR014"</f>
        <v>ACCT#BASTR014</v>
      </c>
    </row>
    <row r="1082" spans="1:8" x14ac:dyDescent="0.25">
      <c r="A1082" t="s">
        <v>316</v>
      </c>
      <c r="B1082">
        <v>134892</v>
      </c>
      <c r="C1082" s="3">
        <v>299.39999999999998</v>
      </c>
      <c r="D1082" s="6">
        <v>44263</v>
      </c>
      <c r="E1082" t="str">
        <f>"202102112773"</f>
        <v>202102112773</v>
      </c>
      <c r="F1082" t="str">
        <f>"INV 202102112773"</f>
        <v>INV 202102112773</v>
      </c>
      <c r="G1082" s="3">
        <v>299.39999999999998</v>
      </c>
      <c r="H1082" t="str">
        <f>"INV 202102112773"</f>
        <v>INV 202102112773</v>
      </c>
    </row>
    <row r="1083" spans="1:8" x14ac:dyDescent="0.25">
      <c r="A1083" t="s">
        <v>317</v>
      </c>
      <c r="B1083">
        <v>135072</v>
      </c>
      <c r="C1083" s="3">
        <v>126.17</v>
      </c>
      <c r="D1083" s="6">
        <v>44277</v>
      </c>
      <c r="E1083" t="str">
        <f>"202103162222"</f>
        <v>202103162222</v>
      </c>
      <c r="F1083" t="str">
        <f>"INDIGENT HEALTH"</f>
        <v>INDIGENT HEALTH</v>
      </c>
      <c r="G1083" s="3">
        <v>126.17</v>
      </c>
      <c r="H1083" t="str">
        <f>"INDIGENT HEALTH"</f>
        <v>INDIGENT HEALTH</v>
      </c>
    </row>
    <row r="1084" spans="1:8" x14ac:dyDescent="0.25">
      <c r="A1084" t="s">
        <v>318</v>
      </c>
      <c r="B1084">
        <v>135073</v>
      </c>
      <c r="C1084" s="3">
        <v>2100</v>
      </c>
      <c r="D1084" s="6">
        <v>44277</v>
      </c>
      <c r="E1084" t="str">
        <f>"20915"</f>
        <v>20915</v>
      </c>
      <c r="F1084" t="str">
        <f>"Warranty"</f>
        <v>Warranty</v>
      </c>
      <c r="G1084" s="3">
        <v>2100</v>
      </c>
      <c r="H1084" t="str">
        <f>"CDMS14HWW"</f>
        <v>CDMS14HWW</v>
      </c>
    </row>
    <row r="1085" spans="1:8" x14ac:dyDescent="0.25">
      <c r="A1085" t="s">
        <v>319</v>
      </c>
      <c r="B1085">
        <v>135074</v>
      </c>
      <c r="C1085" s="3">
        <v>128.1</v>
      </c>
      <c r="D1085" s="6">
        <v>44277</v>
      </c>
      <c r="E1085" t="str">
        <f>"2012951"</f>
        <v>2012951</v>
      </c>
      <c r="F1085" t="str">
        <f>"ACCT#17460002268-003"</f>
        <v>ACCT#17460002268-003</v>
      </c>
      <c r="G1085" s="3">
        <v>128.1</v>
      </c>
      <c r="H1085" t="str">
        <f>"ACCT#17460002268-003"</f>
        <v>ACCT#17460002268-003</v>
      </c>
    </row>
    <row r="1086" spans="1:8" x14ac:dyDescent="0.25">
      <c r="A1086" t="s">
        <v>320</v>
      </c>
      <c r="B1086">
        <v>4067</v>
      </c>
      <c r="C1086" s="3">
        <v>34126</v>
      </c>
      <c r="D1086" s="6">
        <v>44264</v>
      </c>
      <c r="E1086" t="str">
        <f>"869395921109"</f>
        <v>869395921109</v>
      </c>
      <c r="F1086" t="str">
        <f>"Statement"</f>
        <v>Statement</v>
      </c>
      <c r="G1086" s="3">
        <v>34126</v>
      </c>
      <c r="H1086" t="str">
        <f>"maintenance"</f>
        <v>maintenance</v>
      </c>
    </row>
    <row r="1087" spans="1:8" x14ac:dyDescent="0.25">
      <c r="E1087" t="str">
        <f>""</f>
        <v/>
      </c>
      <c r="F1087" t="str">
        <f>""</f>
        <v/>
      </c>
      <c r="H1087" t="str">
        <f>"fuel"</f>
        <v>fuel</v>
      </c>
    </row>
    <row r="1088" spans="1:8" x14ac:dyDescent="0.25">
      <c r="E1088" t="str">
        <f>""</f>
        <v/>
      </c>
      <c r="F1088" t="str">
        <f>""</f>
        <v/>
      </c>
      <c r="H1088" t="str">
        <f>"tax"</f>
        <v>tax</v>
      </c>
    </row>
    <row r="1089" spans="5:8" x14ac:dyDescent="0.25">
      <c r="E1089" t="str">
        <f>""</f>
        <v/>
      </c>
      <c r="F1089" t="str">
        <f>""</f>
        <v/>
      </c>
      <c r="H1089" t="str">
        <f>"fuel"</f>
        <v>fuel</v>
      </c>
    </row>
    <row r="1090" spans="5:8" x14ac:dyDescent="0.25">
      <c r="E1090" t="str">
        <f>""</f>
        <v/>
      </c>
      <c r="F1090" t="str">
        <f>""</f>
        <v/>
      </c>
      <c r="H1090" t="str">
        <f>"tax"</f>
        <v>tax</v>
      </c>
    </row>
    <row r="1091" spans="5:8" x14ac:dyDescent="0.25">
      <c r="E1091" t="str">
        <f>""</f>
        <v/>
      </c>
      <c r="F1091" t="str">
        <f>""</f>
        <v/>
      </c>
      <c r="H1091" t="str">
        <f>"maintenance"</f>
        <v>maintenance</v>
      </c>
    </row>
    <row r="1092" spans="5:8" x14ac:dyDescent="0.25">
      <c r="E1092" t="str">
        <f>""</f>
        <v/>
      </c>
      <c r="F1092" t="str">
        <f>""</f>
        <v/>
      </c>
      <c r="H1092" t="str">
        <f>"fuel"</f>
        <v>fuel</v>
      </c>
    </row>
    <row r="1093" spans="5:8" x14ac:dyDescent="0.25">
      <c r="E1093" t="str">
        <f>""</f>
        <v/>
      </c>
      <c r="F1093" t="str">
        <f>""</f>
        <v/>
      </c>
      <c r="H1093" t="str">
        <f>"tax"</f>
        <v>tax</v>
      </c>
    </row>
    <row r="1094" spans="5:8" x14ac:dyDescent="0.25">
      <c r="E1094" t="str">
        <f>""</f>
        <v/>
      </c>
      <c r="F1094" t="str">
        <f>""</f>
        <v/>
      </c>
      <c r="H1094" t="str">
        <f>"maintenance"</f>
        <v>maintenance</v>
      </c>
    </row>
    <row r="1095" spans="5:8" x14ac:dyDescent="0.25">
      <c r="E1095" t="str">
        <f>""</f>
        <v/>
      </c>
      <c r="F1095" t="str">
        <f>""</f>
        <v/>
      </c>
      <c r="H1095" t="str">
        <f>"fuel"</f>
        <v>fuel</v>
      </c>
    </row>
    <row r="1096" spans="5:8" x14ac:dyDescent="0.25">
      <c r="E1096" t="str">
        <f>""</f>
        <v/>
      </c>
      <c r="F1096" t="str">
        <f>""</f>
        <v/>
      </c>
      <c r="H1096" t="str">
        <f>"tax"</f>
        <v>tax</v>
      </c>
    </row>
    <row r="1097" spans="5:8" x14ac:dyDescent="0.25">
      <c r="E1097" t="str">
        <f>""</f>
        <v/>
      </c>
      <c r="F1097" t="str">
        <f>""</f>
        <v/>
      </c>
      <c r="H1097" t="str">
        <f>"maintenance"</f>
        <v>maintenance</v>
      </c>
    </row>
    <row r="1098" spans="5:8" x14ac:dyDescent="0.25">
      <c r="E1098" t="str">
        <f>""</f>
        <v/>
      </c>
      <c r="F1098" t="str">
        <f>""</f>
        <v/>
      </c>
      <c r="H1098" t="str">
        <f>"fuel"</f>
        <v>fuel</v>
      </c>
    </row>
    <row r="1099" spans="5:8" x14ac:dyDescent="0.25">
      <c r="E1099" t="str">
        <f>""</f>
        <v/>
      </c>
      <c r="F1099" t="str">
        <f>""</f>
        <v/>
      </c>
      <c r="H1099" t="str">
        <f>"tax"</f>
        <v>tax</v>
      </c>
    </row>
    <row r="1100" spans="5:8" x14ac:dyDescent="0.25">
      <c r="E1100" t="str">
        <f>""</f>
        <v/>
      </c>
      <c r="F1100" t="str">
        <f>""</f>
        <v/>
      </c>
      <c r="H1100" t="str">
        <f>"fuel"</f>
        <v>fuel</v>
      </c>
    </row>
    <row r="1101" spans="5:8" x14ac:dyDescent="0.25">
      <c r="E1101" t="str">
        <f>""</f>
        <v/>
      </c>
      <c r="F1101" t="str">
        <f>""</f>
        <v/>
      </c>
      <c r="H1101" t="str">
        <f>"tax"</f>
        <v>tax</v>
      </c>
    </row>
    <row r="1102" spans="5:8" x14ac:dyDescent="0.25">
      <c r="E1102" t="str">
        <f>""</f>
        <v/>
      </c>
      <c r="F1102" t="str">
        <f>""</f>
        <v/>
      </c>
      <c r="H1102" t="str">
        <f>"maintenance"</f>
        <v>maintenance</v>
      </c>
    </row>
    <row r="1103" spans="5:8" x14ac:dyDescent="0.25">
      <c r="E1103" t="str">
        <f>""</f>
        <v/>
      </c>
      <c r="F1103" t="str">
        <f>""</f>
        <v/>
      </c>
      <c r="H1103" t="str">
        <f>"fuel"</f>
        <v>fuel</v>
      </c>
    </row>
    <row r="1104" spans="5:8" x14ac:dyDescent="0.25">
      <c r="E1104" t="str">
        <f>""</f>
        <v/>
      </c>
      <c r="F1104" t="str">
        <f>""</f>
        <v/>
      </c>
      <c r="H1104" t="str">
        <f>"tax"</f>
        <v>tax</v>
      </c>
    </row>
    <row r="1105" spans="1:8" x14ac:dyDescent="0.25">
      <c r="E1105" t="str">
        <f>""</f>
        <v/>
      </c>
      <c r="F1105" t="str">
        <f>""</f>
        <v/>
      </c>
      <c r="H1105" t="str">
        <f>"fuel"</f>
        <v>fuel</v>
      </c>
    </row>
    <row r="1106" spans="1:8" x14ac:dyDescent="0.25">
      <c r="E1106" t="str">
        <f>""</f>
        <v/>
      </c>
      <c r="F1106" t="str">
        <f>""</f>
        <v/>
      </c>
      <c r="H1106" t="str">
        <f>"tax"</f>
        <v>tax</v>
      </c>
    </row>
    <row r="1107" spans="1:8" x14ac:dyDescent="0.25">
      <c r="E1107" t="str">
        <f>""</f>
        <v/>
      </c>
      <c r="F1107" t="str">
        <f>""</f>
        <v/>
      </c>
      <c r="H1107" t="str">
        <f>"fuel"</f>
        <v>fuel</v>
      </c>
    </row>
    <row r="1108" spans="1:8" x14ac:dyDescent="0.25">
      <c r="E1108" t="str">
        <f>""</f>
        <v/>
      </c>
      <c r="F1108" t="str">
        <f>""</f>
        <v/>
      </c>
      <c r="H1108" t="str">
        <f>"tax"</f>
        <v>tax</v>
      </c>
    </row>
    <row r="1109" spans="1:8" x14ac:dyDescent="0.25">
      <c r="E1109" t="str">
        <f>""</f>
        <v/>
      </c>
      <c r="F1109" t="str">
        <f>""</f>
        <v/>
      </c>
      <c r="H1109" t="str">
        <f>"maintenance"</f>
        <v>maintenance</v>
      </c>
    </row>
    <row r="1110" spans="1:8" x14ac:dyDescent="0.25">
      <c r="A1110" t="s">
        <v>321</v>
      </c>
      <c r="B1110">
        <v>135075</v>
      </c>
      <c r="C1110" s="3">
        <v>90</v>
      </c>
      <c r="D1110" s="6">
        <v>44277</v>
      </c>
      <c r="E1110" t="str">
        <f>"10398498"</f>
        <v>10398498</v>
      </c>
      <c r="F1110" t="str">
        <f>"ACCT#00010699-4/PCT#3"</f>
        <v>ACCT#00010699-4/PCT#3</v>
      </c>
      <c r="G1110" s="3">
        <v>90</v>
      </c>
      <c r="H1110" t="str">
        <f>"ACCT#00010699-4/PCT#3"</f>
        <v>ACCT#00010699-4/PCT#3</v>
      </c>
    </row>
    <row r="1111" spans="1:8" x14ac:dyDescent="0.25">
      <c r="A1111" t="s">
        <v>322</v>
      </c>
      <c r="B1111">
        <v>135076</v>
      </c>
      <c r="C1111" s="3">
        <v>80.900000000000006</v>
      </c>
      <c r="D1111" s="6">
        <v>44277</v>
      </c>
      <c r="E1111" t="str">
        <f>"0221-DR14926"</f>
        <v>0221-DR14926</v>
      </c>
      <c r="F1111" t="str">
        <f>"CLIENT ID#CXD 14926"</f>
        <v>CLIENT ID#CXD 14926</v>
      </c>
      <c r="G1111" s="3">
        <v>80.900000000000006</v>
      </c>
      <c r="H1111" t="str">
        <f>"CLIENT ID#CXD 14926"</f>
        <v>CLIENT ID#CXD 14926</v>
      </c>
    </row>
    <row r="1112" spans="1:8" x14ac:dyDescent="0.25">
      <c r="A1112" t="s">
        <v>323</v>
      </c>
      <c r="B1112">
        <v>4054</v>
      </c>
      <c r="C1112" s="3">
        <v>6910.03</v>
      </c>
      <c r="D1112" s="6">
        <v>44264</v>
      </c>
      <c r="E1112" t="str">
        <f>"20281"</f>
        <v>20281</v>
      </c>
      <c r="F1112" t="str">
        <f>"COLD MIX/PCT#3"</f>
        <v>COLD MIX/PCT#3</v>
      </c>
      <c r="G1112" s="3">
        <v>2624</v>
      </c>
      <c r="H1112" t="str">
        <f>"COLD MIX/PCT#3"</f>
        <v>COLD MIX/PCT#3</v>
      </c>
    </row>
    <row r="1113" spans="1:8" x14ac:dyDescent="0.25">
      <c r="E1113" t="str">
        <f>"20282"</f>
        <v>20282</v>
      </c>
      <c r="F1113" t="str">
        <f>"COLD MIX/PCT#1"</f>
        <v>COLD MIX/PCT#1</v>
      </c>
      <c r="G1113" s="3">
        <v>1777.35</v>
      </c>
      <c r="H1113" t="str">
        <f>"COLD MIX/PCT#1"</f>
        <v>COLD MIX/PCT#1</v>
      </c>
    </row>
    <row r="1114" spans="1:8" x14ac:dyDescent="0.25">
      <c r="E1114" t="str">
        <f>"20304"</f>
        <v>20304</v>
      </c>
      <c r="F1114" t="str">
        <f>"COLD MIX/FRIGHT"</f>
        <v>COLD MIX/FRIGHT</v>
      </c>
      <c r="G1114" s="3">
        <v>2508.6799999999998</v>
      </c>
      <c r="H1114" t="str">
        <f>"COLD MIX/FRIGHT"</f>
        <v>COLD MIX/FRIGHT</v>
      </c>
    </row>
    <row r="1115" spans="1:8" x14ac:dyDescent="0.25">
      <c r="A1115" t="s">
        <v>324</v>
      </c>
      <c r="B1115">
        <v>4085</v>
      </c>
      <c r="C1115" s="3">
        <v>10.199999999999999</v>
      </c>
      <c r="D1115" s="6">
        <v>44264</v>
      </c>
      <c r="E1115" t="str">
        <f>"SCAUS0066398"</f>
        <v>SCAUS0066398</v>
      </c>
      <c r="F1115" t="str">
        <f>"PUMP PROTECTPR/PCT#4"</f>
        <v>PUMP PROTECTPR/PCT#4</v>
      </c>
      <c r="G1115" s="3">
        <v>10.199999999999999</v>
      </c>
      <c r="H1115" t="str">
        <f>"PUMP PROTECTPR/PCT#4"</f>
        <v>PUMP PROTECTPR/PCT#4</v>
      </c>
    </row>
    <row r="1116" spans="1:8" x14ac:dyDescent="0.25">
      <c r="A1116" t="s">
        <v>325</v>
      </c>
      <c r="B1116">
        <v>134791</v>
      </c>
      <c r="C1116" s="3">
        <v>5993.65</v>
      </c>
      <c r="D1116" s="6">
        <v>44259</v>
      </c>
      <c r="E1116" t="str">
        <f>"11024625"</f>
        <v>11024625</v>
      </c>
      <c r="F1116" t="str">
        <f>"ACCT#5150-005117630 / 03/01/21"</f>
        <v>ACCT#5150-005117630 / 03/01/21</v>
      </c>
      <c r="G1116" s="3">
        <v>262.81</v>
      </c>
      <c r="H1116" t="str">
        <f>"WASTE CONNECTIONS LONE STAR. I"</f>
        <v>WASTE CONNECTIONS LONE STAR. I</v>
      </c>
    </row>
    <row r="1117" spans="1:8" x14ac:dyDescent="0.25">
      <c r="E1117" t="str">
        <f>"11024632"</f>
        <v>11024632</v>
      </c>
      <c r="F1117" t="str">
        <f t="shared" ref="F1117:F1123" si="22">"ACCT#5150-005117766 / 03/01/21"</f>
        <v>ACCT#5150-005117766 / 03/01/21</v>
      </c>
      <c r="G1117" s="3">
        <v>115.36</v>
      </c>
      <c r="H1117" t="str">
        <f>"ACCT#5150-005117766 / 03/01/21"</f>
        <v>ACCT#5150-005117766 / 03/01/21</v>
      </c>
    </row>
    <row r="1118" spans="1:8" x14ac:dyDescent="0.25">
      <c r="E1118" t="str">
        <f>"11024636"</f>
        <v>11024636</v>
      </c>
      <c r="F1118" t="str">
        <f t="shared" si="22"/>
        <v>ACCT#5150-005117766 / 03/01/21</v>
      </c>
      <c r="G1118" s="3">
        <v>106.76</v>
      </c>
      <c r="H1118" t="str">
        <f>"ACCT#5150-005117766 / 03/01/21"</f>
        <v>ACCT#5150-005117766 / 03/01/21</v>
      </c>
    </row>
    <row r="1119" spans="1:8" x14ac:dyDescent="0.25">
      <c r="E1119" t="str">
        <f>"11024638"</f>
        <v>11024638</v>
      </c>
      <c r="F1119" t="str">
        <f t="shared" si="22"/>
        <v>ACCT#5150-005117766 / 03/01/21</v>
      </c>
      <c r="G1119" s="3">
        <v>144.19</v>
      </c>
      <c r="H1119" t="str">
        <f>"ACCT#5150-005117766 / 03/01/21"</f>
        <v>ACCT#5150-005117766 / 03/01/21</v>
      </c>
    </row>
    <row r="1120" spans="1:8" x14ac:dyDescent="0.25">
      <c r="E1120" t="str">
        <f>"11024646"</f>
        <v>11024646</v>
      </c>
      <c r="F1120" t="str">
        <f t="shared" si="22"/>
        <v>ACCT#5150-005117766 / 03/01/21</v>
      </c>
      <c r="G1120" s="3">
        <v>618.96</v>
      </c>
      <c r="H1120" t="str">
        <f>"WASTE CONNECTIONS LONE STAR. I"</f>
        <v>WASTE CONNECTIONS LONE STAR. I</v>
      </c>
    </row>
    <row r="1121" spans="1:8" x14ac:dyDescent="0.25">
      <c r="E1121" t="str">
        <f>"11024674"</f>
        <v>11024674</v>
      </c>
      <c r="F1121" t="str">
        <f t="shared" si="22"/>
        <v>ACCT#5150-005117766 / 03/01/21</v>
      </c>
      <c r="G1121" s="3">
        <v>4633.2</v>
      </c>
      <c r="H1121" t="str">
        <f>"WASTE CONNECTIONS LONE STAR. I"</f>
        <v>WASTE CONNECTIONS LONE STAR. I</v>
      </c>
    </row>
    <row r="1122" spans="1:8" x14ac:dyDescent="0.25">
      <c r="E1122" t="str">
        <f>"11028703"</f>
        <v>11028703</v>
      </c>
      <c r="F1122" t="str">
        <f t="shared" si="22"/>
        <v>ACCT#5150-005117766 / 03/01/21</v>
      </c>
      <c r="G1122" s="3">
        <v>83.48</v>
      </c>
      <c r="H1122" t="str">
        <f>"WASTE CONNECTIONS LONE STAR. I"</f>
        <v>WASTE CONNECTIONS LONE STAR. I</v>
      </c>
    </row>
    <row r="1123" spans="1:8" x14ac:dyDescent="0.25">
      <c r="E1123" t="str">
        <f>"11028704"</f>
        <v>11028704</v>
      </c>
      <c r="F1123" t="str">
        <f t="shared" si="22"/>
        <v>ACCT#5150-005117766 / 03/01/21</v>
      </c>
      <c r="G1123" s="3">
        <v>28.89</v>
      </c>
      <c r="H1123" t="str">
        <f>"WASTE CONNECTIONS LONE STAR. I"</f>
        <v>WASTE CONNECTIONS LONE STAR. I</v>
      </c>
    </row>
    <row r="1124" spans="1:8" x14ac:dyDescent="0.25">
      <c r="A1124" t="s">
        <v>326</v>
      </c>
      <c r="B1124">
        <v>135077</v>
      </c>
      <c r="C1124" s="3">
        <v>5244.59</v>
      </c>
      <c r="D1124" s="6">
        <v>44277</v>
      </c>
      <c r="E1124" t="str">
        <f>"0030990-2161-4"</f>
        <v>0030990-2161-4</v>
      </c>
      <c r="F1124" t="str">
        <f>"CUST#2-57060-55062/PCT#4"</f>
        <v>CUST#2-57060-55062/PCT#4</v>
      </c>
      <c r="G1124" s="3">
        <v>3437.04</v>
      </c>
      <c r="H1124" t="str">
        <f>"CUST#2-57060-55062/PCT#4"</f>
        <v>CUST#2-57060-55062/PCT#4</v>
      </c>
    </row>
    <row r="1125" spans="1:8" x14ac:dyDescent="0.25">
      <c r="E1125" t="str">
        <f>"0110271-2161-2"</f>
        <v>0110271-2161-2</v>
      </c>
      <c r="F1125" t="str">
        <f>"CUST#2-56581-95066"</f>
        <v>CUST#2-56581-95066</v>
      </c>
      <c r="G1125" s="3">
        <v>449.69</v>
      </c>
      <c r="H1125" t="str">
        <f>"CUST#2-56581-95066"</f>
        <v>CUST#2-56581-95066</v>
      </c>
    </row>
    <row r="1126" spans="1:8" x14ac:dyDescent="0.25">
      <c r="E1126" t="str">
        <f>"6711057-2161"</f>
        <v>6711057-2161</v>
      </c>
      <c r="F1126" t="str">
        <f>"CUST#23-90244-23005"</f>
        <v>CUST#23-90244-23005</v>
      </c>
      <c r="G1126" s="3">
        <v>1357.86</v>
      </c>
      <c r="H1126" t="str">
        <f>"CUST#23-90244-23005"</f>
        <v>CUST#23-90244-23005</v>
      </c>
    </row>
    <row r="1127" spans="1:8" x14ac:dyDescent="0.25">
      <c r="A1127" t="s">
        <v>327</v>
      </c>
      <c r="B1127">
        <v>135078</v>
      </c>
      <c r="C1127" s="3">
        <v>60390</v>
      </c>
      <c r="D1127" s="6">
        <v>44277</v>
      </c>
      <c r="E1127" t="str">
        <f>"23304"</f>
        <v>23304</v>
      </c>
      <c r="F1127" t="str">
        <f>"Storage Renewal"</f>
        <v>Storage Renewal</v>
      </c>
      <c r="G1127" s="3">
        <v>60390</v>
      </c>
      <c r="H1127" t="str">
        <f>"FY 21-22"</f>
        <v>FY 21-22</v>
      </c>
    </row>
    <row r="1128" spans="1:8" x14ac:dyDescent="0.25">
      <c r="E1128" t="str">
        <f>""</f>
        <v/>
      </c>
      <c r="F1128" t="str">
        <f>""</f>
        <v/>
      </c>
      <c r="H1128" t="str">
        <f>"FY 20-21"</f>
        <v>FY 20-21</v>
      </c>
    </row>
    <row r="1129" spans="1:8" x14ac:dyDescent="0.25">
      <c r="A1129" t="s">
        <v>328</v>
      </c>
      <c r="B1129">
        <v>4113</v>
      </c>
      <c r="C1129" s="3">
        <v>1603.08</v>
      </c>
      <c r="D1129" s="6">
        <v>44278</v>
      </c>
      <c r="E1129" t="str">
        <f>"27206"</f>
        <v>27206</v>
      </c>
      <c r="F1129" t="str">
        <f>"INV 27206"</f>
        <v>INV 27206</v>
      </c>
      <c r="G1129" s="3">
        <v>1603.08</v>
      </c>
      <c r="H1129" t="str">
        <f>"INV 27206"</f>
        <v>INV 27206</v>
      </c>
    </row>
    <row r="1130" spans="1:8" x14ac:dyDescent="0.25">
      <c r="A1130" t="s">
        <v>329</v>
      </c>
      <c r="B1130">
        <v>134893</v>
      </c>
      <c r="C1130" s="3">
        <v>620</v>
      </c>
      <c r="D1130" s="6">
        <v>44263</v>
      </c>
      <c r="E1130" t="str">
        <f>"202103011842"</f>
        <v>202103011842</v>
      </c>
      <c r="F1130" t="str">
        <f>"MH HEARING/R. ALEXANDER"</f>
        <v>MH HEARING/R. ALEXANDER</v>
      </c>
      <c r="G1130" s="3">
        <v>620</v>
      </c>
      <c r="H1130" t="str">
        <f>"MH HEARING/R. ALEXANDER"</f>
        <v>MH HEARING/R. ALEXANDER</v>
      </c>
    </row>
    <row r="1131" spans="1:8" x14ac:dyDescent="0.25">
      <c r="A1131" t="s">
        <v>330</v>
      </c>
      <c r="B1131">
        <v>134894</v>
      </c>
      <c r="C1131" s="3">
        <v>2087.75</v>
      </c>
      <c r="D1131" s="6">
        <v>44263</v>
      </c>
      <c r="E1131" t="str">
        <f>"202103031941"</f>
        <v>202103031941</v>
      </c>
      <c r="F1131" t="str">
        <f>"2006 WANCO RD SIDE MESSAGE BRD"</f>
        <v>2006 WANCO RD SIDE MESSAGE BRD</v>
      </c>
      <c r="G1131" s="3">
        <v>2087.75</v>
      </c>
      <c r="H1131" t="str">
        <f>"2006 WANCO RD SIDE MESSAGE BRD"</f>
        <v>2006 WANCO RD SIDE MESSAGE BRD</v>
      </c>
    </row>
    <row r="1132" spans="1:8" x14ac:dyDescent="0.25">
      <c r="A1132" t="s">
        <v>331</v>
      </c>
      <c r="B1132">
        <v>135079</v>
      </c>
      <c r="C1132" s="3">
        <v>140</v>
      </c>
      <c r="D1132" s="6">
        <v>44277</v>
      </c>
      <c r="E1132" t="str">
        <f>"13148"</f>
        <v>13148</v>
      </c>
      <c r="F1132" t="str">
        <f>"SERVICE"</f>
        <v>SERVICE</v>
      </c>
      <c r="G1132" s="3">
        <v>140</v>
      </c>
      <c r="H1132" t="str">
        <f>"SERVICE"</f>
        <v>SERVICE</v>
      </c>
    </row>
    <row r="1133" spans="1:8" x14ac:dyDescent="0.25">
      <c r="A1133" t="s">
        <v>332</v>
      </c>
      <c r="B1133">
        <v>135080</v>
      </c>
      <c r="C1133" s="3">
        <v>70</v>
      </c>
      <c r="D1133" s="6">
        <v>44277</v>
      </c>
      <c r="E1133" t="str">
        <f>"13348"</f>
        <v>13348</v>
      </c>
      <c r="F1133" t="str">
        <f>"SERVICE"</f>
        <v>SERVICE</v>
      </c>
      <c r="G1133" s="3">
        <v>70</v>
      </c>
      <c r="H1133" t="str">
        <f>"SERVICE"</f>
        <v>SERVICE</v>
      </c>
    </row>
    <row r="1134" spans="1:8" x14ac:dyDescent="0.25">
      <c r="A1134" t="s">
        <v>333</v>
      </c>
      <c r="B1134">
        <v>135081</v>
      </c>
      <c r="C1134" s="3">
        <v>3350</v>
      </c>
      <c r="D1134" s="6">
        <v>44277</v>
      </c>
      <c r="E1134" t="str">
        <f>"2556"</f>
        <v>2556</v>
      </c>
      <c r="F1134" t="str">
        <f>"HAUL OFF TREES/PCT#3"</f>
        <v>HAUL OFF TREES/PCT#3</v>
      </c>
      <c r="G1134" s="3">
        <v>3350</v>
      </c>
      <c r="H1134" t="str">
        <f>"HAUL OFF TREES/PCT#3"</f>
        <v>HAUL OFF TREES/PCT#3</v>
      </c>
    </row>
    <row r="1135" spans="1:8" x14ac:dyDescent="0.25">
      <c r="A1135" t="s">
        <v>334</v>
      </c>
      <c r="B1135">
        <v>134895</v>
      </c>
      <c r="C1135" s="3">
        <v>113.41</v>
      </c>
      <c r="D1135" s="6">
        <v>44263</v>
      </c>
      <c r="E1135" t="str">
        <f>"6807080"</f>
        <v>6807080</v>
      </c>
      <c r="F1135" t="str">
        <f>"CUST#339435/PCT#3"</f>
        <v>CUST#339435/PCT#3</v>
      </c>
      <c r="G1135" s="3">
        <v>113.41</v>
      </c>
      <c r="H1135" t="str">
        <f>"CUST#339435/PCT#3"</f>
        <v>CUST#339435/PCT#3</v>
      </c>
    </row>
    <row r="1136" spans="1:8" x14ac:dyDescent="0.25">
      <c r="A1136" t="s">
        <v>335</v>
      </c>
      <c r="B1136">
        <v>134896</v>
      </c>
      <c r="C1136" s="3">
        <v>600</v>
      </c>
      <c r="D1136" s="6">
        <v>44263</v>
      </c>
      <c r="E1136" t="str">
        <f>"0013741"</f>
        <v>0013741</v>
      </c>
      <c r="F1136" t="str">
        <f>"423-6396"</f>
        <v>423-6396</v>
      </c>
      <c r="G1136" s="3">
        <v>600</v>
      </c>
      <c r="H1136" t="str">
        <f>"423-6396"</f>
        <v>423-6396</v>
      </c>
    </row>
    <row r="1137" spans="1:8" x14ac:dyDescent="0.25">
      <c r="A1137" t="s">
        <v>336</v>
      </c>
      <c r="B1137">
        <v>134897</v>
      </c>
      <c r="C1137" s="3">
        <v>25</v>
      </c>
      <c r="D1137" s="6">
        <v>44263</v>
      </c>
      <c r="E1137" t="str">
        <f>"13163"</f>
        <v>13163</v>
      </c>
      <c r="F1137" t="str">
        <f>"RESTITUTION M. MANZANARES"</f>
        <v>RESTITUTION M. MANZANARES</v>
      </c>
      <c r="G1137" s="3">
        <v>25</v>
      </c>
      <c r="H1137" t="str">
        <f>"RESTITUTION M. MANZANARES"</f>
        <v>RESTITUTION M. MANZANARES</v>
      </c>
    </row>
    <row r="1138" spans="1:8" x14ac:dyDescent="0.25">
      <c r="A1138" t="s">
        <v>337</v>
      </c>
      <c r="B1138">
        <v>134898</v>
      </c>
      <c r="C1138" s="3">
        <v>61.73</v>
      </c>
      <c r="D1138" s="6">
        <v>44263</v>
      </c>
      <c r="E1138" t="str">
        <f>"9012595936"</f>
        <v>9012595936</v>
      </c>
      <c r="F1138" t="str">
        <f>"CUST#1000113183"</f>
        <v>CUST#1000113183</v>
      </c>
      <c r="G1138" s="3">
        <v>61.73</v>
      </c>
      <c r="H1138" t="str">
        <f>"CUST#1000113183"</f>
        <v>CUST#1000113183</v>
      </c>
    </row>
    <row r="1139" spans="1:8" x14ac:dyDescent="0.25">
      <c r="A1139" t="s">
        <v>337</v>
      </c>
      <c r="B1139">
        <v>135082</v>
      </c>
      <c r="C1139" s="3">
        <v>4801.0200000000004</v>
      </c>
      <c r="D1139" s="6">
        <v>44277</v>
      </c>
      <c r="E1139" t="str">
        <f>"9500636622"</f>
        <v>9500636622</v>
      </c>
      <c r="F1139" t="str">
        <f>"CUST#1000113183"</f>
        <v>CUST#1000113183</v>
      </c>
      <c r="G1139" s="3">
        <v>-1078.3499999999999</v>
      </c>
      <c r="H1139" t="str">
        <f>"CUST#1000113183"</f>
        <v>CUST#1000113183</v>
      </c>
    </row>
    <row r="1140" spans="1:8" x14ac:dyDescent="0.25">
      <c r="E1140" t="str">
        <f>"9012587776"</f>
        <v>9012587776</v>
      </c>
      <c r="F1140" t="str">
        <f>"CUST#1000113183"</f>
        <v>CUST#1000113183</v>
      </c>
      <c r="G1140" s="3">
        <v>1510.4</v>
      </c>
      <c r="H1140" t="str">
        <f>"CUST#1000113183"</f>
        <v>CUST#1000113183</v>
      </c>
    </row>
    <row r="1141" spans="1:8" x14ac:dyDescent="0.25">
      <c r="E1141" t="str">
        <f>"9012587808"</f>
        <v>9012587808</v>
      </c>
      <c r="F1141" t="str">
        <f>"CUST#1000113183"</f>
        <v>CUST#1000113183</v>
      </c>
      <c r="G1141" s="3">
        <v>1540.56</v>
      </c>
      <c r="H1141" t="str">
        <f>"CUST#1000113183"</f>
        <v>CUST#1000113183</v>
      </c>
    </row>
    <row r="1142" spans="1:8" x14ac:dyDescent="0.25">
      <c r="E1142" t="str">
        <f>""</f>
        <v/>
      </c>
      <c r="F1142" t="str">
        <f>""</f>
        <v/>
      </c>
      <c r="H1142" t="str">
        <f>"CUST#1000113183"</f>
        <v>CUST#1000113183</v>
      </c>
    </row>
    <row r="1143" spans="1:8" x14ac:dyDescent="0.25">
      <c r="E1143" t="str">
        <f>"9012602494"</f>
        <v>9012602494</v>
      </c>
      <c r="F1143" t="str">
        <f>"ACCT#1000113183"</f>
        <v>ACCT#1000113183</v>
      </c>
      <c r="G1143" s="3">
        <v>520</v>
      </c>
      <c r="H1143" t="str">
        <f>"ACCT#1000113183"</f>
        <v>ACCT#1000113183</v>
      </c>
    </row>
    <row r="1144" spans="1:8" x14ac:dyDescent="0.25">
      <c r="E1144" t="str">
        <f>"9012611709"</f>
        <v>9012611709</v>
      </c>
      <c r="F1144" t="str">
        <f>"CUST#1000113183"</f>
        <v>CUST#1000113183</v>
      </c>
      <c r="G1144" s="3">
        <v>270.3</v>
      </c>
      <c r="H1144" t="str">
        <f>"CUST#1000113183"</f>
        <v>CUST#1000113183</v>
      </c>
    </row>
    <row r="1145" spans="1:8" x14ac:dyDescent="0.25">
      <c r="E1145" t="str">
        <f>"9012648654"</f>
        <v>9012648654</v>
      </c>
      <c r="F1145" t="str">
        <f>"CUST#1000113183"</f>
        <v>CUST#1000113183</v>
      </c>
      <c r="G1145" s="3">
        <v>959.76</v>
      </c>
      <c r="H1145" t="str">
        <f>"CUST#1000113183"</f>
        <v>CUST#1000113183</v>
      </c>
    </row>
    <row r="1146" spans="1:8" x14ac:dyDescent="0.25">
      <c r="E1146" t="str">
        <f>""</f>
        <v/>
      </c>
      <c r="F1146" t="str">
        <f>""</f>
        <v/>
      </c>
      <c r="H1146" t="str">
        <f>"CUST#1000113183"</f>
        <v>CUST#1000113183</v>
      </c>
    </row>
    <row r="1147" spans="1:8" x14ac:dyDescent="0.25">
      <c r="E1147" t="str">
        <f>"9012667017"</f>
        <v>9012667017</v>
      </c>
      <c r="F1147" t="str">
        <f>"CUST#1000113183"</f>
        <v>CUST#1000113183</v>
      </c>
      <c r="G1147" s="3">
        <v>1078.3499999999999</v>
      </c>
      <c r="H1147" t="str">
        <f>"CUST#1000113183"</f>
        <v>CUST#1000113183</v>
      </c>
    </row>
    <row r="1148" spans="1:8" x14ac:dyDescent="0.25">
      <c r="A1148" t="s">
        <v>23</v>
      </c>
      <c r="B1148">
        <v>134899</v>
      </c>
      <c r="C1148" s="3">
        <v>29.49</v>
      </c>
      <c r="D1148" s="6">
        <v>44263</v>
      </c>
      <c r="E1148" t="str">
        <f>"202103021916"</f>
        <v>202103021916</v>
      </c>
      <c r="F1148" t="str">
        <f>"ACCT#015397/JUVENILE BOOTCAMP"</f>
        <v>ACCT#015397/JUVENILE BOOTCAMP</v>
      </c>
      <c r="G1148" s="3">
        <v>29.49</v>
      </c>
      <c r="H1148" t="str">
        <f>"ACCT#015397/JUVENILE BOOTCAMP"</f>
        <v>ACCT#015397/JUVENILE BOOTCAMP</v>
      </c>
    </row>
    <row r="1149" spans="1:8" x14ac:dyDescent="0.25">
      <c r="A1149" t="s">
        <v>31</v>
      </c>
      <c r="B1149">
        <v>135083</v>
      </c>
      <c r="C1149" s="3">
        <v>648.45000000000005</v>
      </c>
      <c r="D1149" s="6">
        <v>44277</v>
      </c>
      <c r="E1149" t="str">
        <f>"202103152163"</f>
        <v>202103152163</v>
      </c>
      <c r="F1149" t="str">
        <f>"ACCT#287290524359"</f>
        <v>ACCT#287290524359</v>
      </c>
      <c r="G1149" s="3">
        <v>648.45000000000005</v>
      </c>
      <c r="H1149" t="str">
        <f>"ACCT#287290524359"</f>
        <v>ACCT#287290524359</v>
      </c>
    </row>
    <row r="1150" spans="1:8" x14ac:dyDescent="0.25">
      <c r="A1150" t="s">
        <v>47</v>
      </c>
      <c r="B1150">
        <v>4092</v>
      </c>
      <c r="C1150" s="3">
        <v>721.24</v>
      </c>
      <c r="D1150" s="6">
        <v>44264</v>
      </c>
      <c r="E1150" t="str">
        <f>"202103031952"</f>
        <v>202103031952</v>
      </c>
      <c r="F1150" t="str">
        <f>"PCT#2 R.O.W LAND TAX"</f>
        <v>PCT#2 R.O.W LAND TAX</v>
      </c>
      <c r="G1150" s="3">
        <v>721.24</v>
      </c>
      <c r="H1150" t="str">
        <f>"PCT#2 R.O.W LAND TAX"</f>
        <v>PCT#2 R.O.W LAND TAX</v>
      </c>
    </row>
    <row r="1151" spans="1:8" x14ac:dyDescent="0.25">
      <c r="A1151" t="s">
        <v>47</v>
      </c>
      <c r="B1151">
        <v>4169</v>
      </c>
      <c r="C1151" s="3">
        <v>136.87</v>
      </c>
      <c r="D1151" s="6">
        <v>44278</v>
      </c>
      <c r="E1151" t="str">
        <f>"202103152161"</f>
        <v>202103152161</v>
      </c>
      <c r="F1151" t="str">
        <f>"ACCT#R483637/R483639/R483641"</f>
        <v>ACCT#R483637/R483639/R483641</v>
      </c>
      <c r="G1151" s="3">
        <v>136.87</v>
      </c>
      <c r="H1151" t="str">
        <f>"BASTROP COUNTY TAX ASSESSOR"</f>
        <v>BASTROP COUNTY TAX ASSESSOR</v>
      </c>
    </row>
    <row r="1152" spans="1:8" x14ac:dyDescent="0.25">
      <c r="A1152" t="s">
        <v>57</v>
      </c>
      <c r="B1152">
        <v>134917</v>
      </c>
      <c r="C1152" s="3">
        <v>535.4</v>
      </c>
      <c r="D1152" s="6">
        <v>44271</v>
      </c>
      <c r="E1152" t="str">
        <f>"202103122123"</f>
        <v>202103122123</v>
      </c>
      <c r="F1152" t="str">
        <f>"ACCT#5000057374 / 03032021"</f>
        <v>ACCT#5000057374 / 03032021</v>
      </c>
      <c r="G1152" s="3">
        <v>535.4</v>
      </c>
      <c r="H1152" t="str">
        <f>"ACCT#5000057374 / 03032021"</f>
        <v>ACCT#5000057374 / 03032021</v>
      </c>
    </row>
    <row r="1153" spans="1:8" x14ac:dyDescent="0.25">
      <c r="A1153" t="s">
        <v>70</v>
      </c>
      <c r="B1153">
        <v>950</v>
      </c>
      <c r="C1153" s="3">
        <v>167.66</v>
      </c>
      <c r="D1153" s="6">
        <v>44263</v>
      </c>
      <c r="E1153" t="str">
        <f>"202103031964"</f>
        <v>202103031964</v>
      </c>
      <c r="F1153" t="str">
        <f>"Statement"</f>
        <v>Statement</v>
      </c>
      <c r="G1153" s="3">
        <v>167.66</v>
      </c>
      <c r="H1153" t="str">
        <f>"walmart"</f>
        <v>walmart</v>
      </c>
    </row>
    <row r="1154" spans="1:8" x14ac:dyDescent="0.25">
      <c r="E1154" t="str">
        <f>""</f>
        <v/>
      </c>
      <c r="F1154" t="str">
        <f>""</f>
        <v/>
      </c>
      <c r="H1154" t="str">
        <f>"dickens"</f>
        <v>dickens</v>
      </c>
    </row>
    <row r="1155" spans="1:8" x14ac:dyDescent="0.25">
      <c r="E1155" t="str">
        <f>""</f>
        <v/>
      </c>
      <c r="F1155" t="str">
        <f>""</f>
        <v/>
      </c>
      <c r="H1155" t="str">
        <f>"walmart"</f>
        <v>walmart</v>
      </c>
    </row>
    <row r="1156" spans="1:8" x14ac:dyDescent="0.25">
      <c r="A1156" t="s">
        <v>79</v>
      </c>
      <c r="B1156">
        <v>989</v>
      </c>
      <c r="C1156" s="3">
        <v>12641.18</v>
      </c>
      <c r="D1156" s="6">
        <v>44280</v>
      </c>
      <c r="E1156" t="str">
        <f>"202103252351"</f>
        <v>202103252351</v>
      </c>
      <c r="F1156" t="str">
        <f>"ACCT# 72-5613 / 03032021"</f>
        <v>ACCT# 72-5613 / 03032021</v>
      </c>
      <c r="G1156" s="3">
        <v>12641.18</v>
      </c>
      <c r="H1156" t="str">
        <f>"ACCT# 72-5613 / 03032021"</f>
        <v>ACCT# 72-5613 / 03032021</v>
      </c>
    </row>
    <row r="1157" spans="1:8" x14ac:dyDescent="0.25">
      <c r="A1157" t="s">
        <v>81</v>
      </c>
      <c r="B1157">
        <v>135084</v>
      </c>
      <c r="C1157" s="3">
        <v>117960.01</v>
      </c>
      <c r="D1157" s="6">
        <v>44277</v>
      </c>
      <c r="E1157" t="str">
        <f>"202103152159"</f>
        <v>202103152159</v>
      </c>
      <c r="F1157" t="str">
        <f>"CITY OF BASTROP WATER METER"</f>
        <v>CITY OF BASTROP WATER METER</v>
      </c>
      <c r="G1157" s="3">
        <v>95178.5</v>
      </c>
      <c r="H1157" t="str">
        <f>"CITY OF BASTROP WATER METER"</f>
        <v>CITY OF BASTROP WATER METER</v>
      </c>
    </row>
    <row r="1158" spans="1:8" x14ac:dyDescent="0.25">
      <c r="E1158" t="str">
        <f>"202103152160"</f>
        <v>202103152160</v>
      </c>
      <c r="F1158" t="str">
        <f>"15 AMERICAN LEGION DRIVE"</f>
        <v>15 AMERICAN LEGION DRIVE</v>
      </c>
      <c r="G1158" s="3">
        <v>22781.51</v>
      </c>
      <c r="H1158" t="str">
        <f>"15 AMERICAN LEGION DRIVE"</f>
        <v>15 AMERICAN LEGION DRIVE</v>
      </c>
    </row>
    <row r="1159" spans="1:8" x14ac:dyDescent="0.25">
      <c r="A1159" t="s">
        <v>338</v>
      </c>
      <c r="B1159">
        <v>135085</v>
      </c>
      <c r="C1159" s="3">
        <v>35.94</v>
      </c>
      <c r="D1159" s="6">
        <v>44277</v>
      </c>
      <c r="E1159" t="str">
        <f>"82328"</f>
        <v>82328</v>
      </c>
      <c r="F1159" t="str">
        <f>"GLOVES/BOOTCAMP"</f>
        <v>GLOVES/BOOTCAMP</v>
      </c>
      <c r="G1159" s="3">
        <v>35.94</v>
      </c>
      <c r="H1159" t="str">
        <f>"GLOVES/BOOTCAMP"</f>
        <v>GLOVES/BOOTCAMP</v>
      </c>
    </row>
    <row r="1160" spans="1:8" x14ac:dyDescent="0.25">
      <c r="A1160" t="s">
        <v>339</v>
      </c>
      <c r="B1160">
        <v>4170</v>
      </c>
      <c r="C1160" s="3">
        <v>10910.28</v>
      </c>
      <c r="D1160" s="6">
        <v>44278</v>
      </c>
      <c r="E1160" t="str">
        <f>"4248"</f>
        <v>4248</v>
      </c>
      <c r="F1160" t="str">
        <f>"HMGP ADMIN/GREEN VALLY O'GRADY"</f>
        <v>HMGP ADMIN/GREEN VALLY O'GRADY</v>
      </c>
      <c r="G1160" s="3">
        <v>1760.28</v>
      </c>
      <c r="H1160" t="str">
        <f>"HMGP ADMIN/GREEN VALLY O'GRADY"</f>
        <v>HMGP ADMIN/GREEN VALLY O'GRADY</v>
      </c>
    </row>
    <row r="1161" spans="1:8" x14ac:dyDescent="0.25">
      <c r="E1161" t="str">
        <f>"4253"</f>
        <v>4253</v>
      </c>
      <c r="F1161" t="str">
        <f>"PROJECT# DR4272-029"</f>
        <v>PROJECT# DR4272-029</v>
      </c>
      <c r="G1161" s="3">
        <v>9150</v>
      </c>
      <c r="H1161" t="str">
        <f>"PROJECT# DR4272-029"</f>
        <v>PROJECT# DR4272-029</v>
      </c>
    </row>
    <row r="1162" spans="1:8" x14ac:dyDescent="0.25">
      <c r="A1162" t="s">
        <v>27</v>
      </c>
      <c r="B1162">
        <v>134929</v>
      </c>
      <c r="C1162" s="3">
        <v>35100</v>
      </c>
      <c r="D1162" s="6">
        <v>44273</v>
      </c>
      <c r="E1162" t="str">
        <f>"INV0004/INV0005"</f>
        <v>INV0004/INV0005</v>
      </c>
      <c r="F1162" t="str">
        <f>"ELGIN COVID TESTING SITE"</f>
        <v>ELGIN COVID TESTING SITE</v>
      </c>
      <c r="G1162" s="3">
        <v>35100</v>
      </c>
      <c r="H1162" t="str">
        <f>"ELGIN COVID TESTING SITE"</f>
        <v>ELGIN COVID TESTING SITE</v>
      </c>
    </row>
    <row r="1163" spans="1:8" x14ac:dyDescent="0.25">
      <c r="A1163" t="s">
        <v>291</v>
      </c>
      <c r="B1163">
        <v>135086</v>
      </c>
      <c r="C1163" s="3">
        <v>1297.42</v>
      </c>
      <c r="D1163" s="6">
        <v>44277</v>
      </c>
      <c r="E1163" t="str">
        <f>"202103162184"</f>
        <v>202103162184</v>
      </c>
      <c r="F1163" t="str">
        <f>"2ND QUARTER WORKERS COMP"</f>
        <v>2ND QUARTER WORKERS COMP</v>
      </c>
      <c r="G1163" s="3">
        <v>1297.42</v>
      </c>
      <c r="H1163" t="str">
        <f>"2ND QUARTER WORKERS COMP"</f>
        <v>2ND QUARTER WORKERS COMP</v>
      </c>
    </row>
    <row r="1164" spans="1:8" x14ac:dyDescent="0.25">
      <c r="A1164" t="s">
        <v>340</v>
      </c>
      <c r="B1164">
        <v>135087</v>
      </c>
      <c r="C1164" s="3">
        <v>1376</v>
      </c>
      <c r="D1164" s="6">
        <v>44277</v>
      </c>
      <c r="E1164" t="str">
        <f>"22782"</f>
        <v>22782</v>
      </c>
      <c r="F1164" t="str">
        <f>"CISCO COURTROOM PROJECT"</f>
        <v>CISCO COURTROOM PROJECT</v>
      </c>
      <c r="G1164" s="3">
        <v>1376</v>
      </c>
      <c r="H1164" t="str">
        <f>"Tabletop microw/base"</f>
        <v>Tabletop microw/base</v>
      </c>
    </row>
    <row r="1165" spans="1:8" x14ac:dyDescent="0.25">
      <c r="E1165" t="str">
        <f>""</f>
        <v/>
      </c>
      <c r="F1165" t="str">
        <f>""</f>
        <v/>
      </c>
      <c r="H1165" t="str">
        <f>"10ft microphonecable"</f>
        <v>10ft microphonecable</v>
      </c>
    </row>
    <row r="1166" spans="1:8" x14ac:dyDescent="0.25">
      <c r="E1166" t="str">
        <f>""</f>
        <v/>
      </c>
      <c r="F1166" t="str">
        <f>""</f>
        <v/>
      </c>
      <c r="H1166" t="str">
        <f>"25ft microphonecable"</f>
        <v>25ft microphonecable</v>
      </c>
    </row>
    <row r="1167" spans="1:8" x14ac:dyDescent="0.25">
      <c r="E1167" t="str">
        <f>""</f>
        <v/>
      </c>
      <c r="F1167" t="str">
        <f>""</f>
        <v/>
      </c>
      <c r="H1167" t="str">
        <f>"Shipping cost"</f>
        <v>Shipping cost</v>
      </c>
    </row>
    <row r="1168" spans="1:8" x14ac:dyDescent="0.25">
      <c r="A1168" t="s">
        <v>341</v>
      </c>
      <c r="B1168">
        <v>963</v>
      </c>
      <c r="C1168" s="3">
        <v>4526.45</v>
      </c>
      <c r="D1168" s="6">
        <v>44279</v>
      </c>
      <c r="E1168" t="str">
        <f>"202103242314"</f>
        <v>202103242314</v>
      </c>
      <c r="F1168" t="str">
        <f>"ROUNDING - MARCH 2021"</f>
        <v>ROUNDING - MARCH 2021</v>
      </c>
      <c r="G1168" s="3">
        <v>0.03</v>
      </c>
      <c r="H1168" t="str">
        <f>"ROUNDING - MARCH 2021"</f>
        <v>ROUNDING - MARCH 2021</v>
      </c>
    </row>
    <row r="1169" spans="1:8" x14ac:dyDescent="0.25">
      <c r="E1169" t="str">
        <f>"AS 202103031933"</f>
        <v>AS 202103031933</v>
      </c>
      <c r="F1169" t="str">
        <f t="shared" ref="F1169:F1182" si="23">"ALLSTATE"</f>
        <v>ALLSTATE</v>
      </c>
      <c r="G1169" s="3">
        <v>406.52</v>
      </c>
      <c r="H1169" t="str">
        <f t="shared" ref="H1169:H1182" si="24">"ALLSTATE"</f>
        <v>ALLSTATE</v>
      </c>
    </row>
    <row r="1170" spans="1:8" x14ac:dyDescent="0.25">
      <c r="E1170" t="str">
        <f>"AS 202103031934"</f>
        <v>AS 202103031934</v>
      </c>
      <c r="F1170" t="str">
        <f t="shared" si="23"/>
        <v>ALLSTATE</v>
      </c>
      <c r="G1170" s="3">
        <v>27.14</v>
      </c>
      <c r="H1170" t="str">
        <f t="shared" si="24"/>
        <v>ALLSTATE</v>
      </c>
    </row>
    <row r="1171" spans="1:8" x14ac:dyDescent="0.25">
      <c r="E1171" t="str">
        <f>"AS 202103172243"</f>
        <v>AS 202103172243</v>
      </c>
      <c r="F1171" t="str">
        <f t="shared" si="23"/>
        <v>ALLSTATE</v>
      </c>
      <c r="G1171" s="3">
        <v>406.52</v>
      </c>
      <c r="H1171" t="str">
        <f t="shared" si="24"/>
        <v>ALLSTATE</v>
      </c>
    </row>
    <row r="1172" spans="1:8" x14ac:dyDescent="0.25">
      <c r="E1172" t="str">
        <f>"AS 202103172244"</f>
        <v>AS 202103172244</v>
      </c>
      <c r="F1172" t="str">
        <f t="shared" si="23"/>
        <v>ALLSTATE</v>
      </c>
      <c r="G1172" s="3">
        <v>27.14</v>
      </c>
      <c r="H1172" t="str">
        <f t="shared" si="24"/>
        <v>ALLSTATE</v>
      </c>
    </row>
    <row r="1173" spans="1:8" x14ac:dyDescent="0.25">
      <c r="E1173" t="str">
        <f>"ASD202103031933"</f>
        <v>ASD202103031933</v>
      </c>
      <c r="F1173" t="str">
        <f t="shared" si="23"/>
        <v>ALLSTATE</v>
      </c>
      <c r="G1173" s="3">
        <v>170.21</v>
      </c>
      <c r="H1173" t="str">
        <f t="shared" si="24"/>
        <v>ALLSTATE</v>
      </c>
    </row>
    <row r="1174" spans="1:8" x14ac:dyDescent="0.25">
      <c r="E1174" t="str">
        <f>"ASD202103172243"</f>
        <v>ASD202103172243</v>
      </c>
      <c r="F1174" t="str">
        <f t="shared" si="23"/>
        <v>ALLSTATE</v>
      </c>
      <c r="G1174" s="3">
        <v>170.21</v>
      </c>
      <c r="H1174" t="str">
        <f t="shared" si="24"/>
        <v>ALLSTATE</v>
      </c>
    </row>
    <row r="1175" spans="1:8" x14ac:dyDescent="0.25">
      <c r="E1175" t="str">
        <f>"ASI202103031933"</f>
        <v>ASI202103031933</v>
      </c>
      <c r="F1175" t="str">
        <f t="shared" si="23"/>
        <v>ALLSTATE</v>
      </c>
      <c r="G1175" s="3">
        <v>541.08000000000004</v>
      </c>
      <c r="H1175" t="str">
        <f t="shared" si="24"/>
        <v>ALLSTATE</v>
      </c>
    </row>
    <row r="1176" spans="1:8" x14ac:dyDescent="0.25">
      <c r="E1176" t="str">
        <f>"ASI202103031934"</f>
        <v>ASI202103031934</v>
      </c>
      <c r="F1176" t="str">
        <f t="shared" si="23"/>
        <v>ALLSTATE</v>
      </c>
      <c r="G1176" s="3">
        <v>67.150000000000006</v>
      </c>
      <c r="H1176" t="str">
        <f t="shared" si="24"/>
        <v>ALLSTATE</v>
      </c>
    </row>
    <row r="1177" spans="1:8" x14ac:dyDescent="0.25">
      <c r="E1177" t="str">
        <f>"ASI202103172243"</f>
        <v>ASI202103172243</v>
      </c>
      <c r="F1177" t="str">
        <f t="shared" si="23"/>
        <v>ALLSTATE</v>
      </c>
      <c r="G1177" s="3">
        <v>541.08000000000004</v>
      </c>
      <c r="H1177" t="str">
        <f t="shared" si="24"/>
        <v>ALLSTATE</v>
      </c>
    </row>
    <row r="1178" spans="1:8" x14ac:dyDescent="0.25">
      <c r="E1178" t="str">
        <f>"ASI202103172244"</f>
        <v>ASI202103172244</v>
      </c>
      <c r="F1178" t="str">
        <f t="shared" si="23"/>
        <v>ALLSTATE</v>
      </c>
      <c r="G1178" s="3">
        <v>67.150000000000006</v>
      </c>
      <c r="H1178" t="str">
        <f t="shared" si="24"/>
        <v>ALLSTATE</v>
      </c>
    </row>
    <row r="1179" spans="1:8" x14ac:dyDescent="0.25">
      <c r="E1179" t="str">
        <f>"AST202103031933"</f>
        <v>AST202103031933</v>
      </c>
      <c r="F1179" t="str">
        <f t="shared" si="23"/>
        <v>ALLSTATE</v>
      </c>
      <c r="G1179" s="3">
        <v>1019.7</v>
      </c>
      <c r="H1179" t="str">
        <f t="shared" si="24"/>
        <v>ALLSTATE</v>
      </c>
    </row>
    <row r="1180" spans="1:8" x14ac:dyDescent="0.25">
      <c r="E1180" t="str">
        <f>"AST202103031934"</f>
        <v>AST202103031934</v>
      </c>
      <c r="F1180" t="str">
        <f t="shared" si="23"/>
        <v>ALLSTATE</v>
      </c>
      <c r="G1180" s="3">
        <v>31.41</v>
      </c>
      <c r="H1180" t="str">
        <f t="shared" si="24"/>
        <v>ALLSTATE</v>
      </c>
    </row>
    <row r="1181" spans="1:8" x14ac:dyDescent="0.25">
      <c r="E1181" t="str">
        <f>"AST202103172243"</f>
        <v>AST202103172243</v>
      </c>
      <c r="F1181" t="str">
        <f t="shared" si="23"/>
        <v>ALLSTATE</v>
      </c>
      <c r="G1181" s="3">
        <v>1019.7</v>
      </c>
      <c r="H1181" t="str">
        <f t="shared" si="24"/>
        <v>ALLSTATE</v>
      </c>
    </row>
    <row r="1182" spans="1:8" x14ac:dyDescent="0.25">
      <c r="E1182" t="str">
        <f>"AST202103172244"</f>
        <v>AST202103172244</v>
      </c>
      <c r="F1182" t="str">
        <f t="shared" si="23"/>
        <v>ALLSTATE</v>
      </c>
      <c r="G1182" s="3">
        <v>31.41</v>
      </c>
      <c r="H1182" t="str">
        <f t="shared" si="24"/>
        <v>ALLSTATE</v>
      </c>
    </row>
    <row r="1183" spans="1:8" x14ac:dyDescent="0.25">
      <c r="A1183" t="s">
        <v>342</v>
      </c>
      <c r="B1183">
        <v>959</v>
      </c>
      <c r="C1183" s="3">
        <v>26776.33</v>
      </c>
      <c r="D1183" s="6">
        <v>44279</v>
      </c>
      <c r="E1183" t="str">
        <f>"202103242308"</f>
        <v>202103242308</v>
      </c>
      <c r="F1183" t="str">
        <f>"RETIREE INS - MARCH 2021"</f>
        <v>RETIREE INS - MARCH 2021</v>
      </c>
      <c r="G1183" s="3">
        <v>26776.33</v>
      </c>
      <c r="H1183" t="str">
        <f>"RETIREE INS - MARCH 2021"</f>
        <v>RETIREE INS - MARCH 2021</v>
      </c>
    </row>
    <row r="1184" spans="1:8" x14ac:dyDescent="0.25">
      <c r="A1184" t="s">
        <v>343</v>
      </c>
      <c r="B1184">
        <v>944</v>
      </c>
      <c r="C1184" s="3">
        <v>1992.63</v>
      </c>
      <c r="D1184" s="6">
        <v>44260</v>
      </c>
      <c r="E1184" t="str">
        <f>"DHM202103031935"</f>
        <v>DHM202103031935</v>
      </c>
      <c r="F1184" t="str">
        <f>"AP - DENTAL HMO"</f>
        <v>AP - DENTAL HMO</v>
      </c>
      <c r="G1184" s="3">
        <v>33.590000000000003</v>
      </c>
      <c r="H1184" t="str">
        <f>"AP - DENTAL HMO"</f>
        <v>AP - DENTAL HMO</v>
      </c>
    </row>
    <row r="1185" spans="1:8" x14ac:dyDescent="0.25">
      <c r="E1185" t="str">
        <f>"DTX202103031935"</f>
        <v>DTX202103031935</v>
      </c>
      <c r="F1185" t="str">
        <f>"AP - TEXAS DENTAL"</f>
        <v>AP - TEXAS DENTAL</v>
      </c>
      <c r="G1185" s="3">
        <v>391.77</v>
      </c>
      <c r="H1185" t="str">
        <f>"AP - TEXAS DENTAL"</f>
        <v>AP - TEXAS DENTAL</v>
      </c>
    </row>
    <row r="1186" spans="1:8" x14ac:dyDescent="0.25">
      <c r="E1186" t="str">
        <f>"FD 202103031935"</f>
        <v>FD 202103031935</v>
      </c>
      <c r="F1186" t="str">
        <f>"AP - FT DEARBORN PRE-TAX"</f>
        <v>AP - FT DEARBORN PRE-TAX</v>
      </c>
      <c r="G1186" s="3">
        <v>96.17</v>
      </c>
      <c r="H1186" t="str">
        <f>"AP - FT DEARBORN PRE-TAX"</f>
        <v>AP - FT DEARBORN PRE-TAX</v>
      </c>
    </row>
    <row r="1187" spans="1:8" x14ac:dyDescent="0.25">
      <c r="E1187" t="str">
        <f>"FDT202103031935"</f>
        <v>FDT202103031935</v>
      </c>
      <c r="F1187" t="str">
        <f>"AP - FT DEARBORN AFTER TAX"</f>
        <v>AP - FT DEARBORN AFTER TAX</v>
      </c>
      <c r="G1187" s="3">
        <v>79.62</v>
      </c>
      <c r="H1187" t="str">
        <f>"AP - FT DEARBORN AFTER TAX"</f>
        <v>AP - FT DEARBORN AFTER TAX</v>
      </c>
    </row>
    <row r="1188" spans="1:8" x14ac:dyDescent="0.25">
      <c r="E1188" t="str">
        <f>"FLX202103031935"</f>
        <v>FLX202103031935</v>
      </c>
      <c r="F1188" t="str">
        <f>"AP - TEX FLEX"</f>
        <v>AP - TEX FLEX</v>
      </c>
      <c r="G1188" s="3">
        <v>94.5</v>
      </c>
      <c r="H1188" t="str">
        <f>"AP - TEX FLEX"</f>
        <v>AP - TEX FLEX</v>
      </c>
    </row>
    <row r="1189" spans="1:8" x14ac:dyDescent="0.25">
      <c r="E1189" t="str">
        <f>"HSA202103031935"</f>
        <v>HSA202103031935</v>
      </c>
      <c r="F1189" t="str">
        <f>"AP- HSA"</f>
        <v>AP- HSA</v>
      </c>
      <c r="G1189" s="3">
        <v>20</v>
      </c>
      <c r="H1189" t="str">
        <f>"AP- HSA"</f>
        <v>AP- HSA</v>
      </c>
    </row>
    <row r="1190" spans="1:8" x14ac:dyDescent="0.25">
      <c r="E1190" t="str">
        <f>"MHS202103031935"</f>
        <v>MHS202103031935</v>
      </c>
      <c r="F1190" t="str">
        <f>"AP - HEALTH SELECT MEDICAL"</f>
        <v>AP - HEALTH SELECT MEDICAL</v>
      </c>
      <c r="G1190" s="3">
        <v>837.83</v>
      </c>
      <c r="H1190" t="str">
        <f>"AP - HEALTH SELECT MEDICAL"</f>
        <v>AP - HEALTH SELECT MEDICAL</v>
      </c>
    </row>
    <row r="1191" spans="1:8" x14ac:dyDescent="0.25">
      <c r="E1191" t="str">
        <f>"MSW202103031935"</f>
        <v>MSW202103031935</v>
      </c>
      <c r="F1191" t="str">
        <f>"AP - SCOTT &amp; WHITE MEDICAL"</f>
        <v>AP - SCOTT &amp; WHITE MEDICAL</v>
      </c>
      <c r="G1191" s="3">
        <v>372.42</v>
      </c>
      <c r="H1191" t="str">
        <f>"AP - SCOTT &amp; WHITE MEDICAL"</f>
        <v>AP - SCOTT &amp; WHITE MEDICAL</v>
      </c>
    </row>
    <row r="1192" spans="1:8" x14ac:dyDescent="0.25">
      <c r="E1192" t="str">
        <f>"SPE202103031935"</f>
        <v>SPE202103031935</v>
      </c>
      <c r="F1192" t="str">
        <f>"AP - STATE VISION"</f>
        <v>AP - STATE VISION</v>
      </c>
      <c r="G1192" s="3">
        <v>66.73</v>
      </c>
      <c r="H1192" t="str">
        <f>"AP - STATE VISION"</f>
        <v>AP - STATE VISION</v>
      </c>
    </row>
    <row r="1193" spans="1:8" x14ac:dyDescent="0.25">
      <c r="A1193" t="s">
        <v>343</v>
      </c>
      <c r="B1193">
        <v>952</v>
      </c>
      <c r="C1193" s="3">
        <v>1992.63</v>
      </c>
      <c r="D1193" s="6">
        <v>44274</v>
      </c>
      <c r="E1193" t="str">
        <f>"DHM202103172245"</f>
        <v>DHM202103172245</v>
      </c>
      <c r="F1193" t="str">
        <f>"AP - DENTAL HMO"</f>
        <v>AP - DENTAL HMO</v>
      </c>
      <c r="G1193" s="3">
        <v>33.590000000000003</v>
      </c>
      <c r="H1193" t="str">
        <f>"AP - DENTAL HMO"</f>
        <v>AP - DENTAL HMO</v>
      </c>
    </row>
    <row r="1194" spans="1:8" x14ac:dyDescent="0.25">
      <c r="E1194" t="str">
        <f>"DTX202103172245"</f>
        <v>DTX202103172245</v>
      </c>
      <c r="F1194" t="str">
        <f>"AP - TEXAS DENTAL"</f>
        <v>AP - TEXAS DENTAL</v>
      </c>
      <c r="G1194" s="3">
        <v>391.77</v>
      </c>
      <c r="H1194" t="str">
        <f>"AP - TEXAS DENTAL"</f>
        <v>AP - TEXAS DENTAL</v>
      </c>
    </row>
    <row r="1195" spans="1:8" x14ac:dyDescent="0.25">
      <c r="E1195" t="str">
        <f>"FD 202103172245"</f>
        <v>FD 202103172245</v>
      </c>
      <c r="F1195" t="str">
        <f>"AP - FT DEARBORN PRE-TAX"</f>
        <v>AP - FT DEARBORN PRE-TAX</v>
      </c>
      <c r="G1195" s="3">
        <v>96.17</v>
      </c>
      <c r="H1195" t="str">
        <f>"AP - FT DEARBORN PRE-TAX"</f>
        <v>AP - FT DEARBORN PRE-TAX</v>
      </c>
    </row>
    <row r="1196" spans="1:8" x14ac:dyDescent="0.25">
      <c r="E1196" t="str">
        <f>"FDT202103172245"</f>
        <v>FDT202103172245</v>
      </c>
      <c r="F1196" t="str">
        <f>"AP - FT DEARBORN AFTER TAX"</f>
        <v>AP - FT DEARBORN AFTER TAX</v>
      </c>
      <c r="G1196" s="3">
        <v>79.62</v>
      </c>
      <c r="H1196" t="str">
        <f>"AP - FT DEARBORN AFTER TAX"</f>
        <v>AP - FT DEARBORN AFTER TAX</v>
      </c>
    </row>
    <row r="1197" spans="1:8" x14ac:dyDescent="0.25">
      <c r="E1197" t="str">
        <f>"FLX202103172245"</f>
        <v>FLX202103172245</v>
      </c>
      <c r="F1197" t="str">
        <f>"AP - TEX FLEX"</f>
        <v>AP - TEX FLEX</v>
      </c>
      <c r="G1197" s="3">
        <v>94.5</v>
      </c>
      <c r="H1197" t="str">
        <f>"AP - TEX FLEX"</f>
        <v>AP - TEX FLEX</v>
      </c>
    </row>
    <row r="1198" spans="1:8" x14ac:dyDescent="0.25">
      <c r="E1198" t="str">
        <f>"HSA202103172245"</f>
        <v>HSA202103172245</v>
      </c>
      <c r="F1198" t="str">
        <f>"AP- HSA"</f>
        <v>AP- HSA</v>
      </c>
      <c r="G1198" s="3">
        <v>20</v>
      </c>
      <c r="H1198" t="str">
        <f>"AP- HSA"</f>
        <v>AP- HSA</v>
      </c>
    </row>
    <row r="1199" spans="1:8" x14ac:dyDescent="0.25">
      <c r="E1199" t="str">
        <f>"MHS202103172245"</f>
        <v>MHS202103172245</v>
      </c>
      <c r="F1199" t="str">
        <f>"AP - HEALTH SELECT MEDICAL"</f>
        <v>AP - HEALTH SELECT MEDICAL</v>
      </c>
      <c r="G1199" s="3">
        <v>837.83</v>
      </c>
      <c r="H1199" t="str">
        <f>"AP - HEALTH SELECT MEDICAL"</f>
        <v>AP - HEALTH SELECT MEDICAL</v>
      </c>
    </row>
    <row r="1200" spans="1:8" x14ac:dyDescent="0.25">
      <c r="E1200" t="str">
        <f>"MSW202103172245"</f>
        <v>MSW202103172245</v>
      </c>
      <c r="F1200" t="str">
        <f>"AP - SCOTT &amp; WHITE MEDICAL"</f>
        <v>AP - SCOTT &amp; WHITE MEDICAL</v>
      </c>
      <c r="G1200" s="3">
        <v>372.42</v>
      </c>
      <c r="H1200" t="str">
        <f>"AP - SCOTT &amp; WHITE MEDICAL"</f>
        <v>AP - SCOTT &amp; WHITE MEDICAL</v>
      </c>
    </row>
    <row r="1201" spans="1:8" x14ac:dyDescent="0.25">
      <c r="E1201" t="str">
        <f>"SPE202103172245"</f>
        <v>SPE202103172245</v>
      </c>
      <c r="F1201" t="str">
        <f>"AP - STATE VISION"</f>
        <v>AP - STATE VISION</v>
      </c>
      <c r="G1201" s="3">
        <v>66.73</v>
      </c>
      <c r="H1201" t="str">
        <f>"AP - STATE VISION"</f>
        <v>AP - STATE VISION</v>
      </c>
    </row>
    <row r="1202" spans="1:8" x14ac:dyDescent="0.25">
      <c r="A1202" t="s">
        <v>344</v>
      </c>
      <c r="B1202">
        <v>964</v>
      </c>
      <c r="C1202" s="3">
        <v>4425.88</v>
      </c>
      <c r="D1202" s="6">
        <v>44279</v>
      </c>
      <c r="E1202" t="str">
        <f>"202103242315"</f>
        <v>202103242315</v>
      </c>
      <c r="F1202" t="str">
        <f>"ROUNDING - MARCH 2021"</f>
        <v>ROUNDING - MARCH 2021</v>
      </c>
      <c r="G1202" s="3">
        <v>0.44</v>
      </c>
      <c r="H1202" t="str">
        <f>"ROUNDING - MARCH 2021"</f>
        <v>ROUNDING - MARCH 2021</v>
      </c>
    </row>
    <row r="1203" spans="1:8" x14ac:dyDescent="0.25">
      <c r="E1203" t="str">
        <f>"CL 202103031933"</f>
        <v>CL 202103031933</v>
      </c>
      <c r="F1203" t="str">
        <f t="shared" ref="F1203:F1222" si="25">"COLONIAL"</f>
        <v>COLONIAL</v>
      </c>
      <c r="G1203" s="3">
        <v>539.33000000000004</v>
      </c>
      <c r="H1203" t="str">
        <f t="shared" ref="H1203:H1222" si="26">"COLONIAL"</f>
        <v>COLONIAL</v>
      </c>
    </row>
    <row r="1204" spans="1:8" x14ac:dyDescent="0.25">
      <c r="E1204" t="str">
        <f>"CL 202103031934"</f>
        <v>CL 202103031934</v>
      </c>
      <c r="F1204" t="str">
        <f t="shared" si="25"/>
        <v>COLONIAL</v>
      </c>
      <c r="G1204" s="3">
        <v>14.49</v>
      </c>
      <c r="H1204" t="str">
        <f t="shared" si="26"/>
        <v>COLONIAL</v>
      </c>
    </row>
    <row r="1205" spans="1:8" x14ac:dyDescent="0.25">
      <c r="E1205" t="str">
        <f>"CL 202103172243"</f>
        <v>CL 202103172243</v>
      </c>
      <c r="F1205" t="str">
        <f t="shared" si="25"/>
        <v>COLONIAL</v>
      </c>
      <c r="G1205" s="3">
        <v>539.33000000000004</v>
      </c>
      <c r="H1205" t="str">
        <f t="shared" si="26"/>
        <v>COLONIAL</v>
      </c>
    </row>
    <row r="1206" spans="1:8" x14ac:dyDescent="0.25">
      <c r="E1206" t="str">
        <f>"CL 202103172244"</f>
        <v>CL 202103172244</v>
      </c>
      <c r="F1206" t="str">
        <f t="shared" si="25"/>
        <v>COLONIAL</v>
      </c>
      <c r="G1206" s="3">
        <v>14.49</v>
      </c>
      <c r="H1206" t="str">
        <f t="shared" si="26"/>
        <v>COLONIAL</v>
      </c>
    </row>
    <row r="1207" spans="1:8" x14ac:dyDescent="0.25">
      <c r="E1207" t="str">
        <f>"CLC202103031933"</f>
        <v>CLC202103031933</v>
      </c>
      <c r="F1207" t="str">
        <f t="shared" si="25"/>
        <v>COLONIAL</v>
      </c>
      <c r="G1207" s="3">
        <v>33.99</v>
      </c>
      <c r="H1207" t="str">
        <f t="shared" si="26"/>
        <v>COLONIAL</v>
      </c>
    </row>
    <row r="1208" spans="1:8" x14ac:dyDescent="0.25">
      <c r="E1208" t="str">
        <f>"CLC202103172243"</f>
        <v>CLC202103172243</v>
      </c>
      <c r="F1208" t="str">
        <f t="shared" si="25"/>
        <v>COLONIAL</v>
      </c>
      <c r="G1208" s="3">
        <v>33.99</v>
      </c>
      <c r="H1208" t="str">
        <f t="shared" si="26"/>
        <v>COLONIAL</v>
      </c>
    </row>
    <row r="1209" spans="1:8" x14ac:dyDescent="0.25">
      <c r="E1209" t="str">
        <f>"CLI202103031933"</f>
        <v>CLI202103031933</v>
      </c>
      <c r="F1209" t="str">
        <f t="shared" si="25"/>
        <v>COLONIAL</v>
      </c>
      <c r="G1209" s="3">
        <v>538.16999999999996</v>
      </c>
      <c r="H1209" t="str">
        <f t="shared" si="26"/>
        <v>COLONIAL</v>
      </c>
    </row>
    <row r="1210" spans="1:8" x14ac:dyDescent="0.25">
      <c r="E1210" t="str">
        <f>"CLI202103172243"</f>
        <v>CLI202103172243</v>
      </c>
      <c r="F1210" t="str">
        <f t="shared" si="25"/>
        <v>COLONIAL</v>
      </c>
      <c r="G1210" s="3">
        <v>538.16999999999996</v>
      </c>
      <c r="H1210" t="str">
        <f t="shared" si="26"/>
        <v>COLONIAL</v>
      </c>
    </row>
    <row r="1211" spans="1:8" x14ac:dyDescent="0.25">
      <c r="E1211" t="str">
        <f>"CLK202103031933"</f>
        <v>CLK202103031933</v>
      </c>
      <c r="F1211" t="str">
        <f t="shared" si="25"/>
        <v>COLONIAL</v>
      </c>
      <c r="G1211" s="3">
        <v>27.09</v>
      </c>
      <c r="H1211" t="str">
        <f t="shared" si="26"/>
        <v>COLONIAL</v>
      </c>
    </row>
    <row r="1212" spans="1:8" x14ac:dyDescent="0.25">
      <c r="E1212" t="str">
        <f>"CLK202103172243"</f>
        <v>CLK202103172243</v>
      </c>
      <c r="F1212" t="str">
        <f t="shared" si="25"/>
        <v>COLONIAL</v>
      </c>
      <c r="G1212" s="3">
        <v>27.09</v>
      </c>
      <c r="H1212" t="str">
        <f t="shared" si="26"/>
        <v>COLONIAL</v>
      </c>
    </row>
    <row r="1213" spans="1:8" x14ac:dyDescent="0.25">
      <c r="E1213" t="str">
        <f>"CLS202103031933"</f>
        <v>CLS202103031933</v>
      </c>
      <c r="F1213" t="str">
        <f t="shared" si="25"/>
        <v>COLONIAL</v>
      </c>
      <c r="G1213" s="3">
        <v>405.36</v>
      </c>
      <c r="H1213" t="str">
        <f t="shared" si="26"/>
        <v>COLONIAL</v>
      </c>
    </row>
    <row r="1214" spans="1:8" x14ac:dyDescent="0.25">
      <c r="E1214" t="str">
        <f>"CLS202103031934"</f>
        <v>CLS202103031934</v>
      </c>
      <c r="F1214" t="str">
        <f t="shared" si="25"/>
        <v>COLONIAL</v>
      </c>
      <c r="G1214" s="3">
        <v>15.73</v>
      </c>
      <c r="H1214" t="str">
        <f t="shared" si="26"/>
        <v>COLONIAL</v>
      </c>
    </row>
    <row r="1215" spans="1:8" x14ac:dyDescent="0.25">
      <c r="E1215" t="str">
        <f>"CLS202103172243"</f>
        <v>CLS202103172243</v>
      </c>
      <c r="F1215" t="str">
        <f t="shared" si="25"/>
        <v>COLONIAL</v>
      </c>
      <c r="G1215" s="3">
        <v>405.36</v>
      </c>
      <c r="H1215" t="str">
        <f t="shared" si="26"/>
        <v>COLONIAL</v>
      </c>
    </row>
    <row r="1216" spans="1:8" x14ac:dyDescent="0.25">
      <c r="E1216" t="str">
        <f>"CLS202103172244"</f>
        <v>CLS202103172244</v>
      </c>
      <c r="F1216" t="str">
        <f t="shared" si="25"/>
        <v>COLONIAL</v>
      </c>
      <c r="G1216" s="3">
        <v>15.73</v>
      </c>
      <c r="H1216" t="str">
        <f t="shared" si="26"/>
        <v>COLONIAL</v>
      </c>
    </row>
    <row r="1217" spans="1:8" x14ac:dyDescent="0.25">
      <c r="E1217" t="str">
        <f>"CLT202103031933"</f>
        <v>CLT202103031933</v>
      </c>
      <c r="F1217" t="str">
        <f t="shared" si="25"/>
        <v>COLONIAL</v>
      </c>
      <c r="G1217" s="3">
        <v>260.32</v>
      </c>
      <c r="H1217" t="str">
        <f t="shared" si="26"/>
        <v>COLONIAL</v>
      </c>
    </row>
    <row r="1218" spans="1:8" x14ac:dyDescent="0.25">
      <c r="E1218" t="str">
        <f>"CLT202103172243"</f>
        <v>CLT202103172243</v>
      </c>
      <c r="F1218" t="str">
        <f t="shared" si="25"/>
        <v>COLONIAL</v>
      </c>
      <c r="G1218" s="3">
        <v>260.32</v>
      </c>
      <c r="H1218" t="str">
        <f t="shared" si="26"/>
        <v>COLONIAL</v>
      </c>
    </row>
    <row r="1219" spans="1:8" x14ac:dyDescent="0.25">
      <c r="E1219" t="str">
        <f>"CLU202103031933"</f>
        <v>CLU202103031933</v>
      </c>
      <c r="F1219" t="str">
        <f t="shared" si="25"/>
        <v>COLONIAL</v>
      </c>
      <c r="G1219" s="3">
        <v>111.55</v>
      </c>
      <c r="H1219" t="str">
        <f t="shared" si="26"/>
        <v>COLONIAL</v>
      </c>
    </row>
    <row r="1220" spans="1:8" x14ac:dyDescent="0.25">
      <c r="E1220" t="str">
        <f>"CLU202103172243"</f>
        <v>CLU202103172243</v>
      </c>
      <c r="F1220" t="str">
        <f t="shared" si="25"/>
        <v>COLONIAL</v>
      </c>
      <c r="G1220" s="3">
        <v>111.55</v>
      </c>
      <c r="H1220" t="str">
        <f t="shared" si="26"/>
        <v>COLONIAL</v>
      </c>
    </row>
    <row r="1221" spans="1:8" x14ac:dyDescent="0.25">
      <c r="E1221" t="str">
        <f>"CLW202103031933"</f>
        <v>CLW202103031933</v>
      </c>
      <c r="F1221" t="str">
        <f t="shared" si="25"/>
        <v>COLONIAL</v>
      </c>
      <c r="G1221" s="3">
        <v>266.69</v>
      </c>
      <c r="H1221" t="str">
        <f t="shared" si="26"/>
        <v>COLONIAL</v>
      </c>
    </row>
    <row r="1222" spans="1:8" x14ac:dyDescent="0.25">
      <c r="E1222" t="str">
        <f>"CLW202103172243"</f>
        <v>CLW202103172243</v>
      </c>
      <c r="F1222" t="str">
        <f t="shared" si="25"/>
        <v>COLONIAL</v>
      </c>
      <c r="G1222" s="3">
        <v>266.69</v>
      </c>
      <c r="H1222" t="str">
        <f t="shared" si="26"/>
        <v>COLONIAL</v>
      </c>
    </row>
    <row r="1223" spans="1:8" x14ac:dyDescent="0.25">
      <c r="A1223" t="s">
        <v>345</v>
      </c>
      <c r="B1223">
        <v>945</v>
      </c>
      <c r="C1223" s="3">
        <v>8132.26</v>
      </c>
      <c r="D1223" s="6">
        <v>44260</v>
      </c>
      <c r="E1223" t="str">
        <f>"CPI202103031933"</f>
        <v>CPI202103031933</v>
      </c>
      <c r="F1223" t="str">
        <f>"DEFERRED COMP 457B PAYABLE"</f>
        <v>DEFERRED COMP 457B PAYABLE</v>
      </c>
      <c r="G1223" s="3">
        <v>8037.26</v>
      </c>
      <c r="H1223" t="str">
        <f>"DEFERRED COMP 457B PAYABLE"</f>
        <v>DEFERRED COMP 457B PAYABLE</v>
      </c>
    </row>
    <row r="1224" spans="1:8" x14ac:dyDescent="0.25">
      <c r="E1224" t="str">
        <f>"CPI202103031934"</f>
        <v>CPI202103031934</v>
      </c>
      <c r="F1224" t="str">
        <f>"DEFERRED COMP 457B PAYABLE"</f>
        <v>DEFERRED COMP 457B PAYABLE</v>
      </c>
      <c r="G1224" s="3">
        <v>95</v>
      </c>
      <c r="H1224" t="str">
        <f>"DEFERRED COMP 457B PAYABLE"</f>
        <v>DEFERRED COMP 457B PAYABLE</v>
      </c>
    </row>
    <row r="1225" spans="1:8" x14ac:dyDescent="0.25">
      <c r="A1225" t="s">
        <v>345</v>
      </c>
      <c r="B1225">
        <v>953</v>
      </c>
      <c r="C1225" s="3">
        <v>8132.26</v>
      </c>
      <c r="D1225" s="6">
        <v>44274</v>
      </c>
      <c r="E1225" t="str">
        <f>"CPI202103172243"</f>
        <v>CPI202103172243</v>
      </c>
      <c r="F1225" t="str">
        <f>"DEFERRED COMP 457B PAYABLE"</f>
        <v>DEFERRED COMP 457B PAYABLE</v>
      </c>
      <c r="G1225" s="3">
        <v>8037.26</v>
      </c>
      <c r="H1225" t="str">
        <f>"DEFERRED COMP 457B PAYABLE"</f>
        <v>DEFERRED COMP 457B PAYABLE</v>
      </c>
    </row>
    <row r="1226" spans="1:8" x14ac:dyDescent="0.25">
      <c r="E1226" t="str">
        <f>"CPI202103172244"</f>
        <v>CPI202103172244</v>
      </c>
      <c r="F1226" t="str">
        <f>"DEFERRED COMP 457B PAYABLE"</f>
        <v>DEFERRED COMP 457B PAYABLE</v>
      </c>
      <c r="G1226" s="3">
        <v>95</v>
      </c>
      <c r="H1226" t="str">
        <f>"DEFERRED COMP 457B PAYABLE"</f>
        <v>DEFERRED COMP 457B PAYABLE</v>
      </c>
    </row>
    <row r="1227" spans="1:8" x14ac:dyDescent="0.25">
      <c r="A1227" t="s">
        <v>346</v>
      </c>
      <c r="B1227">
        <v>960</v>
      </c>
      <c r="C1227" s="3">
        <v>42694.559999999998</v>
      </c>
      <c r="D1227" s="6">
        <v>44279</v>
      </c>
      <c r="E1227" t="str">
        <f>"202103242309"</f>
        <v>202103242309</v>
      </c>
      <c r="F1227" t="str">
        <f>"RETIREE INS - MARCH 2021"</f>
        <v>RETIREE INS - MARCH 2021</v>
      </c>
      <c r="G1227" s="3">
        <v>3359.41</v>
      </c>
      <c r="H1227" t="str">
        <f>"RETIREE INS - MARCH 2021"</f>
        <v>RETIREE INS - MARCH 2021</v>
      </c>
    </row>
    <row r="1228" spans="1:8" x14ac:dyDescent="0.25">
      <c r="E1228" t="str">
        <f>"202103242310"</f>
        <v>202103242310</v>
      </c>
      <c r="F1228" t="str">
        <f>"COBRA - MARCH 2021"</f>
        <v>COBRA - MARCH 2021</v>
      </c>
      <c r="G1228" s="3">
        <v>207.7</v>
      </c>
      <c r="H1228" t="str">
        <f>"COBRA - MARCH 2021"</f>
        <v>COBRA - MARCH 2021</v>
      </c>
    </row>
    <row r="1229" spans="1:8" x14ac:dyDescent="0.25">
      <c r="E1229" t="str">
        <f>"ADC202103031933"</f>
        <v>ADC202103031933</v>
      </c>
      <c r="F1229" t="str">
        <f t="shared" ref="F1229:F1241" si="27">"GUARDIAN"</f>
        <v>GUARDIAN</v>
      </c>
      <c r="G1229" s="3">
        <v>4.7699999999999996</v>
      </c>
      <c r="H1229" t="str">
        <f t="shared" ref="H1229:H1292" si="28">"GUARDIAN"</f>
        <v>GUARDIAN</v>
      </c>
    </row>
    <row r="1230" spans="1:8" x14ac:dyDescent="0.25">
      <c r="E1230" t="str">
        <f>"ADC202103031934"</f>
        <v>ADC202103031934</v>
      </c>
      <c r="F1230" t="str">
        <f t="shared" si="27"/>
        <v>GUARDIAN</v>
      </c>
      <c r="G1230" s="3">
        <v>0.16</v>
      </c>
      <c r="H1230" t="str">
        <f t="shared" si="28"/>
        <v>GUARDIAN</v>
      </c>
    </row>
    <row r="1231" spans="1:8" x14ac:dyDescent="0.25">
      <c r="E1231" t="str">
        <f>"ADC202103172243"</f>
        <v>ADC202103172243</v>
      </c>
      <c r="F1231" t="str">
        <f t="shared" si="27"/>
        <v>GUARDIAN</v>
      </c>
      <c r="G1231" s="3">
        <v>4.7699999999999996</v>
      </c>
      <c r="H1231" t="str">
        <f t="shared" si="28"/>
        <v>GUARDIAN</v>
      </c>
    </row>
    <row r="1232" spans="1:8" x14ac:dyDescent="0.25">
      <c r="E1232" t="str">
        <f>"ADC202103172244"</f>
        <v>ADC202103172244</v>
      </c>
      <c r="F1232" t="str">
        <f t="shared" si="27"/>
        <v>GUARDIAN</v>
      </c>
      <c r="G1232" s="3">
        <v>0.16</v>
      </c>
      <c r="H1232" t="str">
        <f t="shared" si="28"/>
        <v>GUARDIAN</v>
      </c>
    </row>
    <row r="1233" spans="5:8" x14ac:dyDescent="0.25">
      <c r="E1233" t="str">
        <f>"ADE202103031933"</f>
        <v>ADE202103031933</v>
      </c>
      <c r="F1233" t="str">
        <f t="shared" si="27"/>
        <v>GUARDIAN</v>
      </c>
      <c r="G1233" s="3">
        <v>237.73</v>
      </c>
      <c r="H1233" t="str">
        <f t="shared" si="28"/>
        <v>GUARDIAN</v>
      </c>
    </row>
    <row r="1234" spans="5:8" x14ac:dyDescent="0.25">
      <c r="E1234" t="str">
        <f>"ADE202103031934"</f>
        <v>ADE202103031934</v>
      </c>
      <c r="F1234" t="str">
        <f t="shared" si="27"/>
        <v>GUARDIAN</v>
      </c>
      <c r="G1234" s="3">
        <v>5.55</v>
      </c>
      <c r="H1234" t="str">
        <f t="shared" si="28"/>
        <v>GUARDIAN</v>
      </c>
    </row>
    <row r="1235" spans="5:8" x14ac:dyDescent="0.25">
      <c r="E1235" t="str">
        <f>"ADE202103172243"</f>
        <v>ADE202103172243</v>
      </c>
      <c r="F1235" t="str">
        <f t="shared" si="27"/>
        <v>GUARDIAN</v>
      </c>
      <c r="G1235" s="3">
        <v>237.73</v>
      </c>
      <c r="H1235" t="str">
        <f t="shared" si="28"/>
        <v>GUARDIAN</v>
      </c>
    </row>
    <row r="1236" spans="5:8" x14ac:dyDescent="0.25">
      <c r="E1236" t="str">
        <f>"ADE202103172244"</f>
        <v>ADE202103172244</v>
      </c>
      <c r="F1236" t="str">
        <f t="shared" si="27"/>
        <v>GUARDIAN</v>
      </c>
      <c r="G1236" s="3">
        <v>5.55</v>
      </c>
      <c r="H1236" t="str">
        <f t="shared" si="28"/>
        <v>GUARDIAN</v>
      </c>
    </row>
    <row r="1237" spans="5:8" x14ac:dyDescent="0.25">
      <c r="E1237" t="str">
        <f>"ADS202103031933"</f>
        <v>ADS202103031933</v>
      </c>
      <c r="F1237" t="str">
        <f t="shared" si="27"/>
        <v>GUARDIAN</v>
      </c>
      <c r="G1237" s="3">
        <v>43.76</v>
      </c>
      <c r="H1237" t="str">
        <f t="shared" si="28"/>
        <v>GUARDIAN</v>
      </c>
    </row>
    <row r="1238" spans="5:8" x14ac:dyDescent="0.25">
      <c r="E1238" t="str">
        <f>"ADS202103031934"</f>
        <v>ADS202103031934</v>
      </c>
      <c r="F1238" t="str">
        <f t="shared" si="27"/>
        <v>GUARDIAN</v>
      </c>
      <c r="G1238" s="3">
        <v>0.53</v>
      </c>
      <c r="H1238" t="str">
        <f t="shared" si="28"/>
        <v>GUARDIAN</v>
      </c>
    </row>
    <row r="1239" spans="5:8" x14ac:dyDescent="0.25">
      <c r="E1239" t="str">
        <f>"ADS202103172243"</f>
        <v>ADS202103172243</v>
      </c>
      <c r="F1239" t="str">
        <f t="shared" si="27"/>
        <v>GUARDIAN</v>
      </c>
      <c r="G1239" s="3">
        <v>43.76</v>
      </c>
      <c r="H1239" t="str">
        <f t="shared" si="28"/>
        <v>GUARDIAN</v>
      </c>
    </row>
    <row r="1240" spans="5:8" x14ac:dyDescent="0.25">
      <c r="E1240" t="str">
        <f>"ADS202103172244"</f>
        <v>ADS202103172244</v>
      </c>
      <c r="F1240" t="str">
        <f t="shared" si="27"/>
        <v>GUARDIAN</v>
      </c>
      <c r="G1240" s="3">
        <v>0.53</v>
      </c>
      <c r="H1240" t="str">
        <f t="shared" si="28"/>
        <v>GUARDIAN</v>
      </c>
    </row>
    <row r="1241" spans="5:8" x14ac:dyDescent="0.25">
      <c r="E1241" t="str">
        <f>"GDC202103031933"</f>
        <v>GDC202103031933</v>
      </c>
      <c r="F1241" t="str">
        <f t="shared" si="27"/>
        <v>GUARDIAN</v>
      </c>
      <c r="G1241" s="3">
        <v>2852.64</v>
      </c>
      <c r="H1241" t="str">
        <f t="shared" si="28"/>
        <v>GUARDIAN</v>
      </c>
    </row>
    <row r="1242" spans="5:8" x14ac:dyDescent="0.25">
      <c r="E1242" t="str">
        <f>""</f>
        <v/>
      </c>
      <c r="F1242" t="str">
        <f>""</f>
        <v/>
      </c>
      <c r="H1242" t="str">
        <f t="shared" si="28"/>
        <v>GUARDIAN</v>
      </c>
    </row>
    <row r="1243" spans="5:8" x14ac:dyDescent="0.25">
      <c r="E1243" t="str">
        <f>""</f>
        <v/>
      </c>
      <c r="F1243" t="str">
        <f>""</f>
        <v/>
      </c>
      <c r="H1243" t="str">
        <f t="shared" si="28"/>
        <v>GUARDIAN</v>
      </c>
    </row>
    <row r="1244" spans="5:8" x14ac:dyDescent="0.25">
      <c r="E1244" t="str">
        <f>""</f>
        <v/>
      </c>
      <c r="F1244" t="str">
        <f>""</f>
        <v/>
      </c>
      <c r="H1244" t="str">
        <f t="shared" si="28"/>
        <v>GUARDIAN</v>
      </c>
    </row>
    <row r="1245" spans="5:8" x14ac:dyDescent="0.25">
      <c r="E1245" t="str">
        <f>""</f>
        <v/>
      </c>
      <c r="F1245" t="str">
        <f>""</f>
        <v/>
      </c>
      <c r="H1245" t="str">
        <f t="shared" si="28"/>
        <v>GUARDIAN</v>
      </c>
    </row>
    <row r="1246" spans="5:8" x14ac:dyDescent="0.25">
      <c r="E1246" t="str">
        <f>""</f>
        <v/>
      </c>
      <c r="F1246" t="str">
        <f>""</f>
        <v/>
      </c>
      <c r="H1246" t="str">
        <f t="shared" si="28"/>
        <v>GUARDIAN</v>
      </c>
    </row>
    <row r="1247" spans="5:8" x14ac:dyDescent="0.25">
      <c r="E1247" t="str">
        <f>""</f>
        <v/>
      </c>
      <c r="F1247" t="str">
        <f>""</f>
        <v/>
      </c>
      <c r="H1247" t="str">
        <f t="shared" si="28"/>
        <v>GUARDIAN</v>
      </c>
    </row>
    <row r="1248" spans="5:8" x14ac:dyDescent="0.25">
      <c r="E1248" t="str">
        <f>""</f>
        <v/>
      </c>
      <c r="F1248" t="str">
        <f>""</f>
        <v/>
      </c>
      <c r="H1248" t="str">
        <f t="shared" si="28"/>
        <v>GUARDIAN</v>
      </c>
    </row>
    <row r="1249" spans="5:8" x14ac:dyDescent="0.25">
      <c r="E1249" t="str">
        <f>""</f>
        <v/>
      </c>
      <c r="F1249" t="str">
        <f>""</f>
        <v/>
      </c>
      <c r="H1249" t="str">
        <f t="shared" si="28"/>
        <v>GUARDIAN</v>
      </c>
    </row>
    <row r="1250" spans="5:8" x14ac:dyDescent="0.25">
      <c r="E1250" t="str">
        <f>""</f>
        <v/>
      </c>
      <c r="F1250" t="str">
        <f>""</f>
        <v/>
      </c>
      <c r="H1250" t="str">
        <f t="shared" si="28"/>
        <v>GUARDIAN</v>
      </c>
    </row>
    <row r="1251" spans="5:8" x14ac:dyDescent="0.25">
      <c r="E1251" t="str">
        <f>""</f>
        <v/>
      </c>
      <c r="F1251" t="str">
        <f>""</f>
        <v/>
      </c>
      <c r="H1251" t="str">
        <f t="shared" si="28"/>
        <v>GUARDIAN</v>
      </c>
    </row>
    <row r="1252" spans="5:8" x14ac:dyDescent="0.25">
      <c r="E1252" t="str">
        <f>""</f>
        <v/>
      </c>
      <c r="F1252" t="str">
        <f>""</f>
        <v/>
      </c>
      <c r="H1252" t="str">
        <f t="shared" si="28"/>
        <v>GUARDIAN</v>
      </c>
    </row>
    <row r="1253" spans="5:8" x14ac:dyDescent="0.25">
      <c r="E1253" t="str">
        <f>""</f>
        <v/>
      </c>
      <c r="F1253" t="str">
        <f>""</f>
        <v/>
      </c>
      <c r="H1253" t="str">
        <f t="shared" si="28"/>
        <v>GUARDIAN</v>
      </c>
    </row>
    <row r="1254" spans="5:8" x14ac:dyDescent="0.25">
      <c r="E1254" t="str">
        <f>""</f>
        <v/>
      </c>
      <c r="F1254" t="str">
        <f>""</f>
        <v/>
      </c>
      <c r="H1254" t="str">
        <f t="shared" si="28"/>
        <v>GUARDIAN</v>
      </c>
    </row>
    <row r="1255" spans="5:8" x14ac:dyDescent="0.25">
      <c r="E1255" t="str">
        <f>""</f>
        <v/>
      </c>
      <c r="F1255" t="str">
        <f>""</f>
        <v/>
      </c>
      <c r="H1255" t="str">
        <f t="shared" si="28"/>
        <v>GUARDIAN</v>
      </c>
    </row>
    <row r="1256" spans="5:8" x14ac:dyDescent="0.25">
      <c r="E1256" t="str">
        <f>""</f>
        <v/>
      </c>
      <c r="F1256" t="str">
        <f>""</f>
        <v/>
      </c>
      <c r="H1256" t="str">
        <f t="shared" si="28"/>
        <v>GUARDIAN</v>
      </c>
    </row>
    <row r="1257" spans="5:8" x14ac:dyDescent="0.25">
      <c r="E1257" t="str">
        <f>""</f>
        <v/>
      </c>
      <c r="F1257" t="str">
        <f>""</f>
        <v/>
      </c>
      <c r="H1257" t="str">
        <f t="shared" si="28"/>
        <v>GUARDIAN</v>
      </c>
    </row>
    <row r="1258" spans="5:8" x14ac:dyDescent="0.25">
      <c r="E1258" t="str">
        <f>""</f>
        <v/>
      </c>
      <c r="F1258" t="str">
        <f>""</f>
        <v/>
      </c>
      <c r="H1258" t="str">
        <f t="shared" si="28"/>
        <v>GUARDIAN</v>
      </c>
    </row>
    <row r="1259" spans="5:8" x14ac:dyDescent="0.25">
      <c r="E1259" t="str">
        <f>""</f>
        <v/>
      </c>
      <c r="F1259" t="str">
        <f>""</f>
        <v/>
      </c>
      <c r="H1259" t="str">
        <f t="shared" si="28"/>
        <v>GUARDIAN</v>
      </c>
    </row>
    <row r="1260" spans="5:8" x14ac:dyDescent="0.25">
      <c r="E1260" t="str">
        <f>""</f>
        <v/>
      </c>
      <c r="F1260" t="str">
        <f>""</f>
        <v/>
      </c>
      <c r="H1260" t="str">
        <f t="shared" si="28"/>
        <v>GUARDIAN</v>
      </c>
    </row>
    <row r="1261" spans="5:8" x14ac:dyDescent="0.25">
      <c r="E1261" t="str">
        <f>""</f>
        <v/>
      </c>
      <c r="F1261" t="str">
        <f>""</f>
        <v/>
      </c>
      <c r="H1261" t="str">
        <f t="shared" si="28"/>
        <v>GUARDIAN</v>
      </c>
    </row>
    <row r="1262" spans="5:8" x14ac:dyDescent="0.25">
      <c r="E1262" t="str">
        <f>""</f>
        <v/>
      </c>
      <c r="F1262" t="str">
        <f>""</f>
        <v/>
      </c>
      <c r="H1262" t="str">
        <f t="shared" si="28"/>
        <v>GUARDIAN</v>
      </c>
    </row>
    <row r="1263" spans="5:8" x14ac:dyDescent="0.25">
      <c r="E1263" t="str">
        <f>""</f>
        <v/>
      </c>
      <c r="F1263" t="str">
        <f>""</f>
        <v/>
      </c>
      <c r="H1263" t="str">
        <f t="shared" si="28"/>
        <v>GUARDIAN</v>
      </c>
    </row>
    <row r="1264" spans="5:8" x14ac:dyDescent="0.25">
      <c r="E1264" t="str">
        <f>""</f>
        <v/>
      </c>
      <c r="F1264" t="str">
        <f>""</f>
        <v/>
      </c>
      <c r="H1264" t="str">
        <f t="shared" si="28"/>
        <v>GUARDIAN</v>
      </c>
    </row>
    <row r="1265" spans="5:8" x14ac:dyDescent="0.25">
      <c r="E1265" t="str">
        <f>""</f>
        <v/>
      </c>
      <c r="F1265" t="str">
        <f>""</f>
        <v/>
      </c>
      <c r="H1265" t="str">
        <f t="shared" si="28"/>
        <v>GUARDIAN</v>
      </c>
    </row>
    <row r="1266" spans="5:8" x14ac:dyDescent="0.25">
      <c r="E1266" t="str">
        <f>""</f>
        <v/>
      </c>
      <c r="F1266" t="str">
        <f>""</f>
        <v/>
      </c>
      <c r="H1266" t="str">
        <f t="shared" si="28"/>
        <v>GUARDIAN</v>
      </c>
    </row>
    <row r="1267" spans="5:8" x14ac:dyDescent="0.25">
      <c r="E1267" t="str">
        <f>""</f>
        <v/>
      </c>
      <c r="F1267" t="str">
        <f>""</f>
        <v/>
      </c>
      <c r="H1267" t="str">
        <f t="shared" si="28"/>
        <v>GUARDIAN</v>
      </c>
    </row>
    <row r="1268" spans="5:8" x14ac:dyDescent="0.25">
      <c r="E1268" t="str">
        <f>""</f>
        <v/>
      </c>
      <c r="F1268" t="str">
        <f>""</f>
        <v/>
      </c>
      <c r="H1268" t="str">
        <f t="shared" si="28"/>
        <v>GUARDIAN</v>
      </c>
    </row>
    <row r="1269" spans="5:8" x14ac:dyDescent="0.25">
      <c r="E1269" t="str">
        <f>""</f>
        <v/>
      </c>
      <c r="F1269" t="str">
        <f>""</f>
        <v/>
      </c>
      <c r="H1269" t="str">
        <f t="shared" si="28"/>
        <v>GUARDIAN</v>
      </c>
    </row>
    <row r="1270" spans="5:8" x14ac:dyDescent="0.25">
      <c r="E1270" t="str">
        <f>""</f>
        <v/>
      </c>
      <c r="F1270" t="str">
        <f>""</f>
        <v/>
      </c>
      <c r="H1270" t="str">
        <f t="shared" si="28"/>
        <v>GUARDIAN</v>
      </c>
    </row>
    <row r="1271" spans="5:8" x14ac:dyDescent="0.25">
      <c r="E1271" t="str">
        <f>""</f>
        <v/>
      </c>
      <c r="F1271" t="str">
        <f>""</f>
        <v/>
      </c>
      <c r="H1271" t="str">
        <f t="shared" si="28"/>
        <v>GUARDIAN</v>
      </c>
    </row>
    <row r="1272" spans="5:8" x14ac:dyDescent="0.25">
      <c r="E1272" t="str">
        <f>""</f>
        <v/>
      </c>
      <c r="F1272" t="str">
        <f>""</f>
        <v/>
      </c>
      <c r="H1272" t="str">
        <f t="shared" si="28"/>
        <v>GUARDIAN</v>
      </c>
    </row>
    <row r="1273" spans="5:8" x14ac:dyDescent="0.25">
      <c r="E1273" t="str">
        <f>""</f>
        <v/>
      </c>
      <c r="F1273" t="str">
        <f>""</f>
        <v/>
      </c>
      <c r="H1273" t="str">
        <f t="shared" si="28"/>
        <v>GUARDIAN</v>
      </c>
    </row>
    <row r="1274" spans="5:8" x14ac:dyDescent="0.25">
      <c r="E1274" t="str">
        <f>""</f>
        <v/>
      </c>
      <c r="F1274" t="str">
        <f>""</f>
        <v/>
      </c>
      <c r="H1274" t="str">
        <f t="shared" si="28"/>
        <v>GUARDIAN</v>
      </c>
    </row>
    <row r="1275" spans="5:8" x14ac:dyDescent="0.25">
      <c r="E1275" t="str">
        <f>"GDC202103031934"</f>
        <v>GDC202103031934</v>
      </c>
      <c r="F1275" t="str">
        <f>"GUARDIAN"</f>
        <v>GUARDIAN</v>
      </c>
      <c r="G1275" s="3">
        <v>101.88</v>
      </c>
      <c r="H1275" t="str">
        <f t="shared" si="28"/>
        <v>GUARDIAN</v>
      </c>
    </row>
    <row r="1276" spans="5:8" x14ac:dyDescent="0.25">
      <c r="E1276" t="str">
        <f>""</f>
        <v/>
      </c>
      <c r="F1276" t="str">
        <f>""</f>
        <v/>
      </c>
      <c r="H1276" t="str">
        <f t="shared" si="28"/>
        <v>GUARDIAN</v>
      </c>
    </row>
    <row r="1277" spans="5:8" x14ac:dyDescent="0.25">
      <c r="E1277" t="str">
        <f>"GDC202103172243"</f>
        <v>GDC202103172243</v>
      </c>
      <c r="F1277" t="str">
        <f>"GUARDIAN"</f>
        <v>GUARDIAN</v>
      </c>
      <c r="G1277" s="3">
        <v>2852.64</v>
      </c>
      <c r="H1277" t="str">
        <f t="shared" si="28"/>
        <v>GUARDIAN</v>
      </c>
    </row>
    <row r="1278" spans="5:8" x14ac:dyDescent="0.25">
      <c r="E1278" t="str">
        <f>""</f>
        <v/>
      </c>
      <c r="F1278" t="str">
        <f>""</f>
        <v/>
      </c>
      <c r="H1278" t="str">
        <f t="shared" si="28"/>
        <v>GUARDIAN</v>
      </c>
    </row>
    <row r="1279" spans="5:8" x14ac:dyDescent="0.25">
      <c r="E1279" t="str">
        <f>""</f>
        <v/>
      </c>
      <c r="F1279" t="str">
        <f>""</f>
        <v/>
      </c>
      <c r="H1279" t="str">
        <f t="shared" si="28"/>
        <v>GUARDIAN</v>
      </c>
    </row>
    <row r="1280" spans="5:8" x14ac:dyDescent="0.25">
      <c r="E1280" t="str">
        <f>""</f>
        <v/>
      </c>
      <c r="F1280" t="str">
        <f>""</f>
        <v/>
      </c>
      <c r="H1280" t="str">
        <f t="shared" si="28"/>
        <v>GUARDIAN</v>
      </c>
    </row>
    <row r="1281" spans="5:8" x14ac:dyDescent="0.25">
      <c r="E1281" t="str">
        <f>""</f>
        <v/>
      </c>
      <c r="F1281" t="str">
        <f>""</f>
        <v/>
      </c>
      <c r="H1281" t="str">
        <f t="shared" si="28"/>
        <v>GUARDIAN</v>
      </c>
    </row>
    <row r="1282" spans="5:8" x14ac:dyDescent="0.25">
      <c r="E1282" t="str">
        <f>""</f>
        <v/>
      </c>
      <c r="F1282" t="str">
        <f>""</f>
        <v/>
      </c>
      <c r="H1282" t="str">
        <f t="shared" si="28"/>
        <v>GUARDIAN</v>
      </c>
    </row>
    <row r="1283" spans="5:8" x14ac:dyDescent="0.25">
      <c r="E1283" t="str">
        <f>""</f>
        <v/>
      </c>
      <c r="F1283" t="str">
        <f>""</f>
        <v/>
      </c>
      <c r="H1283" t="str">
        <f t="shared" si="28"/>
        <v>GUARDIAN</v>
      </c>
    </row>
    <row r="1284" spans="5:8" x14ac:dyDescent="0.25">
      <c r="E1284" t="str">
        <f>""</f>
        <v/>
      </c>
      <c r="F1284" t="str">
        <f>""</f>
        <v/>
      </c>
      <c r="H1284" t="str">
        <f t="shared" si="28"/>
        <v>GUARDIAN</v>
      </c>
    </row>
    <row r="1285" spans="5:8" x14ac:dyDescent="0.25">
      <c r="E1285" t="str">
        <f>""</f>
        <v/>
      </c>
      <c r="F1285" t="str">
        <f>""</f>
        <v/>
      </c>
      <c r="H1285" t="str">
        <f t="shared" si="28"/>
        <v>GUARDIAN</v>
      </c>
    </row>
    <row r="1286" spans="5:8" x14ac:dyDescent="0.25">
      <c r="E1286" t="str">
        <f>""</f>
        <v/>
      </c>
      <c r="F1286" t="str">
        <f>""</f>
        <v/>
      </c>
      <c r="H1286" t="str">
        <f t="shared" si="28"/>
        <v>GUARDIAN</v>
      </c>
    </row>
    <row r="1287" spans="5:8" x14ac:dyDescent="0.25">
      <c r="E1287" t="str">
        <f>""</f>
        <v/>
      </c>
      <c r="F1287" t="str">
        <f>""</f>
        <v/>
      </c>
      <c r="H1287" t="str">
        <f t="shared" si="28"/>
        <v>GUARDIAN</v>
      </c>
    </row>
    <row r="1288" spans="5:8" x14ac:dyDescent="0.25">
      <c r="E1288" t="str">
        <f>""</f>
        <v/>
      </c>
      <c r="F1288" t="str">
        <f>""</f>
        <v/>
      </c>
      <c r="H1288" t="str">
        <f t="shared" si="28"/>
        <v>GUARDIAN</v>
      </c>
    </row>
    <row r="1289" spans="5:8" x14ac:dyDescent="0.25">
      <c r="E1289" t="str">
        <f>""</f>
        <v/>
      </c>
      <c r="F1289" t="str">
        <f>""</f>
        <v/>
      </c>
      <c r="H1289" t="str">
        <f t="shared" si="28"/>
        <v>GUARDIAN</v>
      </c>
    </row>
    <row r="1290" spans="5:8" x14ac:dyDescent="0.25">
      <c r="E1290" t="str">
        <f>""</f>
        <v/>
      </c>
      <c r="F1290" t="str">
        <f>""</f>
        <v/>
      </c>
      <c r="H1290" t="str">
        <f t="shared" si="28"/>
        <v>GUARDIAN</v>
      </c>
    </row>
    <row r="1291" spans="5:8" x14ac:dyDescent="0.25">
      <c r="E1291" t="str">
        <f>""</f>
        <v/>
      </c>
      <c r="F1291" t="str">
        <f>""</f>
        <v/>
      </c>
      <c r="H1291" t="str">
        <f t="shared" si="28"/>
        <v>GUARDIAN</v>
      </c>
    </row>
    <row r="1292" spans="5:8" x14ac:dyDescent="0.25">
      <c r="E1292" t="str">
        <f>""</f>
        <v/>
      </c>
      <c r="F1292" t="str">
        <f>""</f>
        <v/>
      </c>
      <c r="H1292" t="str">
        <f t="shared" si="28"/>
        <v>GUARDIAN</v>
      </c>
    </row>
    <row r="1293" spans="5:8" x14ac:dyDescent="0.25">
      <c r="E1293" t="str">
        <f>""</f>
        <v/>
      </c>
      <c r="F1293" t="str">
        <f>""</f>
        <v/>
      </c>
      <c r="H1293" t="str">
        <f t="shared" ref="H1293:H1356" si="29">"GUARDIAN"</f>
        <v>GUARDIAN</v>
      </c>
    </row>
    <row r="1294" spans="5:8" x14ac:dyDescent="0.25">
      <c r="E1294" t="str">
        <f>""</f>
        <v/>
      </c>
      <c r="F1294" t="str">
        <f>""</f>
        <v/>
      </c>
      <c r="H1294" t="str">
        <f t="shared" si="29"/>
        <v>GUARDIAN</v>
      </c>
    </row>
    <row r="1295" spans="5:8" x14ac:dyDescent="0.25">
      <c r="E1295" t="str">
        <f>""</f>
        <v/>
      </c>
      <c r="F1295" t="str">
        <f>""</f>
        <v/>
      </c>
      <c r="H1295" t="str">
        <f t="shared" si="29"/>
        <v>GUARDIAN</v>
      </c>
    </row>
    <row r="1296" spans="5:8" x14ac:dyDescent="0.25">
      <c r="E1296" t="str">
        <f>""</f>
        <v/>
      </c>
      <c r="F1296" t="str">
        <f>""</f>
        <v/>
      </c>
      <c r="H1296" t="str">
        <f t="shared" si="29"/>
        <v>GUARDIAN</v>
      </c>
    </row>
    <row r="1297" spans="5:8" x14ac:dyDescent="0.25">
      <c r="E1297" t="str">
        <f>""</f>
        <v/>
      </c>
      <c r="F1297" t="str">
        <f>""</f>
        <v/>
      </c>
      <c r="H1297" t="str">
        <f t="shared" si="29"/>
        <v>GUARDIAN</v>
      </c>
    </row>
    <row r="1298" spans="5:8" x14ac:dyDescent="0.25">
      <c r="E1298" t="str">
        <f>""</f>
        <v/>
      </c>
      <c r="F1298" t="str">
        <f>""</f>
        <v/>
      </c>
      <c r="H1298" t="str">
        <f t="shared" si="29"/>
        <v>GUARDIAN</v>
      </c>
    </row>
    <row r="1299" spans="5:8" x14ac:dyDescent="0.25">
      <c r="E1299" t="str">
        <f>""</f>
        <v/>
      </c>
      <c r="F1299" t="str">
        <f>""</f>
        <v/>
      </c>
      <c r="H1299" t="str">
        <f t="shared" si="29"/>
        <v>GUARDIAN</v>
      </c>
    </row>
    <row r="1300" spans="5:8" x14ac:dyDescent="0.25">
      <c r="E1300" t="str">
        <f>""</f>
        <v/>
      </c>
      <c r="F1300" t="str">
        <f>""</f>
        <v/>
      </c>
      <c r="H1300" t="str">
        <f t="shared" si="29"/>
        <v>GUARDIAN</v>
      </c>
    </row>
    <row r="1301" spans="5:8" x14ac:dyDescent="0.25">
      <c r="E1301" t="str">
        <f>""</f>
        <v/>
      </c>
      <c r="F1301" t="str">
        <f>""</f>
        <v/>
      </c>
      <c r="H1301" t="str">
        <f t="shared" si="29"/>
        <v>GUARDIAN</v>
      </c>
    </row>
    <row r="1302" spans="5:8" x14ac:dyDescent="0.25">
      <c r="E1302" t="str">
        <f>""</f>
        <v/>
      </c>
      <c r="F1302" t="str">
        <f>""</f>
        <v/>
      </c>
      <c r="H1302" t="str">
        <f t="shared" si="29"/>
        <v>GUARDIAN</v>
      </c>
    </row>
    <row r="1303" spans="5:8" x14ac:dyDescent="0.25">
      <c r="E1303" t="str">
        <f>""</f>
        <v/>
      </c>
      <c r="F1303" t="str">
        <f>""</f>
        <v/>
      </c>
      <c r="H1303" t="str">
        <f t="shared" si="29"/>
        <v>GUARDIAN</v>
      </c>
    </row>
    <row r="1304" spans="5:8" x14ac:dyDescent="0.25">
      <c r="E1304" t="str">
        <f>""</f>
        <v/>
      </c>
      <c r="F1304" t="str">
        <f>""</f>
        <v/>
      </c>
      <c r="H1304" t="str">
        <f t="shared" si="29"/>
        <v>GUARDIAN</v>
      </c>
    </row>
    <row r="1305" spans="5:8" x14ac:dyDescent="0.25">
      <c r="E1305" t="str">
        <f>""</f>
        <v/>
      </c>
      <c r="F1305" t="str">
        <f>""</f>
        <v/>
      </c>
      <c r="H1305" t="str">
        <f t="shared" si="29"/>
        <v>GUARDIAN</v>
      </c>
    </row>
    <row r="1306" spans="5:8" x14ac:dyDescent="0.25">
      <c r="E1306" t="str">
        <f>""</f>
        <v/>
      </c>
      <c r="F1306" t="str">
        <f>""</f>
        <v/>
      </c>
      <c r="H1306" t="str">
        <f t="shared" si="29"/>
        <v>GUARDIAN</v>
      </c>
    </row>
    <row r="1307" spans="5:8" x14ac:dyDescent="0.25">
      <c r="E1307" t="str">
        <f>""</f>
        <v/>
      </c>
      <c r="F1307" t="str">
        <f>""</f>
        <v/>
      </c>
      <c r="H1307" t="str">
        <f t="shared" si="29"/>
        <v>GUARDIAN</v>
      </c>
    </row>
    <row r="1308" spans="5:8" x14ac:dyDescent="0.25">
      <c r="E1308" t="str">
        <f>""</f>
        <v/>
      </c>
      <c r="F1308" t="str">
        <f>""</f>
        <v/>
      </c>
      <c r="H1308" t="str">
        <f t="shared" si="29"/>
        <v>GUARDIAN</v>
      </c>
    </row>
    <row r="1309" spans="5:8" x14ac:dyDescent="0.25">
      <c r="E1309" t="str">
        <f>""</f>
        <v/>
      </c>
      <c r="F1309" t="str">
        <f>""</f>
        <v/>
      </c>
      <c r="H1309" t="str">
        <f t="shared" si="29"/>
        <v>GUARDIAN</v>
      </c>
    </row>
    <row r="1310" spans="5:8" x14ac:dyDescent="0.25">
      <c r="E1310" t="str">
        <f>""</f>
        <v/>
      </c>
      <c r="F1310" t="str">
        <f>""</f>
        <v/>
      </c>
      <c r="H1310" t="str">
        <f t="shared" si="29"/>
        <v>GUARDIAN</v>
      </c>
    </row>
    <row r="1311" spans="5:8" x14ac:dyDescent="0.25">
      <c r="E1311" t="str">
        <f>"GDC202103172244"</f>
        <v>GDC202103172244</v>
      </c>
      <c r="F1311" t="str">
        <f>"GUARDIAN"</f>
        <v>GUARDIAN</v>
      </c>
      <c r="G1311" s="3">
        <v>101.88</v>
      </c>
      <c r="H1311" t="str">
        <f t="shared" si="29"/>
        <v>GUARDIAN</v>
      </c>
    </row>
    <row r="1312" spans="5:8" x14ac:dyDescent="0.25">
      <c r="E1312" t="str">
        <f>""</f>
        <v/>
      </c>
      <c r="F1312" t="str">
        <f>""</f>
        <v/>
      </c>
      <c r="H1312" t="str">
        <f t="shared" si="29"/>
        <v>GUARDIAN</v>
      </c>
    </row>
    <row r="1313" spans="5:8" x14ac:dyDescent="0.25">
      <c r="E1313" t="str">
        <f>"GDE202103031933"</f>
        <v>GDE202103031933</v>
      </c>
      <c r="F1313" t="str">
        <f>"GUARDIAN"</f>
        <v>GUARDIAN</v>
      </c>
      <c r="G1313" s="3">
        <v>4540.05</v>
      </c>
      <c r="H1313" t="str">
        <f t="shared" si="29"/>
        <v>GUARDIAN</v>
      </c>
    </row>
    <row r="1314" spans="5:8" x14ac:dyDescent="0.25">
      <c r="E1314" t="str">
        <f>""</f>
        <v/>
      </c>
      <c r="F1314" t="str">
        <f>""</f>
        <v/>
      </c>
      <c r="H1314" t="str">
        <f t="shared" si="29"/>
        <v>GUARDIAN</v>
      </c>
    </row>
    <row r="1315" spans="5:8" x14ac:dyDescent="0.25">
      <c r="E1315" t="str">
        <f>""</f>
        <v/>
      </c>
      <c r="F1315" t="str">
        <f>""</f>
        <v/>
      </c>
      <c r="H1315" t="str">
        <f t="shared" si="29"/>
        <v>GUARDIAN</v>
      </c>
    </row>
    <row r="1316" spans="5:8" x14ac:dyDescent="0.25">
      <c r="E1316" t="str">
        <f>""</f>
        <v/>
      </c>
      <c r="F1316" t="str">
        <f>""</f>
        <v/>
      </c>
      <c r="H1316" t="str">
        <f t="shared" si="29"/>
        <v>GUARDIAN</v>
      </c>
    </row>
    <row r="1317" spans="5:8" x14ac:dyDescent="0.25">
      <c r="E1317" t="str">
        <f>""</f>
        <v/>
      </c>
      <c r="F1317" t="str">
        <f>""</f>
        <v/>
      </c>
      <c r="H1317" t="str">
        <f t="shared" si="29"/>
        <v>GUARDIAN</v>
      </c>
    </row>
    <row r="1318" spans="5:8" x14ac:dyDescent="0.25">
      <c r="E1318" t="str">
        <f>""</f>
        <v/>
      </c>
      <c r="F1318" t="str">
        <f>""</f>
        <v/>
      </c>
      <c r="H1318" t="str">
        <f t="shared" si="29"/>
        <v>GUARDIAN</v>
      </c>
    </row>
    <row r="1319" spans="5:8" x14ac:dyDescent="0.25">
      <c r="E1319" t="str">
        <f>""</f>
        <v/>
      </c>
      <c r="F1319" t="str">
        <f>""</f>
        <v/>
      </c>
      <c r="H1319" t="str">
        <f t="shared" si="29"/>
        <v>GUARDIAN</v>
      </c>
    </row>
    <row r="1320" spans="5:8" x14ac:dyDescent="0.25">
      <c r="E1320" t="str">
        <f>""</f>
        <v/>
      </c>
      <c r="F1320" t="str">
        <f>""</f>
        <v/>
      </c>
      <c r="H1320" t="str">
        <f t="shared" si="29"/>
        <v>GUARDIAN</v>
      </c>
    </row>
    <row r="1321" spans="5:8" x14ac:dyDescent="0.25">
      <c r="E1321" t="str">
        <f>""</f>
        <v/>
      </c>
      <c r="F1321" t="str">
        <f>""</f>
        <v/>
      </c>
      <c r="H1321" t="str">
        <f t="shared" si="29"/>
        <v>GUARDIAN</v>
      </c>
    </row>
    <row r="1322" spans="5:8" x14ac:dyDescent="0.25">
      <c r="E1322" t="str">
        <f>""</f>
        <v/>
      </c>
      <c r="F1322" t="str">
        <f>""</f>
        <v/>
      </c>
      <c r="H1322" t="str">
        <f t="shared" si="29"/>
        <v>GUARDIAN</v>
      </c>
    </row>
    <row r="1323" spans="5:8" x14ac:dyDescent="0.25">
      <c r="E1323" t="str">
        <f>""</f>
        <v/>
      </c>
      <c r="F1323" t="str">
        <f>""</f>
        <v/>
      </c>
      <c r="H1323" t="str">
        <f t="shared" si="29"/>
        <v>GUARDIAN</v>
      </c>
    </row>
    <row r="1324" spans="5:8" x14ac:dyDescent="0.25">
      <c r="E1324" t="str">
        <f>""</f>
        <v/>
      </c>
      <c r="F1324" t="str">
        <f>""</f>
        <v/>
      </c>
      <c r="H1324" t="str">
        <f t="shared" si="29"/>
        <v>GUARDIAN</v>
      </c>
    </row>
    <row r="1325" spans="5:8" x14ac:dyDescent="0.25">
      <c r="E1325" t="str">
        <f>""</f>
        <v/>
      </c>
      <c r="F1325" t="str">
        <f>""</f>
        <v/>
      </c>
      <c r="H1325" t="str">
        <f t="shared" si="29"/>
        <v>GUARDIAN</v>
      </c>
    </row>
    <row r="1326" spans="5:8" x14ac:dyDescent="0.25">
      <c r="E1326" t="str">
        <f>""</f>
        <v/>
      </c>
      <c r="F1326" t="str">
        <f>""</f>
        <v/>
      </c>
      <c r="H1326" t="str">
        <f t="shared" si="29"/>
        <v>GUARDIAN</v>
      </c>
    </row>
    <row r="1327" spans="5:8" x14ac:dyDescent="0.25">
      <c r="E1327" t="str">
        <f>""</f>
        <v/>
      </c>
      <c r="F1327" t="str">
        <f>""</f>
        <v/>
      </c>
      <c r="H1327" t="str">
        <f t="shared" si="29"/>
        <v>GUARDIAN</v>
      </c>
    </row>
    <row r="1328" spans="5:8" x14ac:dyDescent="0.25">
      <c r="E1328" t="str">
        <f>""</f>
        <v/>
      </c>
      <c r="F1328" t="str">
        <f>""</f>
        <v/>
      </c>
      <c r="H1328" t="str">
        <f t="shared" si="29"/>
        <v>GUARDIAN</v>
      </c>
    </row>
    <row r="1329" spans="5:8" x14ac:dyDescent="0.25">
      <c r="E1329" t="str">
        <f>""</f>
        <v/>
      </c>
      <c r="F1329" t="str">
        <f>""</f>
        <v/>
      </c>
      <c r="H1329" t="str">
        <f t="shared" si="29"/>
        <v>GUARDIAN</v>
      </c>
    </row>
    <row r="1330" spans="5:8" x14ac:dyDescent="0.25">
      <c r="E1330" t="str">
        <f>""</f>
        <v/>
      </c>
      <c r="F1330" t="str">
        <f>""</f>
        <v/>
      </c>
      <c r="H1330" t="str">
        <f t="shared" si="29"/>
        <v>GUARDIAN</v>
      </c>
    </row>
    <row r="1331" spans="5:8" x14ac:dyDescent="0.25">
      <c r="E1331" t="str">
        <f>""</f>
        <v/>
      </c>
      <c r="F1331" t="str">
        <f>""</f>
        <v/>
      </c>
      <c r="H1331" t="str">
        <f t="shared" si="29"/>
        <v>GUARDIAN</v>
      </c>
    </row>
    <row r="1332" spans="5:8" x14ac:dyDescent="0.25">
      <c r="E1332" t="str">
        <f>""</f>
        <v/>
      </c>
      <c r="F1332" t="str">
        <f>""</f>
        <v/>
      </c>
      <c r="H1332" t="str">
        <f t="shared" si="29"/>
        <v>GUARDIAN</v>
      </c>
    </row>
    <row r="1333" spans="5:8" x14ac:dyDescent="0.25">
      <c r="E1333" t="str">
        <f>""</f>
        <v/>
      </c>
      <c r="F1333" t="str">
        <f>""</f>
        <v/>
      </c>
      <c r="H1333" t="str">
        <f t="shared" si="29"/>
        <v>GUARDIAN</v>
      </c>
    </row>
    <row r="1334" spans="5:8" x14ac:dyDescent="0.25">
      <c r="E1334" t="str">
        <f>""</f>
        <v/>
      </c>
      <c r="F1334" t="str">
        <f>""</f>
        <v/>
      </c>
      <c r="H1334" t="str">
        <f t="shared" si="29"/>
        <v>GUARDIAN</v>
      </c>
    </row>
    <row r="1335" spans="5:8" x14ac:dyDescent="0.25">
      <c r="E1335" t="str">
        <f>""</f>
        <v/>
      </c>
      <c r="F1335" t="str">
        <f>""</f>
        <v/>
      </c>
      <c r="H1335" t="str">
        <f t="shared" si="29"/>
        <v>GUARDIAN</v>
      </c>
    </row>
    <row r="1336" spans="5:8" x14ac:dyDescent="0.25">
      <c r="E1336" t="str">
        <f>""</f>
        <v/>
      </c>
      <c r="F1336" t="str">
        <f>""</f>
        <v/>
      </c>
      <c r="H1336" t="str">
        <f t="shared" si="29"/>
        <v>GUARDIAN</v>
      </c>
    </row>
    <row r="1337" spans="5:8" x14ac:dyDescent="0.25">
      <c r="E1337" t="str">
        <f>""</f>
        <v/>
      </c>
      <c r="F1337" t="str">
        <f>""</f>
        <v/>
      </c>
      <c r="H1337" t="str">
        <f t="shared" si="29"/>
        <v>GUARDIAN</v>
      </c>
    </row>
    <row r="1338" spans="5:8" x14ac:dyDescent="0.25">
      <c r="E1338" t="str">
        <f>""</f>
        <v/>
      </c>
      <c r="F1338" t="str">
        <f>""</f>
        <v/>
      </c>
      <c r="H1338" t="str">
        <f t="shared" si="29"/>
        <v>GUARDIAN</v>
      </c>
    </row>
    <row r="1339" spans="5:8" x14ac:dyDescent="0.25">
      <c r="E1339" t="str">
        <f>""</f>
        <v/>
      </c>
      <c r="F1339" t="str">
        <f>""</f>
        <v/>
      </c>
      <c r="H1339" t="str">
        <f t="shared" si="29"/>
        <v>GUARDIAN</v>
      </c>
    </row>
    <row r="1340" spans="5:8" x14ac:dyDescent="0.25">
      <c r="E1340" t="str">
        <f>""</f>
        <v/>
      </c>
      <c r="F1340" t="str">
        <f>""</f>
        <v/>
      </c>
      <c r="H1340" t="str">
        <f t="shared" si="29"/>
        <v>GUARDIAN</v>
      </c>
    </row>
    <row r="1341" spans="5:8" x14ac:dyDescent="0.25">
      <c r="E1341" t="str">
        <f>""</f>
        <v/>
      </c>
      <c r="F1341" t="str">
        <f>""</f>
        <v/>
      </c>
      <c r="H1341" t="str">
        <f t="shared" si="29"/>
        <v>GUARDIAN</v>
      </c>
    </row>
    <row r="1342" spans="5:8" x14ac:dyDescent="0.25">
      <c r="E1342" t="str">
        <f>""</f>
        <v/>
      </c>
      <c r="F1342" t="str">
        <f>""</f>
        <v/>
      </c>
      <c r="H1342" t="str">
        <f t="shared" si="29"/>
        <v>GUARDIAN</v>
      </c>
    </row>
    <row r="1343" spans="5:8" x14ac:dyDescent="0.25">
      <c r="E1343" t="str">
        <f>""</f>
        <v/>
      </c>
      <c r="F1343" t="str">
        <f>""</f>
        <v/>
      </c>
      <c r="H1343" t="str">
        <f t="shared" si="29"/>
        <v>GUARDIAN</v>
      </c>
    </row>
    <row r="1344" spans="5:8" x14ac:dyDescent="0.25">
      <c r="E1344" t="str">
        <f>""</f>
        <v/>
      </c>
      <c r="F1344" t="str">
        <f>""</f>
        <v/>
      </c>
      <c r="H1344" t="str">
        <f t="shared" si="29"/>
        <v>GUARDIAN</v>
      </c>
    </row>
    <row r="1345" spans="5:8" x14ac:dyDescent="0.25">
      <c r="E1345" t="str">
        <f>""</f>
        <v/>
      </c>
      <c r="F1345" t="str">
        <f>""</f>
        <v/>
      </c>
      <c r="H1345" t="str">
        <f t="shared" si="29"/>
        <v>GUARDIAN</v>
      </c>
    </row>
    <row r="1346" spans="5:8" x14ac:dyDescent="0.25">
      <c r="E1346" t="str">
        <f>""</f>
        <v/>
      </c>
      <c r="F1346" t="str">
        <f>""</f>
        <v/>
      </c>
      <c r="H1346" t="str">
        <f t="shared" si="29"/>
        <v>GUARDIAN</v>
      </c>
    </row>
    <row r="1347" spans="5:8" x14ac:dyDescent="0.25">
      <c r="E1347" t="str">
        <f>""</f>
        <v/>
      </c>
      <c r="F1347" t="str">
        <f>""</f>
        <v/>
      </c>
      <c r="H1347" t="str">
        <f t="shared" si="29"/>
        <v>GUARDIAN</v>
      </c>
    </row>
    <row r="1348" spans="5:8" x14ac:dyDescent="0.25">
      <c r="E1348" t="str">
        <f>""</f>
        <v/>
      </c>
      <c r="F1348" t="str">
        <f>""</f>
        <v/>
      </c>
      <c r="H1348" t="str">
        <f t="shared" si="29"/>
        <v>GUARDIAN</v>
      </c>
    </row>
    <row r="1349" spans="5:8" x14ac:dyDescent="0.25">
      <c r="E1349" t="str">
        <f>""</f>
        <v/>
      </c>
      <c r="F1349" t="str">
        <f>""</f>
        <v/>
      </c>
      <c r="H1349" t="str">
        <f t="shared" si="29"/>
        <v>GUARDIAN</v>
      </c>
    </row>
    <row r="1350" spans="5:8" x14ac:dyDescent="0.25">
      <c r="E1350" t="str">
        <f>""</f>
        <v/>
      </c>
      <c r="F1350" t="str">
        <f>""</f>
        <v/>
      </c>
      <c r="H1350" t="str">
        <f t="shared" si="29"/>
        <v>GUARDIAN</v>
      </c>
    </row>
    <row r="1351" spans="5:8" x14ac:dyDescent="0.25">
      <c r="E1351" t="str">
        <f>""</f>
        <v/>
      </c>
      <c r="F1351" t="str">
        <f>""</f>
        <v/>
      </c>
      <c r="H1351" t="str">
        <f t="shared" si="29"/>
        <v>GUARDIAN</v>
      </c>
    </row>
    <row r="1352" spans="5:8" x14ac:dyDescent="0.25">
      <c r="E1352" t="str">
        <f>""</f>
        <v/>
      </c>
      <c r="F1352" t="str">
        <f>""</f>
        <v/>
      </c>
      <c r="H1352" t="str">
        <f t="shared" si="29"/>
        <v>GUARDIAN</v>
      </c>
    </row>
    <row r="1353" spans="5:8" x14ac:dyDescent="0.25">
      <c r="E1353" t="str">
        <f>""</f>
        <v/>
      </c>
      <c r="F1353" t="str">
        <f>""</f>
        <v/>
      </c>
      <c r="H1353" t="str">
        <f t="shared" si="29"/>
        <v>GUARDIAN</v>
      </c>
    </row>
    <row r="1354" spans="5:8" x14ac:dyDescent="0.25">
      <c r="E1354" t="str">
        <f>""</f>
        <v/>
      </c>
      <c r="F1354" t="str">
        <f>""</f>
        <v/>
      </c>
      <c r="H1354" t="str">
        <f t="shared" si="29"/>
        <v>GUARDIAN</v>
      </c>
    </row>
    <row r="1355" spans="5:8" x14ac:dyDescent="0.25">
      <c r="E1355" t="str">
        <f>""</f>
        <v/>
      </c>
      <c r="F1355" t="str">
        <f>""</f>
        <v/>
      </c>
      <c r="H1355" t="str">
        <f t="shared" si="29"/>
        <v>GUARDIAN</v>
      </c>
    </row>
    <row r="1356" spans="5:8" x14ac:dyDescent="0.25">
      <c r="E1356" t="str">
        <f>""</f>
        <v/>
      </c>
      <c r="F1356" t="str">
        <f>""</f>
        <v/>
      </c>
      <c r="H1356" t="str">
        <f t="shared" si="29"/>
        <v>GUARDIAN</v>
      </c>
    </row>
    <row r="1357" spans="5:8" x14ac:dyDescent="0.25">
      <c r="E1357" t="str">
        <f>"GDE202103031934"</f>
        <v>GDE202103031934</v>
      </c>
      <c r="F1357" t="str">
        <f>"GUARDIAN"</f>
        <v>GUARDIAN</v>
      </c>
      <c r="G1357" s="3">
        <v>153.9</v>
      </c>
      <c r="H1357" t="str">
        <f t="shared" ref="H1357:H1420" si="30">"GUARDIAN"</f>
        <v>GUARDIAN</v>
      </c>
    </row>
    <row r="1358" spans="5:8" x14ac:dyDescent="0.25">
      <c r="E1358" t="str">
        <f>"GDE202103172243"</f>
        <v>GDE202103172243</v>
      </c>
      <c r="F1358" t="str">
        <f>"GUARDIAN"</f>
        <v>GUARDIAN</v>
      </c>
      <c r="G1358" s="3">
        <v>4555.4399999999996</v>
      </c>
      <c r="H1358" t="str">
        <f t="shared" si="30"/>
        <v>GUARDIAN</v>
      </c>
    </row>
    <row r="1359" spans="5:8" x14ac:dyDescent="0.25">
      <c r="E1359" t="str">
        <f>""</f>
        <v/>
      </c>
      <c r="F1359" t="str">
        <f>""</f>
        <v/>
      </c>
      <c r="H1359" t="str">
        <f t="shared" si="30"/>
        <v>GUARDIAN</v>
      </c>
    </row>
    <row r="1360" spans="5:8" x14ac:dyDescent="0.25">
      <c r="E1360" t="str">
        <f>""</f>
        <v/>
      </c>
      <c r="F1360" t="str">
        <f>""</f>
        <v/>
      </c>
      <c r="H1360" t="str">
        <f t="shared" si="30"/>
        <v>GUARDIAN</v>
      </c>
    </row>
    <row r="1361" spans="5:8" x14ac:dyDescent="0.25">
      <c r="E1361" t="str">
        <f>""</f>
        <v/>
      </c>
      <c r="F1361" t="str">
        <f>""</f>
        <v/>
      </c>
      <c r="H1361" t="str">
        <f t="shared" si="30"/>
        <v>GUARDIAN</v>
      </c>
    </row>
    <row r="1362" spans="5:8" x14ac:dyDescent="0.25">
      <c r="E1362" t="str">
        <f>""</f>
        <v/>
      </c>
      <c r="F1362" t="str">
        <f>""</f>
        <v/>
      </c>
      <c r="H1362" t="str">
        <f t="shared" si="30"/>
        <v>GUARDIAN</v>
      </c>
    </row>
    <row r="1363" spans="5:8" x14ac:dyDescent="0.25">
      <c r="E1363" t="str">
        <f>""</f>
        <v/>
      </c>
      <c r="F1363" t="str">
        <f>""</f>
        <v/>
      </c>
      <c r="H1363" t="str">
        <f t="shared" si="30"/>
        <v>GUARDIAN</v>
      </c>
    </row>
    <row r="1364" spans="5:8" x14ac:dyDescent="0.25">
      <c r="E1364" t="str">
        <f>""</f>
        <v/>
      </c>
      <c r="F1364" t="str">
        <f>""</f>
        <v/>
      </c>
      <c r="H1364" t="str">
        <f t="shared" si="30"/>
        <v>GUARDIAN</v>
      </c>
    </row>
    <row r="1365" spans="5:8" x14ac:dyDescent="0.25">
      <c r="E1365" t="str">
        <f>""</f>
        <v/>
      </c>
      <c r="F1365" t="str">
        <f>""</f>
        <v/>
      </c>
      <c r="H1365" t="str">
        <f t="shared" si="30"/>
        <v>GUARDIAN</v>
      </c>
    </row>
    <row r="1366" spans="5:8" x14ac:dyDescent="0.25">
      <c r="E1366" t="str">
        <f>""</f>
        <v/>
      </c>
      <c r="F1366" t="str">
        <f>""</f>
        <v/>
      </c>
      <c r="H1366" t="str">
        <f t="shared" si="30"/>
        <v>GUARDIAN</v>
      </c>
    </row>
    <row r="1367" spans="5:8" x14ac:dyDescent="0.25">
      <c r="E1367" t="str">
        <f>""</f>
        <v/>
      </c>
      <c r="F1367" t="str">
        <f>""</f>
        <v/>
      </c>
      <c r="H1367" t="str">
        <f t="shared" si="30"/>
        <v>GUARDIAN</v>
      </c>
    </row>
    <row r="1368" spans="5:8" x14ac:dyDescent="0.25">
      <c r="E1368" t="str">
        <f>""</f>
        <v/>
      </c>
      <c r="F1368" t="str">
        <f>""</f>
        <v/>
      </c>
      <c r="H1368" t="str">
        <f t="shared" si="30"/>
        <v>GUARDIAN</v>
      </c>
    </row>
    <row r="1369" spans="5:8" x14ac:dyDescent="0.25">
      <c r="E1369" t="str">
        <f>""</f>
        <v/>
      </c>
      <c r="F1369" t="str">
        <f>""</f>
        <v/>
      </c>
      <c r="H1369" t="str">
        <f t="shared" si="30"/>
        <v>GUARDIAN</v>
      </c>
    </row>
    <row r="1370" spans="5:8" x14ac:dyDescent="0.25">
      <c r="E1370" t="str">
        <f>""</f>
        <v/>
      </c>
      <c r="F1370" t="str">
        <f>""</f>
        <v/>
      </c>
      <c r="H1370" t="str">
        <f t="shared" si="30"/>
        <v>GUARDIAN</v>
      </c>
    </row>
    <row r="1371" spans="5:8" x14ac:dyDescent="0.25">
      <c r="E1371" t="str">
        <f>""</f>
        <v/>
      </c>
      <c r="F1371" t="str">
        <f>""</f>
        <v/>
      </c>
      <c r="H1371" t="str">
        <f t="shared" si="30"/>
        <v>GUARDIAN</v>
      </c>
    </row>
    <row r="1372" spans="5:8" x14ac:dyDescent="0.25">
      <c r="E1372" t="str">
        <f>""</f>
        <v/>
      </c>
      <c r="F1372" t="str">
        <f>""</f>
        <v/>
      </c>
      <c r="H1372" t="str">
        <f t="shared" si="30"/>
        <v>GUARDIAN</v>
      </c>
    </row>
    <row r="1373" spans="5:8" x14ac:dyDescent="0.25">
      <c r="E1373" t="str">
        <f>""</f>
        <v/>
      </c>
      <c r="F1373" t="str">
        <f>""</f>
        <v/>
      </c>
      <c r="H1373" t="str">
        <f t="shared" si="30"/>
        <v>GUARDIAN</v>
      </c>
    </row>
    <row r="1374" spans="5:8" x14ac:dyDescent="0.25">
      <c r="E1374" t="str">
        <f>""</f>
        <v/>
      </c>
      <c r="F1374" t="str">
        <f>""</f>
        <v/>
      </c>
      <c r="H1374" t="str">
        <f t="shared" si="30"/>
        <v>GUARDIAN</v>
      </c>
    </row>
    <row r="1375" spans="5:8" x14ac:dyDescent="0.25">
      <c r="E1375" t="str">
        <f>""</f>
        <v/>
      </c>
      <c r="F1375" t="str">
        <f>""</f>
        <v/>
      </c>
      <c r="H1375" t="str">
        <f t="shared" si="30"/>
        <v>GUARDIAN</v>
      </c>
    </row>
    <row r="1376" spans="5:8" x14ac:dyDescent="0.25">
      <c r="E1376" t="str">
        <f>""</f>
        <v/>
      </c>
      <c r="F1376" t="str">
        <f>""</f>
        <v/>
      </c>
      <c r="H1376" t="str">
        <f t="shared" si="30"/>
        <v>GUARDIAN</v>
      </c>
    </row>
    <row r="1377" spans="5:8" x14ac:dyDescent="0.25">
      <c r="E1377" t="str">
        <f>""</f>
        <v/>
      </c>
      <c r="F1377" t="str">
        <f>""</f>
        <v/>
      </c>
      <c r="H1377" t="str">
        <f t="shared" si="30"/>
        <v>GUARDIAN</v>
      </c>
    </row>
    <row r="1378" spans="5:8" x14ac:dyDescent="0.25">
      <c r="E1378" t="str">
        <f>""</f>
        <v/>
      </c>
      <c r="F1378" t="str">
        <f>""</f>
        <v/>
      </c>
      <c r="H1378" t="str">
        <f t="shared" si="30"/>
        <v>GUARDIAN</v>
      </c>
    </row>
    <row r="1379" spans="5:8" x14ac:dyDescent="0.25">
      <c r="E1379" t="str">
        <f>""</f>
        <v/>
      </c>
      <c r="F1379" t="str">
        <f>""</f>
        <v/>
      </c>
      <c r="H1379" t="str">
        <f t="shared" si="30"/>
        <v>GUARDIAN</v>
      </c>
    </row>
    <row r="1380" spans="5:8" x14ac:dyDescent="0.25">
      <c r="E1380" t="str">
        <f>""</f>
        <v/>
      </c>
      <c r="F1380" t="str">
        <f>""</f>
        <v/>
      </c>
      <c r="H1380" t="str">
        <f t="shared" si="30"/>
        <v>GUARDIAN</v>
      </c>
    </row>
    <row r="1381" spans="5:8" x14ac:dyDescent="0.25">
      <c r="E1381" t="str">
        <f>""</f>
        <v/>
      </c>
      <c r="F1381" t="str">
        <f>""</f>
        <v/>
      </c>
      <c r="H1381" t="str">
        <f t="shared" si="30"/>
        <v>GUARDIAN</v>
      </c>
    </row>
    <row r="1382" spans="5:8" x14ac:dyDescent="0.25">
      <c r="E1382" t="str">
        <f>""</f>
        <v/>
      </c>
      <c r="F1382" t="str">
        <f>""</f>
        <v/>
      </c>
      <c r="H1382" t="str">
        <f t="shared" si="30"/>
        <v>GUARDIAN</v>
      </c>
    </row>
    <row r="1383" spans="5:8" x14ac:dyDescent="0.25">
      <c r="E1383" t="str">
        <f>""</f>
        <v/>
      </c>
      <c r="F1383" t="str">
        <f>""</f>
        <v/>
      </c>
      <c r="H1383" t="str">
        <f t="shared" si="30"/>
        <v>GUARDIAN</v>
      </c>
    </row>
    <row r="1384" spans="5:8" x14ac:dyDescent="0.25">
      <c r="E1384" t="str">
        <f>""</f>
        <v/>
      </c>
      <c r="F1384" t="str">
        <f>""</f>
        <v/>
      </c>
      <c r="H1384" t="str">
        <f t="shared" si="30"/>
        <v>GUARDIAN</v>
      </c>
    </row>
    <row r="1385" spans="5:8" x14ac:dyDescent="0.25">
      <c r="E1385" t="str">
        <f>""</f>
        <v/>
      </c>
      <c r="F1385" t="str">
        <f>""</f>
        <v/>
      </c>
      <c r="H1385" t="str">
        <f t="shared" si="30"/>
        <v>GUARDIAN</v>
      </c>
    </row>
    <row r="1386" spans="5:8" x14ac:dyDescent="0.25">
      <c r="E1386" t="str">
        <f>""</f>
        <v/>
      </c>
      <c r="F1386" t="str">
        <f>""</f>
        <v/>
      </c>
      <c r="H1386" t="str">
        <f t="shared" si="30"/>
        <v>GUARDIAN</v>
      </c>
    </row>
    <row r="1387" spans="5:8" x14ac:dyDescent="0.25">
      <c r="E1387" t="str">
        <f>""</f>
        <v/>
      </c>
      <c r="F1387" t="str">
        <f>""</f>
        <v/>
      </c>
      <c r="H1387" t="str">
        <f t="shared" si="30"/>
        <v>GUARDIAN</v>
      </c>
    </row>
    <row r="1388" spans="5:8" x14ac:dyDescent="0.25">
      <c r="E1388" t="str">
        <f>""</f>
        <v/>
      </c>
      <c r="F1388" t="str">
        <f>""</f>
        <v/>
      </c>
      <c r="H1388" t="str">
        <f t="shared" si="30"/>
        <v>GUARDIAN</v>
      </c>
    </row>
    <row r="1389" spans="5:8" x14ac:dyDescent="0.25">
      <c r="E1389" t="str">
        <f>""</f>
        <v/>
      </c>
      <c r="F1389" t="str">
        <f>""</f>
        <v/>
      </c>
      <c r="H1389" t="str">
        <f t="shared" si="30"/>
        <v>GUARDIAN</v>
      </c>
    </row>
    <row r="1390" spans="5:8" x14ac:dyDescent="0.25">
      <c r="E1390" t="str">
        <f>""</f>
        <v/>
      </c>
      <c r="F1390" t="str">
        <f>""</f>
        <v/>
      </c>
      <c r="H1390" t="str">
        <f t="shared" si="30"/>
        <v>GUARDIAN</v>
      </c>
    </row>
    <row r="1391" spans="5:8" x14ac:dyDescent="0.25">
      <c r="E1391" t="str">
        <f>""</f>
        <v/>
      </c>
      <c r="F1391" t="str">
        <f>""</f>
        <v/>
      </c>
      <c r="H1391" t="str">
        <f t="shared" si="30"/>
        <v>GUARDIAN</v>
      </c>
    </row>
    <row r="1392" spans="5:8" x14ac:dyDescent="0.25">
      <c r="E1392" t="str">
        <f>""</f>
        <v/>
      </c>
      <c r="F1392" t="str">
        <f>""</f>
        <v/>
      </c>
      <c r="H1392" t="str">
        <f t="shared" si="30"/>
        <v>GUARDIAN</v>
      </c>
    </row>
    <row r="1393" spans="5:8" x14ac:dyDescent="0.25">
      <c r="E1393" t="str">
        <f>""</f>
        <v/>
      </c>
      <c r="F1393" t="str">
        <f>""</f>
        <v/>
      </c>
      <c r="H1393" t="str">
        <f t="shared" si="30"/>
        <v>GUARDIAN</v>
      </c>
    </row>
    <row r="1394" spans="5:8" x14ac:dyDescent="0.25">
      <c r="E1394" t="str">
        <f>""</f>
        <v/>
      </c>
      <c r="F1394" t="str">
        <f>""</f>
        <v/>
      </c>
      <c r="H1394" t="str">
        <f t="shared" si="30"/>
        <v>GUARDIAN</v>
      </c>
    </row>
    <row r="1395" spans="5:8" x14ac:dyDescent="0.25">
      <c r="E1395" t="str">
        <f>""</f>
        <v/>
      </c>
      <c r="F1395" t="str">
        <f>""</f>
        <v/>
      </c>
      <c r="H1395" t="str">
        <f t="shared" si="30"/>
        <v>GUARDIAN</v>
      </c>
    </row>
    <row r="1396" spans="5:8" x14ac:dyDescent="0.25">
      <c r="E1396" t="str">
        <f>""</f>
        <v/>
      </c>
      <c r="F1396" t="str">
        <f>""</f>
        <v/>
      </c>
      <c r="H1396" t="str">
        <f t="shared" si="30"/>
        <v>GUARDIAN</v>
      </c>
    </row>
    <row r="1397" spans="5:8" x14ac:dyDescent="0.25">
      <c r="E1397" t="str">
        <f>""</f>
        <v/>
      </c>
      <c r="F1397" t="str">
        <f>""</f>
        <v/>
      </c>
      <c r="H1397" t="str">
        <f t="shared" si="30"/>
        <v>GUARDIAN</v>
      </c>
    </row>
    <row r="1398" spans="5:8" x14ac:dyDescent="0.25">
      <c r="E1398" t="str">
        <f>""</f>
        <v/>
      </c>
      <c r="F1398" t="str">
        <f>""</f>
        <v/>
      </c>
      <c r="H1398" t="str">
        <f t="shared" si="30"/>
        <v>GUARDIAN</v>
      </c>
    </row>
    <row r="1399" spans="5:8" x14ac:dyDescent="0.25">
      <c r="E1399" t="str">
        <f>""</f>
        <v/>
      </c>
      <c r="F1399" t="str">
        <f>""</f>
        <v/>
      </c>
      <c r="H1399" t="str">
        <f t="shared" si="30"/>
        <v>GUARDIAN</v>
      </c>
    </row>
    <row r="1400" spans="5:8" x14ac:dyDescent="0.25">
      <c r="E1400" t="str">
        <f>""</f>
        <v/>
      </c>
      <c r="F1400" t="str">
        <f>""</f>
        <v/>
      </c>
      <c r="H1400" t="str">
        <f t="shared" si="30"/>
        <v>GUARDIAN</v>
      </c>
    </row>
    <row r="1401" spans="5:8" x14ac:dyDescent="0.25">
      <c r="E1401" t="str">
        <f>""</f>
        <v/>
      </c>
      <c r="F1401" t="str">
        <f>""</f>
        <v/>
      </c>
      <c r="H1401" t="str">
        <f t="shared" si="30"/>
        <v>GUARDIAN</v>
      </c>
    </row>
    <row r="1402" spans="5:8" x14ac:dyDescent="0.25">
      <c r="E1402" t="str">
        <f>"GDE202103172244"</f>
        <v>GDE202103172244</v>
      </c>
      <c r="F1402" t="str">
        <f>"GUARDIAN"</f>
        <v>GUARDIAN</v>
      </c>
      <c r="G1402" s="3">
        <v>153.9</v>
      </c>
      <c r="H1402" t="str">
        <f t="shared" si="30"/>
        <v>GUARDIAN</v>
      </c>
    </row>
    <row r="1403" spans="5:8" x14ac:dyDescent="0.25">
      <c r="E1403" t="str">
        <f>"GDF202103031933"</f>
        <v>GDF202103031933</v>
      </c>
      <c r="F1403" t="str">
        <f>"GUARDIAN"</f>
        <v>GUARDIAN</v>
      </c>
      <c r="G1403" s="3">
        <v>2209.2399999999998</v>
      </c>
      <c r="H1403" t="str">
        <f t="shared" si="30"/>
        <v>GUARDIAN</v>
      </c>
    </row>
    <row r="1404" spans="5:8" x14ac:dyDescent="0.25">
      <c r="E1404" t="str">
        <f>""</f>
        <v/>
      </c>
      <c r="F1404" t="str">
        <f>""</f>
        <v/>
      </c>
      <c r="H1404" t="str">
        <f t="shared" si="30"/>
        <v>GUARDIAN</v>
      </c>
    </row>
    <row r="1405" spans="5:8" x14ac:dyDescent="0.25">
      <c r="E1405" t="str">
        <f>""</f>
        <v/>
      </c>
      <c r="F1405" t="str">
        <f>""</f>
        <v/>
      </c>
      <c r="H1405" t="str">
        <f t="shared" si="30"/>
        <v>GUARDIAN</v>
      </c>
    </row>
    <row r="1406" spans="5:8" x14ac:dyDescent="0.25">
      <c r="E1406" t="str">
        <f>""</f>
        <v/>
      </c>
      <c r="F1406" t="str">
        <f>""</f>
        <v/>
      </c>
      <c r="H1406" t="str">
        <f t="shared" si="30"/>
        <v>GUARDIAN</v>
      </c>
    </row>
    <row r="1407" spans="5:8" x14ac:dyDescent="0.25">
      <c r="E1407" t="str">
        <f>""</f>
        <v/>
      </c>
      <c r="F1407" t="str">
        <f>""</f>
        <v/>
      </c>
      <c r="H1407" t="str">
        <f t="shared" si="30"/>
        <v>GUARDIAN</v>
      </c>
    </row>
    <row r="1408" spans="5:8" x14ac:dyDescent="0.25">
      <c r="E1408" t="str">
        <f>""</f>
        <v/>
      </c>
      <c r="F1408" t="str">
        <f>""</f>
        <v/>
      </c>
      <c r="H1408" t="str">
        <f t="shared" si="30"/>
        <v>GUARDIAN</v>
      </c>
    </row>
    <row r="1409" spans="5:8" x14ac:dyDescent="0.25">
      <c r="E1409" t="str">
        <f>""</f>
        <v/>
      </c>
      <c r="F1409" t="str">
        <f>""</f>
        <v/>
      </c>
      <c r="H1409" t="str">
        <f t="shared" si="30"/>
        <v>GUARDIAN</v>
      </c>
    </row>
    <row r="1410" spans="5:8" x14ac:dyDescent="0.25">
      <c r="E1410" t="str">
        <f>""</f>
        <v/>
      </c>
      <c r="F1410" t="str">
        <f>""</f>
        <v/>
      </c>
      <c r="H1410" t="str">
        <f t="shared" si="30"/>
        <v>GUARDIAN</v>
      </c>
    </row>
    <row r="1411" spans="5:8" x14ac:dyDescent="0.25">
      <c r="E1411" t="str">
        <f>""</f>
        <v/>
      </c>
      <c r="F1411" t="str">
        <f>""</f>
        <v/>
      </c>
      <c r="H1411" t="str">
        <f t="shared" si="30"/>
        <v>GUARDIAN</v>
      </c>
    </row>
    <row r="1412" spans="5:8" x14ac:dyDescent="0.25">
      <c r="E1412" t="str">
        <f>""</f>
        <v/>
      </c>
      <c r="F1412" t="str">
        <f>""</f>
        <v/>
      </c>
      <c r="H1412" t="str">
        <f t="shared" si="30"/>
        <v>GUARDIAN</v>
      </c>
    </row>
    <row r="1413" spans="5:8" x14ac:dyDescent="0.25">
      <c r="E1413" t="str">
        <f>""</f>
        <v/>
      </c>
      <c r="F1413" t="str">
        <f>""</f>
        <v/>
      </c>
      <c r="H1413" t="str">
        <f t="shared" si="30"/>
        <v>GUARDIAN</v>
      </c>
    </row>
    <row r="1414" spans="5:8" x14ac:dyDescent="0.25">
      <c r="E1414" t="str">
        <f>""</f>
        <v/>
      </c>
      <c r="F1414" t="str">
        <f>""</f>
        <v/>
      </c>
      <c r="H1414" t="str">
        <f t="shared" si="30"/>
        <v>GUARDIAN</v>
      </c>
    </row>
    <row r="1415" spans="5:8" x14ac:dyDescent="0.25">
      <c r="E1415" t="str">
        <f>""</f>
        <v/>
      </c>
      <c r="F1415" t="str">
        <f>""</f>
        <v/>
      </c>
      <c r="H1415" t="str">
        <f t="shared" si="30"/>
        <v>GUARDIAN</v>
      </c>
    </row>
    <row r="1416" spans="5:8" x14ac:dyDescent="0.25">
      <c r="E1416" t="str">
        <f>""</f>
        <v/>
      </c>
      <c r="F1416" t="str">
        <f>""</f>
        <v/>
      </c>
      <c r="H1416" t="str">
        <f t="shared" si="30"/>
        <v>GUARDIAN</v>
      </c>
    </row>
    <row r="1417" spans="5:8" x14ac:dyDescent="0.25">
      <c r="E1417" t="str">
        <f>""</f>
        <v/>
      </c>
      <c r="F1417" t="str">
        <f>""</f>
        <v/>
      </c>
      <c r="H1417" t="str">
        <f t="shared" si="30"/>
        <v>GUARDIAN</v>
      </c>
    </row>
    <row r="1418" spans="5:8" x14ac:dyDescent="0.25">
      <c r="E1418" t="str">
        <f>""</f>
        <v/>
      </c>
      <c r="F1418" t="str">
        <f>""</f>
        <v/>
      </c>
      <c r="H1418" t="str">
        <f t="shared" si="30"/>
        <v>GUARDIAN</v>
      </c>
    </row>
    <row r="1419" spans="5:8" x14ac:dyDescent="0.25">
      <c r="E1419" t="str">
        <f>""</f>
        <v/>
      </c>
      <c r="F1419" t="str">
        <f>""</f>
        <v/>
      </c>
      <c r="H1419" t="str">
        <f t="shared" si="30"/>
        <v>GUARDIAN</v>
      </c>
    </row>
    <row r="1420" spans="5:8" x14ac:dyDescent="0.25">
      <c r="E1420" t="str">
        <f>""</f>
        <v/>
      </c>
      <c r="F1420" t="str">
        <f>""</f>
        <v/>
      </c>
      <c r="H1420" t="str">
        <f t="shared" si="30"/>
        <v>GUARDIAN</v>
      </c>
    </row>
    <row r="1421" spans="5:8" x14ac:dyDescent="0.25">
      <c r="E1421" t="str">
        <f>""</f>
        <v/>
      </c>
      <c r="F1421" t="str">
        <f>""</f>
        <v/>
      </c>
      <c r="H1421" t="str">
        <f t="shared" ref="H1421:H1484" si="31">"GUARDIAN"</f>
        <v>GUARDIAN</v>
      </c>
    </row>
    <row r="1422" spans="5:8" x14ac:dyDescent="0.25">
      <c r="E1422" t="str">
        <f>""</f>
        <v/>
      </c>
      <c r="F1422" t="str">
        <f>""</f>
        <v/>
      </c>
      <c r="H1422" t="str">
        <f t="shared" si="31"/>
        <v>GUARDIAN</v>
      </c>
    </row>
    <row r="1423" spans="5:8" x14ac:dyDescent="0.25">
      <c r="E1423" t="str">
        <f>""</f>
        <v/>
      </c>
      <c r="F1423" t="str">
        <f>""</f>
        <v/>
      </c>
      <c r="H1423" t="str">
        <f t="shared" si="31"/>
        <v>GUARDIAN</v>
      </c>
    </row>
    <row r="1424" spans="5:8" x14ac:dyDescent="0.25">
      <c r="E1424" t="str">
        <f>""</f>
        <v/>
      </c>
      <c r="F1424" t="str">
        <f>""</f>
        <v/>
      </c>
      <c r="H1424" t="str">
        <f t="shared" si="31"/>
        <v>GUARDIAN</v>
      </c>
    </row>
    <row r="1425" spans="5:8" x14ac:dyDescent="0.25">
      <c r="E1425" t="str">
        <f>""</f>
        <v/>
      </c>
      <c r="F1425" t="str">
        <f>""</f>
        <v/>
      </c>
      <c r="H1425" t="str">
        <f t="shared" si="31"/>
        <v>GUARDIAN</v>
      </c>
    </row>
    <row r="1426" spans="5:8" x14ac:dyDescent="0.25">
      <c r="E1426" t="str">
        <f>""</f>
        <v/>
      </c>
      <c r="F1426" t="str">
        <f>""</f>
        <v/>
      </c>
      <c r="H1426" t="str">
        <f t="shared" si="31"/>
        <v>GUARDIAN</v>
      </c>
    </row>
    <row r="1427" spans="5:8" x14ac:dyDescent="0.25">
      <c r="E1427" t="str">
        <f>"GDF202103031934"</f>
        <v>GDF202103031934</v>
      </c>
      <c r="F1427" t="str">
        <f>"GUARDIAN"</f>
        <v>GUARDIAN</v>
      </c>
      <c r="G1427" s="3">
        <v>100.42</v>
      </c>
      <c r="H1427" t="str">
        <f t="shared" si="31"/>
        <v>GUARDIAN</v>
      </c>
    </row>
    <row r="1428" spans="5:8" x14ac:dyDescent="0.25">
      <c r="E1428" t="str">
        <f>""</f>
        <v/>
      </c>
      <c r="F1428" t="str">
        <f>""</f>
        <v/>
      </c>
      <c r="H1428" t="str">
        <f t="shared" si="31"/>
        <v>GUARDIAN</v>
      </c>
    </row>
    <row r="1429" spans="5:8" x14ac:dyDescent="0.25">
      <c r="E1429" t="str">
        <f>"GDF202103172243"</f>
        <v>GDF202103172243</v>
      </c>
      <c r="F1429" t="str">
        <f>"GUARDIAN"</f>
        <v>GUARDIAN</v>
      </c>
      <c r="G1429" s="3">
        <v>2209.2399999999998</v>
      </c>
      <c r="H1429" t="str">
        <f t="shared" si="31"/>
        <v>GUARDIAN</v>
      </c>
    </row>
    <row r="1430" spans="5:8" x14ac:dyDescent="0.25">
      <c r="E1430" t="str">
        <f>""</f>
        <v/>
      </c>
      <c r="F1430" t="str">
        <f>""</f>
        <v/>
      </c>
      <c r="H1430" t="str">
        <f t="shared" si="31"/>
        <v>GUARDIAN</v>
      </c>
    </row>
    <row r="1431" spans="5:8" x14ac:dyDescent="0.25">
      <c r="E1431" t="str">
        <f>""</f>
        <v/>
      </c>
      <c r="F1431" t="str">
        <f>""</f>
        <v/>
      </c>
      <c r="H1431" t="str">
        <f t="shared" si="31"/>
        <v>GUARDIAN</v>
      </c>
    </row>
    <row r="1432" spans="5:8" x14ac:dyDescent="0.25">
      <c r="E1432" t="str">
        <f>""</f>
        <v/>
      </c>
      <c r="F1432" t="str">
        <f>""</f>
        <v/>
      </c>
      <c r="H1432" t="str">
        <f t="shared" si="31"/>
        <v>GUARDIAN</v>
      </c>
    </row>
    <row r="1433" spans="5:8" x14ac:dyDescent="0.25">
      <c r="E1433" t="str">
        <f>""</f>
        <v/>
      </c>
      <c r="F1433" t="str">
        <f>""</f>
        <v/>
      </c>
      <c r="H1433" t="str">
        <f t="shared" si="31"/>
        <v>GUARDIAN</v>
      </c>
    </row>
    <row r="1434" spans="5:8" x14ac:dyDescent="0.25">
      <c r="E1434" t="str">
        <f>""</f>
        <v/>
      </c>
      <c r="F1434" t="str">
        <f>""</f>
        <v/>
      </c>
      <c r="H1434" t="str">
        <f t="shared" si="31"/>
        <v>GUARDIAN</v>
      </c>
    </row>
    <row r="1435" spans="5:8" x14ac:dyDescent="0.25">
      <c r="E1435" t="str">
        <f>""</f>
        <v/>
      </c>
      <c r="F1435" t="str">
        <f>""</f>
        <v/>
      </c>
      <c r="H1435" t="str">
        <f t="shared" si="31"/>
        <v>GUARDIAN</v>
      </c>
    </row>
    <row r="1436" spans="5:8" x14ac:dyDescent="0.25">
      <c r="E1436" t="str">
        <f>""</f>
        <v/>
      </c>
      <c r="F1436" t="str">
        <f>""</f>
        <v/>
      </c>
      <c r="H1436" t="str">
        <f t="shared" si="31"/>
        <v>GUARDIAN</v>
      </c>
    </row>
    <row r="1437" spans="5:8" x14ac:dyDescent="0.25">
      <c r="E1437" t="str">
        <f>""</f>
        <v/>
      </c>
      <c r="F1437" t="str">
        <f>""</f>
        <v/>
      </c>
      <c r="H1437" t="str">
        <f t="shared" si="31"/>
        <v>GUARDIAN</v>
      </c>
    </row>
    <row r="1438" spans="5:8" x14ac:dyDescent="0.25">
      <c r="E1438" t="str">
        <f>""</f>
        <v/>
      </c>
      <c r="F1438" t="str">
        <f>""</f>
        <v/>
      </c>
      <c r="H1438" t="str">
        <f t="shared" si="31"/>
        <v>GUARDIAN</v>
      </c>
    </row>
    <row r="1439" spans="5:8" x14ac:dyDescent="0.25">
      <c r="E1439" t="str">
        <f>""</f>
        <v/>
      </c>
      <c r="F1439" t="str">
        <f>""</f>
        <v/>
      </c>
      <c r="H1439" t="str">
        <f t="shared" si="31"/>
        <v>GUARDIAN</v>
      </c>
    </row>
    <row r="1440" spans="5:8" x14ac:dyDescent="0.25">
      <c r="E1440" t="str">
        <f>""</f>
        <v/>
      </c>
      <c r="F1440" t="str">
        <f>""</f>
        <v/>
      </c>
      <c r="H1440" t="str">
        <f t="shared" si="31"/>
        <v>GUARDIAN</v>
      </c>
    </row>
    <row r="1441" spans="5:8" x14ac:dyDescent="0.25">
      <c r="E1441" t="str">
        <f>""</f>
        <v/>
      </c>
      <c r="F1441" t="str">
        <f>""</f>
        <v/>
      </c>
      <c r="H1441" t="str">
        <f t="shared" si="31"/>
        <v>GUARDIAN</v>
      </c>
    </row>
    <row r="1442" spans="5:8" x14ac:dyDescent="0.25">
      <c r="E1442" t="str">
        <f>""</f>
        <v/>
      </c>
      <c r="F1442" t="str">
        <f>""</f>
        <v/>
      </c>
      <c r="H1442" t="str">
        <f t="shared" si="31"/>
        <v>GUARDIAN</v>
      </c>
    </row>
    <row r="1443" spans="5:8" x14ac:dyDescent="0.25">
      <c r="E1443" t="str">
        <f>""</f>
        <v/>
      </c>
      <c r="F1443" t="str">
        <f>""</f>
        <v/>
      </c>
      <c r="H1443" t="str">
        <f t="shared" si="31"/>
        <v>GUARDIAN</v>
      </c>
    </row>
    <row r="1444" spans="5:8" x14ac:dyDescent="0.25">
      <c r="E1444" t="str">
        <f>""</f>
        <v/>
      </c>
      <c r="F1444" t="str">
        <f>""</f>
        <v/>
      </c>
      <c r="H1444" t="str">
        <f t="shared" si="31"/>
        <v>GUARDIAN</v>
      </c>
    </row>
    <row r="1445" spans="5:8" x14ac:dyDescent="0.25">
      <c r="E1445" t="str">
        <f>""</f>
        <v/>
      </c>
      <c r="F1445" t="str">
        <f>""</f>
        <v/>
      </c>
      <c r="H1445" t="str">
        <f t="shared" si="31"/>
        <v>GUARDIAN</v>
      </c>
    </row>
    <row r="1446" spans="5:8" x14ac:dyDescent="0.25">
      <c r="E1446" t="str">
        <f>""</f>
        <v/>
      </c>
      <c r="F1446" t="str">
        <f>""</f>
        <v/>
      </c>
      <c r="H1446" t="str">
        <f t="shared" si="31"/>
        <v>GUARDIAN</v>
      </c>
    </row>
    <row r="1447" spans="5:8" x14ac:dyDescent="0.25">
      <c r="E1447" t="str">
        <f>""</f>
        <v/>
      </c>
      <c r="F1447" t="str">
        <f>""</f>
        <v/>
      </c>
      <c r="H1447" t="str">
        <f t="shared" si="31"/>
        <v>GUARDIAN</v>
      </c>
    </row>
    <row r="1448" spans="5:8" x14ac:dyDescent="0.25">
      <c r="E1448" t="str">
        <f>""</f>
        <v/>
      </c>
      <c r="F1448" t="str">
        <f>""</f>
        <v/>
      </c>
      <c r="H1448" t="str">
        <f t="shared" si="31"/>
        <v>GUARDIAN</v>
      </c>
    </row>
    <row r="1449" spans="5:8" x14ac:dyDescent="0.25">
      <c r="E1449" t="str">
        <f>""</f>
        <v/>
      </c>
      <c r="F1449" t="str">
        <f>""</f>
        <v/>
      </c>
      <c r="H1449" t="str">
        <f t="shared" si="31"/>
        <v>GUARDIAN</v>
      </c>
    </row>
    <row r="1450" spans="5:8" x14ac:dyDescent="0.25">
      <c r="E1450" t="str">
        <f>""</f>
        <v/>
      </c>
      <c r="F1450" t="str">
        <f>""</f>
        <v/>
      </c>
      <c r="H1450" t="str">
        <f t="shared" si="31"/>
        <v>GUARDIAN</v>
      </c>
    </row>
    <row r="1451" spans="5:8" x14ac:dyDescent="0.25">
      <c r="E1451" t="str">
        <f>""</f>
        <v/>
      </c>
      <c r="F1451" t="str">
        <f>""</f>
        <v/>
      </c>
      <c r="H1451" t="str">
        <f t="shared" si="31"/>
        <v>GUARDIAN</v>
      </c>
    </row>
    <row r="1452" spans="5:8" x14ac:dyDescent="0.25">
      <c r="E1452" t="str">
        <f>""</f>
        <v/>
      </c>
      <c r="F1452" t="str">
        <f>""</f>
        <v/>
      </c>
      <c r="H1452" t="str">
        <f t="shared" si="31"/>
        <v>GUARDIAN</v>
      </c>
    </row>
    <row r="1453" spans="5:8" x14ac:dyDescent="0.25">
      <c r="E1453" t="str">
        <f>""</f>
        <v/>
      </c>
      <c r="F1453" t="str">
        <f>""</f>
        <v/>
      </c>
      <c r="H1453" t="str">
        <f t="shared" si="31"/>
        <v>GUARDIAN</v>
      </c>
    </row>
    <row r="1454" spans="5:8" x14ac:dyDescent="0.25">
      <c r="E1454" t="str">
        <f>"GDF202103172244"</f>
        <v>GDF202103172244</v>
      </c>
      <c r="F1454" t="str">
        <f>"GUARDIAN"</f>
        <v>GUARDIAN</v>
      </c>
      <c r="G1454" s="3">
        <v>100.42</v>
      </c>
      <c r="H1454" t="str">
        <f t="shared" si="31"/>
        <v>GUARDIAN</v>
      </c>
    </row>
    <row r="1455" spans="5:8" x14ac:dyDescent="0.25">
      <c r="E1455" t="str">
        <f>""</f>
        <v/>
      </c>
      <c r="F1455" t="str">
        <f>""</f>
        <v/>
      </c>
      <c r="H1455" t="str">
        <f t="shared" si="31"/>
        <v>GUARDIAN</v>
      </c>
    </row>
    <row r="1456" spans="5:8" x14ac:dyDescent="0.25">
      <c r="E1456" t="str">
        <f>"GDS202103031933"</f>
        <v>GDS202103031933</v>
      </c>
      <c r="F1456" t="str">
        <f>"GUARDIAN"</f>
        <v>GUARDIAN</v>
      </c>
      <c r="G1456" s="3">
        <v>1969.65</v>
      </c>
      <c r="H1456" t="str">
        <f t="shared" si="31"/>
        <v>GUARDIAN</v>
      </c>
    </row>
    <row r="1457" spans="5:8" x14ac:dyDescent="0.25">
      <c r="E1457" t="str">
        <f>""</f>
        <v/>
      </c>
      <c r="F1457" t="str">
        <f>""</f>
        <v/>
      </c>
      <c r="H1457" t="str">
        <f t="shared" si="31"/>
        <v>GUARDIAN</v>
      </c>
    </row>
    <row r="1458" spans="5:8" x14ac:dyDescent="0.25">
      <c r="E1458" t="str">
        <f>""</f>
        <v/>
      </c>
      <c r="F1458" t="str">
        <f>""</f>
        <v/>
      </c>
      <c r="H1458" t="str">
        <f t="shared" si="31"/>
        <v>GUARDIAN</v>
      </c>
    </row>
    <row r="1459" spans="5:8" x14ac:dyDescent="0.25">
      <c r="E1459" t="str">
        <f>""</f>
        <v/>
      </c>
      <c r="F1459" t="str">
        <f>""</f>
        <v/>
      </c>
      <c r="H1459" t="str">
        <f t="shared" si="31"/>
        <v>GUARDIAN</v>
      </c>
    </row>
    <row r="1460" spans="5:8" x14ac:dyDescent="0.25">
      <c r="E1460" t="str">
        <f>""</f>
        <v/>
      </c>
      <c r="F1460" t="str">
        <f>""</f>
        <v/>
      </c>
      <c r="H1460" t="str">
        <f t="shared" si="31"/>
        <v>GUARDIAN</v>
      </c>
    </row>
    <row r="1461" spans="5:8" x14ac:dyDescent="0.25">
      <c r="E1461" t="str">
        <f>""</f>
        <v/>
      </c>
      <c r="F1461" t="str">
        <f>""</f>
        <v/>
      </c>
      <c r="H1461" t="str">
        <f t="shared" si="31"/>
        <v>GUARDIAN</v>
      </c>
    </row>
    <row r="1462" spans="5:8" x14ac:dyDescent="0.25">
      <c r="E1462" t="str">
        <f>""</f>
        <v/>
      </c>
      <c r="F1462" t="str">
        <f>""</f>
        <v/>
      </c>
      <c r="H1462" t="str">
        <f t="shared" si="31"/>
        <v>GUARDIAN</v>
      </c>
    </row>
    <row r="1463" spans="5:8" x14ac:dyDescent="0.25">
      <c r="E1463" t="str">
        <f>""</f>
        <v/>
      </c>
      <c r="F1463" t="str">
        <f>""</f>
        <v/>
      </c>
      <c r="H1463" t="str">
        <f t="shared" si="31"/>
        <v>GUARDIAN</v>
      </c>
    </row>
    <row r="1464" spans="5:8" x14ac:dyDescent="0.25">
      <c r="E1464" t="str">
        <f>""</f>
        <v/>
      </c>
      <c r="F1464" t="str">
        <f>""</f>
        <v/>
      </c>
      <c r="H1464" t="str">
        <f t="shared" si="31"/>
        <v>GUARDIAN</v>
      </c>
    </row>
    <row r="1465" spans="5:8" x14ac:dyDescent="0.25">
      <c r="E1465" t="str">
        <f>""</f>
        <v/>
      </c>
      <c r="F1465" t="str">
        <f>""</f>
        <v/>
      </c>
      <c r="H1465" t="str">
        <f t="shared" si="31"/>
        <v>GUARDIAN</v>
      </c>
    </row>
    <row r="1466" spans="5:8" x14ac:dyDescent="0.25">
      <c r="E1466" t="str">
        <f>""</f>
        <v/>
      </c>
      <c r="F1466" t="str">
        <f>""</f>
        <v/>
      </c>
      <c r="H1466" t="str">
        <f t="shared" si="31"/>
        <v>GUARDIAN</v>
      </c>
    </row>
    <row r="1467" spans="5:8" x14ac:dyDescent="0.25">
      <c r="E1467" t="str">
        <f>""</f>
        <v/>
      </c>
      <c r="F1467" t="str">
        <f>""</f>
        <v/>
      </c>
      <c r="H1467" t="str">
        <f t="shared" si="31"/>
        <v>GUARDIAN</v>
      </c>
    </row>
    <row r="1468" spans="5:8" x14ac:dyDescent="0.25">
      <c r="E1468" t="str">
        <f>""</f>
        <v/>
      </c>
      <c r="F1468" t="str">
        <f>""</f>
        <v/>
      </c>
      <c r="H1468" t="str">
        <f t="shared" si="31"/>
        <v>GUARDIAN</v>
      </c>
    </row>
    <row r="1469" spans="5:8" x14ac:dyDescent="0.25">
      <c r="E1469" t="str">
        <f>""</f>
        <v/>
      </c>
      <c r="F1469" t="str">
        <f>""</f>
        <v/>
      </c>
      <c r="H1469" t="str">
        <f t="shared" si="31"/>
        <v>GUARDIAN</v>
      </c>
    </row>
    <row r="1470" spans="5:8" x14ac:dyDescent="0.25">
      <c r="E1470" t="str">
        <f>""</f>
        <v/>
      </c>
      <c r="F1470" t="str">
        <f>""</f>
        <v/>
      </c>
      <c r="H1470" t="str">
        <f t="shared" si="31"/>
        <v>GUARDIAN</v>
      </c>
    </row>
    <row r="1471" spans="5:8" x14ac:dyDescent="0.25">
      <c r="E1471" t="str">
        <f>""</f>
        <v/>
      </c>
      <c r="F1471" t="str">
        <f>""</f>
        <v/>
      </c>
      <c r="H1471" t="str">
        <f t="shared" si="31"/>
        <v>GUARDIAN</v>
      </c>
    </row>
    <row r="1472" spans="5:8" x14ac:dyDescent="0.25">
      <c r="E1472" t="str">
        <f>""</f>
        <v/>
      </c>
      <c r="F1472" t="str">
        <f>""</f>
        <v/>
      </c>
      <c r="H1472" t="str">
        <f t="shared" si="31"/>
        <v>GUARDIAN</v>
      </c>
    </row>
    <row r="1473" spans="5:8" x14ac:dyDescent="0.25">
      <c r="E1473" t="str">
        <f>""</f>
        <v/>
      </c>
      <c r="F1473" t="str">
        <f>""</f>
        <v/>
      </c>
      <c r="H1473" t="str">
        <f t="shared" si="31"/>
        <v>GUARDIAN</v>
      </c>
    </row>
    <row r="1474" spans="5:8" x14ac:dyDescent="0.25">
      <c r="E1474" t="str">
        <f>""</f>
        <v/>
      </c>
      <c r="F1474" t="str">
        <f>""</f>
        <v/>
      </c>
      <c r="H1474" t="str">
        <f t="shared" si="31"/>
        <v>GUARDIAN</v>
      </c>
    </row>
    <row r="1475" spans="5:8" x14ac:dyDescent="0.25">
      <c r="E1475" t="str">
        <f>""</f>
        <v/>
      </c>
      <c r="F1475" t="str">
        <f>""</f>
        <v/>
      </c>
      <c r="H1475" t="str">
        <f t="shared" si="31"/>
        <v>GUARDIAN</v>
      </c>
    </row>
    <row r="1476" spans="5:8" x14ac:dyDescent="0.25">
      <c r="E1476" t="str">
        <f>""</f>
        <v/>
      </c>
      <c r="F1476" t="str">
        <f>""</f>
        <v/>
      </c>
      <c r="H1476" t="str">
        <f t="shared" si="31"/>
        <v>GUARDIAN</v>
      </c>
    </row>
    <row r="1477" spans="5:8" x14ac:dyDescent="0.25">
      <c r="E1477" t="str">
        <f>""</f>
        <v/>
      </c>
      <c r="F1477" t="str">
        <f>""</f>
        <v/>
      </c>
      <c r="H1477" t="str">
        <f t="shared" si="31"/>
        <v>GUARDIAN</v>
      </c>
    </row>
    <row r="1478" spans="5:8" x14ac:dyDescent="0.25">
      <c r="E1478" t="str">
        <f>""</f>
        <v/>
      </c>
      <c r="F1478" t="str">
        <f>""</f>
        <v/>
      </c>
      <c r="H1478" t="str">
        <f t="shared" si="31"/>
        <v>GUARDIAN</v>
      </c>
    </row>
    <row r="1479" spans="5:8" x14ac:dyDescent="0.25">
      <c r="E1479" t="str">
        <f>""</f>
        <v/>
      </c>
      <c r="F1479" t="str">
        <f>""</f>
        <v/>
      </c>
      <c r="H1479" t="str">
        <f t="shared" si="31"/>
        <v>GUARDIAN</v>
      </c>
    </row>
    <row r="1480" spans="5:8" x14ac:dyDescent="0.25">
      <c r="E1480" t="str">
        <f>""</f>
        <v/>
      </c>
      <c r="F1480" t="str">
        <f>""</f>
        <v/>
      </c>
      <c r="H1480" t="str">
        <f t="shared" si="31"/>
        <v>GUARDIAN</v>
      </c>
    </row>
    <row r="1481" spans="5:8" x14ac:dyDescent="0.25">
      <c r="E1481" t="str">
        <f>""</f>
        <v/>
      </c>
      <c r="F1481" t="str">
        <f>""</f>
        <v/>
      </c>
      <c r="H1481" t="str">
        <f t="shared" si="31"/>
        <v>GUARDIAN</v>
      </c>
    </row>
    <row r="1482" spans="5:8" x14ac:dyDescent="0.25">
      <c r="E1482" t="str">
        <f>"GDS202103172243"</f>
        <v>GDS202103172243</v>
      </c>
      <c r="F1482" t="str">
        <f>"GUARDIAN"</f>
        <v>GUARDIAN</v>
      </c>
      <c r="G1482" s="3">
        <v>1954.26</v>
      </c>
      <c r="H1482" t="str">
        <f t="shared" si="31"/>
        <v>GUARDIAN</v>
      </c>
    </row>
    <row r="1483" spans="5:8" x14ac:dyDescent="0.25">
      <c r="E1483" t="str">
        <f>""</f>
        <v/>
      </c>
      <c r="F1483" t="str">
        <f>""</f>
        <v/>
      </c>
      <c r="H1483" t="str">
        <f t="shared" si="31"/>
        <v>GUARDIAN</v>
      </c>
    </row>
    <row r="1484" spans="5:8" x14ac:dyDescent="0.25">
      <c r="E1484" t="str">
        <f>""</f>
        <v/>
      </c>
      <c r="F1484" t="str">
        <f>""</f>
        <v/>
      </c>
      <c r="H1484" t="str">
        <f t="shared" si="31"/>
        <v>GUARDIAN</v>
      </c>
    </row>
    <row r="1485" spans="5:8" x14ac:dyDescent="0.25">
      <c r="E1485" t="str">
        <f>""</f>
        <v/>
      </c>
      <c r="F1485" t="str">
        <f>""</f>
        <v/>
      </c>
      <c r="H1485" t="str">
        <f t="shared" ref="H1485:H1507" si="32">"GUARDIAN"</f>
        <v>GUARDIAN</v>
      </c>
    </row>
    <row r="1486" spans="5:8" x14ac:dyDescent="0.25">
      <c r="E1486" t="str">
        <f>""</f>
        <v/>
      </c>
      <c r="F1486" t="str">
        <f>""</f>
        <v/>
      </c>
      <c r="H1486" t="str">
        <f t="shared" si="32"/>
        <v>GUARDIAN</v>
      </c>
    </row>
    <row r="1487" spans="5:8" x14ac:dyDescent="0.25">
      <c r="E1487" t="str">
        <f>""</f>
        <v/>
      </c>
      <c r="F1487" t="str">
        <f>""</f>
        <v/>
      </c>
      <c r="H1487" t="str">
        <f t="shared" si="32"/>
        <v>GUARDIAN</v>
      </c>
    </row>
    <row r="1488" spans="5:8" x14ac:dyDescent="0.25">
      <c r="E1488" t="str">
        <f>""</f>
        <v/>
      </c>
      <c r="F1488" t="str">
        <f>""</f>
        <v/>
      </c>
      <c r="H1488" t="str">
        <f t="shared" si="32"/>
        <v>GUARDIAN</v>
      </c>
    </row>
    <row r="1489" spans="5:8" x14ac:dyDescent="0.25">
      <c r="E1489" t="str">
        <f>""</f>
        <v/>
      </c>
      <c r="F1489" t="str">
        <f>""</f>
        <v/>
      </c>
      <c r="H1489" t="str">
        <f t="shared" si="32"/>
        <v>GUARDIAN</v>
      </c>
    </row>
    <row r="1490" spans="5:8" x14ac:dyDescent="0.25">
      <c r="E1490" t="str">
        <f>""</f>
        <v/>
      </c>
      <c r="F1490" t="str">
        <f>""</f>
        <v/>
      </c>
      <c r="H1490" t="str">
        <f t="shared" si="32"/>
        <v>GUARDIAN</v>
      </c>
    </row>
    <row r="1491" spans="5:8" x14ac:dyDescent="0.25">
      <c r="E1491" t="str">
        <f>""</f>
        <v/>
      </c>
      <c r="F1491" t="str">
        <f>""</f>
        <v/>
      </c>
      <c r="H1491" t="str">
        <f t="shared" si="32"/>
        <v>GUARDIAN</v>
      </c>
    </row>
    <row r="1492" spans="5:8" x14ac:dyDescent="0.25">
      <c r="E1492" t="str">
        <f>""</f>
        <v/>
      </c>
      <c r="F1492" t="str">
        <f>""</f>
        <v/>
      </c>
      <c r="H1492" t="str">
        <f t="shared" si="32"/>
        <v>GUARDIAN</v>
      </c>
    </row>
    <row r="1493" spans="5:8" x14ac:dyDescent="0.25">
      <c r="E1493" t="str">
        <f>""</f>
        <v/>
      </c>
      <c r="F1493" t="str">
        <f>""</f>
        <v/>
      </c>
      <c r="H1493" t="str">
        <f t="shared" si="32"/>
        <v>GUARDIAN</v>
      </c>
    </row>
    <row r="1494" spans="5:8" x14ac:dyDescent="0.25">
      <c r="E1494" t="str">
        <f>""</f>
        <v/>
      </c>
      <c r="F1494" t="str">
        <f>""</f>
        <v/>
      </c>
      <c r="H1494" t="str">
        <f t="shared" si="32"/>
        <v>GUARDIAN</v>
      </c>
    </row>
    <row r="1495" spans="5:8" x14ac:dyDescent="0.25">
      <c r="E1495" t="str">
        <f>""</f>
        <v/>
      </c>
      <c r="F1495" t="str">
        <f>""</f>
        <v/>
      </c>
      <c r="H1495" t="str">
        <f t="shared" si="32"/>
        <v>GUARDIAN</v>
      </c>
    </row>
    <row r="1496" spans="5:8" x14ac:dyDescent="0.25">
      <c r="E1496" t="str">
        <f>""</f>
        <v/>
      </c>
      <c r="F1496" t="str">
        <f>""</f>
        <v/>
      </c>
      <c r="H1496" t="str">
        <f t="shared" si="32"/>
        <v>GUARDIAN</v>
      </c>
    </row>
    <row r="1497" spans="5:8" x14ac:dyDescent="0.25">
      <c r="E1497" t="str">
        <f>""</f>
        <v/>
      </c>
      <c r="F1497" t="str">
        <f>""</f>
        <v/>
      </c>
      <c r="H1497" t="str">
        <f t="shared" si="32"/>
        <v>GUARDIAN</v>
      </c>
    </row>
    <row r="1498" spans="5:8" x14ac:dyDescent="0.25">
      <c r="E1498" t="str">
        <f>""</f>
        <v/>
      </c>
      <c r="F1498" t="str">
        <f>""</f>
        <v/>
      </c>
      <c r="H1498" t="str">
        <f t="shared" si="32"/>
        <v>GUARDIAN</v>
      </c>
    </row>
    <row r="1499" spans="5:8" x14ac:dyDescent="0.25">
      <c r="E1499" t="str">
        <f>""</f>
        <v/>
      </c>
      <c r="F1499" t="str">
        <f>""</f>
        <v/>
      </c>
      <c r="H1499" t="str">
        <f t="shared" si="32"/>
        <v>GUARDIAN</v>
      </c>
    </row>
    <row r="1500" spans="5:8" x14ac:dyDescent="0.25">
      <c r="E1500" t="str">
        <f>""</f>
        <v/>
      </c>
      <c r="F1500" t="str">
        <f>""</f>
        <v/>
      </c>
      <c r="H1500" t="str">
        <f t="shared" si="32"/>
        <v>GUARDIAN</v>
      </c>
    </row>
    <row r="1501" spans="5:8" x14ac:dyDescent="0.25">
      <c r="E1501" t="str">
        <f>""</f>
        <v/>
      </c>
      <c r="F1501" t="str">
        <f>""</f>
        <v/>
      </c>
      <c r="H1501" t="str">
        <f t="shared" si="32"/>
        <v>GUARDIAN</v>
      </c>
    </row>
    <row r="1502" spans="5:8" x14ac:dyDescent="0.25">
      <c r="E1502" t="str">
        <f>""</f>
        <v/>
      </c>
      <c r="F1502" t="str">
        <f>""</f>
        <v/>
      </c>
      <c r="H1502" t="str">
        <f t="shared" si="32"/>
        <v>GUARDIAN</v>
      </c>
    </row>
    <row r="1503" spans="5:8" x14ac:dyDescent="0.25">
      <c r="E1503" t="str">
        <f>""</f>
        <v/>
      </c>
      <c r="F1503" t="str">
        <f>""</f>
        <v/>
      </c>
      <c r="H1503" t="str">
        <f t="shared" si="32"/>
        <v>GUARDIAN</v>
      </c>
    </row>
    <row r="1504" spans="5:8" x14ac:dyDescent="0.25">
      <c r="E1504" t="str">
        <f>""</f>
        <v/>
      </c>
      <c r="F1504" t="str">
        <f>""</f>
        <v/>
      </c>
      <c r="H1504" t="str">
        <f t="shared" si="32"/>
        <v>GUARDIAN</v>
      </c>
    </row>
    <row r="1505" spans="5:8" x14ac:dyDescent="0.25">
      <c r="E1505" t="str">
        <f>""</f>
        <v/>
      </c>
      <c r="F1505" t="str">
        <f>""</f>
        <v/>
      </c>
      <c r="H1505" t="str">
        <f t="shared" si="32"/>
        <v>GUARDIAN</v>
      </c>
    </row>
    <row r="1506" spans="5:8" x14ac:dyDescent="0.25">
      <c r="E1506" t="str">
        <f>""</f>
        <v/>
      </c>
      <c r="F1506" t="str">
        <f>""</f>
        <v/>
      </c>
      <c r="H1506" t="str">
        <f t="shared" si="32"/>
        <v>GUARDIAN</v>
      </c>
    </row>
    <row r="1507" spans="5:8" x14ac:dyDescent="0.25">
      <c r="E1507" t="str">
        <f>""</f>
        <v/>
      </c>
      <c r="F1507" t="str">
        <f>""</f>
        <v/>
      </c>
      <c r="H1507" t="str">
        <f t="shared" si="32"/>
        <v>GUARDIAN</v>
      </c>
    </row>
    <row r="1508" spans="5:8" x14ac:dyDescent="0.25">
      <c r="E1508" t="str">
        <f>"GV1202103031933"</f>
        <v>GV1202103031933</v>
      </c>
      <c r="F1508" t="str">
        <f>"GUARDIAN VISION"</f>
        <v>GUARDIAN VISION</v>
      </c>
      <c r="G1508" s="3">
        <v>468.49</v>
      </c>
      <c r="H1508" t="str">
        <f>"GUARDIAN VISION"</f>
        <v>GUARDIAN VISION</v>
      </c>
    </row>
    <row r="1509" spans="5:8" x14ac:dyDescent="0.25">
      <c r="E1509" t="str">
        <f>"GV1202103031934"</f>
        <v>GV1202103031934</v>
      </c>
      <c r="F1509" t="str">
        <f>"GUARDIAN VISION"</f>
        <v>GUARDIAN VISION</v>
      </c>
      <c r="G1509" s="3">
        <v>5.6</v>
      </c>
      <c r="H1509" t="str">
        <f>"GUARDIAN VISION"</f>
        <v>GUARDIAN VISION</v>
      </c>
    </row>
    <row r="1510" spans="5:8" x14ac:dyDescent="0.25">
      <c r="E1510" t="str">
        <f>"GV1202103172243"</f>
        <v>GV1202103172243</v>
      </c>
      <c r="F1510" t="str">
        <f>"GUARDIAN VISION"</f>
        <v>GUARDIAN VISION</v>
      </c>
      <c r="G1510" s="3">
        <v>464.8</v>
      </c>
      <c r="H1510" t="str">
        <f>"GUARDIAN VISION"</f>
        <v>GUARDIAN VISION</v>
      </c>
    </row>
    <row r="1511" spans="5:8" x14ac:dyDescent="0.25">
      <c r="E1511" t="str">
        <f>"GV1202103172244"</f>
        <v>GV1202103172244</v>
      </c>
      <c r="F1511" t="str">
        <f>"GUARDIAN VISION"</f>
        <v>GUARDIAN VISION</v>
      </c>
      <c r="G1511" s="3">
        <v>5.6</v>
      </c>
      <c r="H1511" t="str">
        <f>"GUARDIAN VISION"</f>
        <v>GUARDIAN VISION</v>
      </c>
    </row>
    <row r="1512" spans="5:8" x14ac:dyDescent="0.25">
      <c r="E1512" t="str">
        <f>"GVE202103031933"</f>
        <v>GVE202103031933</v>
      </c>
      <c r="F1512" t="str">
        <f>"GUARDIAN VISION VENDOR"</f>
        <v>GUARDIAN VISION VENDOR</v>
      </c>
      <c r="G1512" s="3">
        <v>612.54</v>
      </c>
      <c r="H1512" t="str">
        <f>"GUARDIAN VISION VENDOR"</f>
        <v>GUARDIAN VISION VENDOR</v>
      </c>
    </row>
    <row r="1513" spans="5:8" x14ac:dyDescent="0.25">
      <c r="E1513" t="str">
        <f>"GVE202103031934"</f>
        <v>GVE202103031934</v>
      </c>
      <c r="F1513" t="str">
        <f>"GUARDIAN VISION VENDOR"</f>
        <v>GUARDIAN VISION VENDOR</v>
      </c>
      <c r="G1513" s="3">
        <v>29.52</v>
      </c>
      <c r="H1513" t="str">
        <f>"GUARDIAN VISION VENDOR"</f>
        <v>GUARDIAN VISION VENDOR</v>
      </c>
    </row>
    <row r="1514" spans="5:8" x14ac:dyDescent="0.25">
      <c r="E1514" t="str">
        <f>"GVE202103172243"</f>
        <v>GVE202103172243</v>
      </c>
      <c r="F1514" t="str">
        <f>"GUARDIAN VISION VENDOR"</f>
        <v>GUARDIAN VISION VENDOR</v>
      </c>
      <c r="G1514" s="3">
        <v>616.23</v>
      </c>
      <c r="H1514" t="str">
        <f>"GUARDIAN VISION VENDOR"</f>
        <v>GUARDIAN VISION VENDOR</v>
      </c>
    </row>
    <row r="1515" spans="5:8" x14ac:dyDescent="0.25">
      <c r="E1515" t="str">
        <f>"GVE202103172244"</f>
        <v>GVE202103172244</v>
      </c>
      <c r="F1515" t="str">
        <f>"GUARDIAN VISION VENDOR"</f>
        <v>GUARDIAN VISION VENDOR</v>
      </c>
      <c r="G1515" s="3">
        <v>29.52</v>
      </c>
      <c r="H1515" t="str">
        <f>"GUARDIAN VISION VENDOR"</f>
        <v>GUARDIAN VISION VENDOR</v>
      </c>
    </row>
    <row r="1516" spans="5:8" x14ac:dyDescent="0.25">
      <c r="E1516" t="str">
        <f>"GVF202103031933"</f>
        <v>GVF202103031933</v>
      </c>
      <c r="F1516" t="str">
        <f>"GUARDIAN VISION"</f>
        <v>GUARDIAN VISION</v>
      </c>
      <c r="G1516" s="3">
        <v>561.45000000000005</v>
      </c>
      <c r="H1516" t="str">
        <f>"GUARDIAN VISION"</f>
        <v>GUARDIAN VISION</v>
      </c>
    </row>
    <row r="1517" spans="5:8" x14ac:dyDescent="0.25">
      <c r="E1517" t="str">
        <f>"GVF202103031934"</f>
        <v>GVF202103031934</v>
      </c>
      <c r="F1517" t="str">
        <f>"GUARDIAN VISION VENDOR"</f>
        <v>GUARDIAN VISION VENDOR</v>
      </c>
      <c r="G1517" s="3">
        <v>19.7</v>
      </c>
      <c r="H1517" t="str">
        <f>"GUARDIAN VISION VENDOR"</f>
        <v>GUARDIAN VISION VENDOR</v>
      </c>
    </row>
    <row r="1518" spans="5:8" x14ac:dyDescent="0.25">
      <c r="E1518" t="str">
        <f>"GVF202103172243"</f>
        <v>GVF202103172243</v>
      </c>
      <c r="F1518" t="str">
        <f>"GUARDIAN VISION"</f>
        <v>GUARDIAN VISION</v>
      </c>
      <c r="G1518" s="3">
        <v>561.45000000000005</v>
      </c>
      <c r="H1518" t="str">
        <f>"GUARDIAN VISION"</f>
        <v>GUARDIAN VISION</v>
      </c>
    </row>
    <row r="1519" spans="5:8" x14ac:dyDescent="0.25">
      <c r="E1519" t="str">
        <f>"GVF202103172244"</f>
        <v>GVF202103172244</v>
      </c>
      <c r="F1519" t="str">
        <f>"GUARDIAN VISION VENDOR"</f>
        <v>GUARDIAN VISION VENDOR</v>
      </c>
      <c r="G1519" s="3">
        <v>19.7</v>
      </c>
      <c r="H1519" t="str">
        <f>"GUARDIAN VISION VENDOR"</f>
        <v>GUARDIAN VISION VENDOR</v>
      </c>
    </row>
    <row r="1520" spans="5:8" x14ac:dyDescent="0.25">
      <c r="E1520" t="str">
        <f>"LIA202103031933"</f>
        <v>LIA202103031933</v>
      </c>
      <c r="F1520" t="str">
        <f>"GUARDIAN"</f>
        <v>GUARDIAN</v>
      </c>
      <c r="G1520" s="3">
        <v>234.49</v>
      </c>
      <c r="H1520" t="str">
        <f t="shared" ref="H1520:H1551" si="33">"GUARDIAN"</f>
        <v>GUARDIAN</v>
      </c>
    </row>
    <row r="1521" spans="5:8" x14ac:dyDescent="0.25">
      <c r="E1521" t="str">
        <f>""</f>
        <v/>
      </c>
      <c r="F1521" t="str">
        <f>""</f>
        <v/>
      </c>
      <c r="H1521" t="str">
        <f t="shared" si="33"/>
        <v>GUARDIAN</v>
      </c>
    </row>
    <row r="1522" spans="5:8" x14ac:dyDescent="0.25">
      <c r="E1522" t="str">
        <f>""</f>
        <v/>
      </c>
      <c r="F1522" t="str">
        <f>""</f>
        <v/>
      </c>
      <c r="H1522" t="str">
        <f t="shared" si="33"/>
        <v>GUARDIAN</v>
      </c>
    </row>
    <row r="1523" spans="5:8" x14ac:dyDescent="0.25">
      <c r="E1523" t="str">
        <f>""</f>
        <v/>
      </c>
      <c r="F1523" t="str">
        <f>""</f>
        <v/>
      </c>
      <c r="H1523" t="str">
        <f t="shared" si="33"/>
        <v>GUARDIAN</v>
      </c>
    </row>
    <row r="1524" spans="5:8" x14ac:dyDescent="0.25">
      <c r="E1524" t="str">
        <f>""</f>
        <v/>
      </c>
      <c r="F1524" t="str">
        <f>""</f>
        <v/>
      </c>
      <c r="H1524" t="str">
        <f t="shared" si="33"/>
        <v>GUARDIAN</v>
      </c>
    </row>
    <row r="1525" spans="5:8" x14ac:dyDescent="0.25">
      <c r="E1525" t="str">
        <f>""</f>
        <v/>
      </c>
      <c r="F1525" t="str">
        <f>""</f>
        <v/>
      </c>
      <c r="H1525" t="str">
        <f t="shared" si="33"/>
        <v>GUARDIAN</v>
      </c>
    </row>
    <row r="1526" spans="5:8" x14ac:dyDescent="0.25">
      <c r="E1526" t="str">
        <f>""</f>
        <v/>
      </c>
      <c r="F1526" t="str">
        <f>""</f>
        <v/>
      </c>
      <c r="H1526" t="str">
        <f t="shared" si="33"/>
        <v>GUARDIAN</v>
      </c>
    </row>
    <row r="1527" spans="5:8" x14ac:dyDescent="0.25">
      <c r="E1527" t="str">
        <f>""</f>
        <v/>
      </c>
      <c r="F1527" t="str">
        <f>""</f>
        <v/>
      </c>
      <c r="H1527" t="str">
        <f t="shared" si="33"/>
        <v>GUARDIAN</v>
      </c>
    </row>
    <row r="1528" spans="5:8" x14ac:dyDescent="0.25">
      <c r="E1528" t="str">
        <f>""</f>
        <v/>
      </c>
      <c r="F1528" t="str">
        <f>""</f>
        <v/>
      </c>
      <c r="H1528" t="str">
        <f t="shared" si="33"/>
        <v>GUARDIAN</v>
      </c>
    </row>
    <row r="1529" spans="5:8" x14ac:dyDescent="0.25">
      <c r="E1529" t="str">
        <f>""</f>
        <v/>
      </c>
      <c r="F1529" t="str">
        <f>""</f>
        <v/>
      </c>
      <c r="H1529" t="str">
        <f t="shared" si="33"/>
        <v>GUARDIAN</v>
      </c>
    </row>
    <row r="1530" spans="5:8" x14ac:dyDescent="0.25">
      <c r="E1530" t="str">
        <f>""</f>
        <v/>
      </c>
      <c r="F1530" t="str">
        <f>""</f>
        <v/>
      </c>
      <c r="H1530" t="str">
        <f t="shared" si="33"/>
        <v>GUARDIAN</v>
      </c>
    </row>
    <row r="1531" spans="5:8" x14ac:dyDescent="0.25">
      <c r="E1531" t="str">
        <f>""</f>
        <v/>
      </c>
      <c r="F1531" t="str">
        <f>""</f>
        <v/>
      </c>
      <c r="H1531" t="str">
        <f t="shared" si="33"/>
        <v>GUARDIAN</v>
      </c>
    </row>
    <row r="1532" spans="5:8" x14ac:dyDescent="0.25">
      <c r="E1532" t="str">
        <f>""</f>
        <v/>
      </c>
      <c r="F1532" t="str">
        <f>""</f>
        <v/>
      </c>
      <c r="H1532" t="str">
        <f t="shared" si="33"/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 t="shared" si="33"/>
        <v>GUARDIAN</v>
      </c>
    </row>
    <row r="1534" spans="5:8" x14ac:dyDescent="0.25">
      <c r="E1534" t="str">
        <f>""</f>
        <v/>
      </c>
      <c r="F1534" t="str">
        <f>""</f>
        <v/>
      </c>
      <c r="H1534" t="str">
        <f t="shared" si="33"/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 t="shared" si="33"/>
        <v>GUARDIAN</v>
      </c>
    </row>
    <row r="1536" spans="5:8" x14ac:dyDescent="0.25">
      <c r="E1536" t="str">
        <f>""</f>
        <v/>
      </c>
      <c r="F1536" t="str">
        <f>""</f>
        <v/>
      </c>
      <c r="H1536" t="str">
        <f t="shared" si="33"/>
        <v>GUARDIAN</v>
      </c>
    </row>
    <row r="1537" spans="5:8" x14ac:dyDescent="0.25">
      <c r="E1537" t="str">
        <f>""</f>
        <v/>
      </c>
      <c r="F1537" t="str">
        <f>""</f>
        <v/>
      </c>
      <c r="H1537" t="str">
        <f t="shared" si="33"/>
        <v>GUARDIAN</v>
      </c>
    </row>
    <row r="1538" spans="5:8" x14ac:dyDescent="0.25">
      <c r="E1538" t="str">
        <f>""</f>
        <v/>
      </c>
      <c r="F1538" t="str">
        <f>""</f>
        <v/>
      </c>
      <c r="H1538" t="str">
        <f t="shared" si="33"/>
        <v>GUARDIAN</v>
      </c>
    </row>
    <row r="1539" spans="5:8" x14ac:dyDescent="0.25">
      <c r="E1539" t="str">
        <f>""</f>
        <v/>
      </c>
      <c r="F1539" t="str">
        <f>""</f>
        <v/>
      </c>
      <c r="H1539" t="str">
        <f t="shared" si="33"/>
        <v>GUARDIAN</v>
      </c>
    </row>
    <row r="1540" spans="5:8" x14ac:dyDescent="0.25">
      <c r="E1540" t="str">
        <f>""</f>
        <v/>
      </c>
      <c r="F1540" t="str">
        <f>""</f>
        <v/>
      </c>
      <c r="H1540" t="str">
        <f t="shared" si="33"/>
        <v>GUARDIAN</v>
      </c>
    </row>
    <row r="1541" spans="5:8" x14ac:dyDescent="0.25">
      <c r="E1541" t="str">
        <f>""</f>
        <v/>
      </c>
      <c r="F1541" t="str">
        <f>""</f>
        <v/>
      </c>
      <c r="H1541" t="str">
        <f t="shared" si="33"/>
        <v>GUARDIAN</v>
      </c>
    </row>
    <row r="1542" spans="5:8" x14ac:dyDescent="0.25">
      <c r="E1542" t="str">
        <f>""</f>
        <v/>
      </c>
      <c r="F1542" t="str">
        <f>""</f>
        <v/>
      </c>
      <c r="H1542" t="str">
        <f t="shared" si="33"/>
        <v>GUARDIAN</v>
      </c>
    </row>
    <row r="1543" spans="5:8" x14ac:dyDescent="0.25">
      <c r="E1543" t="str">
        <f>""</f>
        <v/>
      </c>
      <c r="F1543" t="str">
        <f>""</f>
        <v/>
      </c>
      <c r="H1543" t="str">
        <f t="shared" si="33"/>
        <v>GUARDIAN</v>
      </c>
    </row>
    <row r="1544" spans="5:8" x14ac:dyDescent="0.25">
      <c r="E1544" t="str">
        <f>"LIA202103031934"</f>
        <v>LIA202103031934</v>
      </c>
      <c r="F1544" t="str">
        <f>"GUARDIAN"</f>
        <v>GUARDIAN</v>
      </c>
      <c r="G1544" s="3">
        <v>40.99</v>
      </c>
      <c r="H1544" t="str">
        <f t="shared" si="33"/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 t="shared" si="33"/>
        <v>GUARDIAN</v>
      </c>
    </row>
    <row r="1546" spans="5:8" x14ac:dyDescent="0.25">
      <c r="E1546" t="str">
        <f>"LIA202103172243"</f>
        <v>LIA202103172243</v>
      </c>
      <c r="F1546" t="str">
        <f>"GUARDIAN"</f>
        <v>GUARDIAN</v>
      </c>
      <c r="G1546" s="3">
        <v>234.49</v>
      </c>
      <c r="H1546" t="str">
        <f t="shared" si="33"/>
        <v>GUARDIAN</v>
      </c>
    </row>
    <row r="1547" spans="5:8" x14ac:dyDescent="0.25">
      <c r="E1547" t="str">
        <f>""</f>
        <v/>
      </c>
      <c r="F1547" t="str">
        <f>""</f>
        <v/>
      </c>
      <c r="H1547" t="str">
        <f t="shared" si="33"/>
        <v>GUARDIAN</v>
      </c>
    </row>
    <row r="1548" spans="5:8" x14ac:dyDescent="0.25">
      <c r="E1548" t="str">
        <f>""</f>
        <v/>
      </c>
      <c r="F1548" t="str">
        <f>""</f>
        <v/>
      </c>
      <c r="H1548" t="str">
        <f t="shared" si="33"/>
        <v>GUARDIAN</v>
      </c>
    </row>
    <row r="1549" spans="5:8" x14ac:dyDescent="0.25">
      <c r="E1549" t="str">
        <f>""</f>
        <v/>
      </c>
      <c r="F1549" t="str">
        <f>""</f>
        <v/>
      </c>
      <c r="H1549" t="str">
        <f t="shared" si="33"/>
        <v>GUARDIAN</v>
      </c>
    </row>
    <row r="1550" spans="5:8" x14ac:dyDescent="0.25">
      <c r="E1550" t="str">
        <f>""</f>
        <v/>
      </c>
      <c r="F1550" t="str">
        <f>""</f>
        <v/>
      </c>
      <c r="H1550" t="str">
        <f t="shared" si="33"/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 t="shared" si="33"/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 t="shared" ref="H1552:H1583" si="34">"GUARDIAN"</f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 t="shared" si="34"/>
        <v>GUARDIAN</v>
      </c>
    </row>
    <row r="1554" spans="5:8" x14ac:dyDescent="0.25">
      <c r="E1554" t="str">
        <f>""</f>
        <v/>
      </c>
      <c r="F1554" t="str">
        <f>""</f>
        <v/>
      </c>
      <c r="H1554" t="str">
        <f t="shared" si="34"/>
        <v>GUARDIAN</v>
      </c>
    </row>
    <row r="1555" spans="5:8" x14ac:dyDescent="0.25">
      <c r="E1555" t="str">
        <f>""</f>
        <v/>
      </c>
      <c r="F1555" t="str">
        <f>""</f>
        <v/>
      </c>
      <c r="H1555" t="str">
        <f t="shared" si="34"/>
        <v>GUARDIAN</v>
      </c>
    </row>
    <row r="1556" spans="5:8" x14ac:dyDescent="0.25">
      <c r="E1556" t="str">
        <f>""</f>
        <v/>
      </c>
      <c r="F1556" t="str">
        <f>""</f>
        <v/>
      </c>
      <c r="H1556" t="str">
        <f t="shared" si="34"/>
        <v>GUARDIAN</v>
      </c>
    </row>
    <row r="1557" spans="5:8" x14ac:dyDescent="0.25">
      <c r="E1557" t="str">
        <f>""</f>
        <v/>
      </c>
      <c r="F1557" t="str">
        <f>""</f>
        <v/>
      </c>
      <c r="H1557" t="str">
        <f t="shared" si="34"/>
        <v>GUARDIAN</v>
      </c>
    </row>
    <row r="1558" spans="5:8" x14ac:dyDescent="0.25">
      <c r="E1558" t="str">
        <f>""</f>
        <v/>
      </c>
      <c r="F1558" t="str">
        <f>""</f>
        <v/>
      </c>
      <c r="H1558" t="str">
        <f t="shared" si="34"/>
        <v>GUARDIAN</v>
      </c>
    </row>
    <row r="1559" spans="5:8" x14ac:dyDescent="0.25">
      <c r="E1559" t="str">
        <f>""</f>
        <v/>
      </c>
      <c r="F1559" t="str">
        <f>""</f>
        <v/>
      </c>
      <c r="H1559" t="str">
        <f t="shared" si="34"/>
        <v>GUARDIAN</v>
      </c>
    </row>
    <row r="1560" spans="5:8" x14ac:dyDescent="0.25">
      <c r="E1560" t="str">
        <f>""</f>
        <v/>
      </c>
      <c r="F1560" t="str">
        <f>""</f>
        <v/>
      </c>
      <c r="H1560" t="str">
        <f t="shared" si="34"/>
        <v>GUARDIAN</v>
      </c>
    </row>
    <row r="1561" spans="5:8" x14ac:dyDescent="0.25">
      <c r="E1561" t="str">
        <f>""</f>
        <v/>
      </c>
      <c r="F1561" t="str">
        <f>""</f>
        <v/>
      </c>
      <c r="H1561" t="str">
        <f t="shared" si="34"/>
        <v>GUARDIAN</v>
      </c>
    </row>
    <row r="1562" spans="5:8" x14ac:dyDescent="0.25">
      <c r="E1562" t="str">
        <f>""</f>
        <v/>
      </c>
      <c r="F1562" t="str">
        <f>""</f>
        <v/>
      </c>
      <c r="H1562" t="str">
        <f t="shared" si="34"/>
        <v>GUARDIAN</v>
      </c>
    </row>
    <row r="1563" spans="5:8" x14ac:dyDescent="0.25">
      <c r="E1563" t="str">
        <f>""</f>
        <v/>
      </c>
      <c r="F1563" t="str">
        <f>""</f>
        <v/>
      </c>
      <c r="H1563" t="str">
        <f t="shared" si="34"/>
        <v>GUARDIAN</v>
      </c>
    </row>
    <row r="1564" spans="5:8" x14ac:dyDescent="0.25">
      <c r="E1564" t="str">
        <f>""</f>
        <v/>
      </c>
      <c r="F1564" t="str">
        <f>""</f>
        <v/>
      </c>
      <c r="H1564" t="str">
        <f t="shared" si="34"/>
        <v>GUARDIAN</v>
      </c>
    </row>
    <row r="1565" spans="5:8" x14ac:dyDescent="0.25">
      <c r="E1565" t="str">
        <f>""</f>
        <v/>
      </c>
      <c r="F1565" t="str">
        <f>""</f>
        <v/>
      </c>
      <c r="H1565" t="str">
        <f t="shared" si="34"/>
        <v>GUARDIAN</v>
      </c>
    </row>
    <row r="1566" spans="5:8" x14ac:dyDescent="0.25">
      <c r="E1566" t="str">
        <f>""</f>
        <v/>
      </c>
      <c r="F1566" t="str">
        <f>""</f>
        <v/>
      </c>
      <c r="H1566" t="str">
        <f t="shared" si="34"/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 t="shared" si="34"/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 t="shared" si="34"/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 t="shared" si="34"/>
        <v>GUARDIAN</v>
      </c>
    </row>
    <row r="1570" spans="5:8" x14ac:dyDescent="0.25">
      <c r="E1570" t="str">
        <f>"LIA202103172244"</f>
        <v>LIA202103172244</v>
      </c>
      <c r="F1570" t="str">
        <f>"GUARDIAN"</f>
        <v>GUARDIAN</v>
      </c>
      <c r="G1570" s="3">
        <v>40.99</v>
      </c>
      <c r="H1570" t="str">
        <f t="shared" si="34"/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 t="shared" si="34"/>
        <v>GUARDIAN</v>
      </c>
    </row>
    <row r="1572" spans="5:8" x14ac:dyDescent="0.25">
      <c r="E1572" t="str">
        <f>"LIC202103031933"</f>
        <v>LIC202103031933</v>
      </c>
      <c r="F1572" t="str">
        <f>"GUARDIAN"</f>
        <v>GUARDIAN</v>
      </c>
      <c r="G1572" s="3">
        <v>33.950000000000003</v>
      </c>
      <c r="H1572" t="str">
        <f t="shared" si="34"/>
        <v>GUARDIAN</v>
      </c>
    </row>
    <row r="1573" spans="5:8" x14ac:dyDescent="0.25">
      <c r="E1573" t="str">
        <f>"LIC202103031934"</f>
        <v>LIC202103031934</v>
      </c>
      <c r="F1573" t="str">
        <f>"GUARDIAN"</f>
        <v>GUARDIAN</v>
      </c>
      <c r="G1573" s="3">
        <v>0.7</v>
      </c>
      <c r="H1573" t="str">
        <f t="shared" si="34"/>
        <v>GUARDIAN</v>
      </c>
    </row>
    <row r="1574" spans="5:8" x14ac:dyDescent="0.25">
      <c r="E1574" t="str">
        <f>"LIC202103172243"</f>
        <v>LIC202103172243</v>
      </c>
      <c r="F1574" t="str">
        <f>"GUARDIAN"</f>
        <v>GUARDIAN</v>
      </c>
      <c r="G1574" s="3">
        <v>34.020000000000003</v>
      </c>
      <c r="H1574" t="str">
        <f t="shared" si="34"/>
        <v>GUARDIAN</v>
      </c>
    </row>
    <row r="1575" spans="5:8" x14ac:dyDescent="0.25">
      <c r="E1575" t="str">
        <f>"LIC202103172244"</f>
        <v>LIC202103172244</v>
      </c>
      <c r="F1575" t="str">
        <f>"GUARDIAN"</f>
        <v>GUARDIAN</v>
      </c>
      <c r="G1575" s="3">
        <v>0.7</v>
      </c>
      <c r="H1575" t="str">
        <f t="shared" si="34"/>
        <v>GUARDIAN</v>
      </c>
    </row>
    <row r="1576" spans="5:8" x14ac:dyDescent="0.25">
      <c r="E1576" t="str">
        <f>"LIE202103031933"</f>
        <v>LIE202103031933</v>
      </c>
      <c r="F1576" t="str">
        <f>"GUARDIAN"</f>
        <v>GUARDIAN</v>
      </c>
      <c r="G1576" s="3">
        <v>3774.65</v>
      </c>
      <c r="H1576" t="str">
        <f t="shared" si="34"/>
        <v>GUARDIAN</v>
      </c>
    </row>
    <row r="1577" spans="5:8" x14ac:dyDescent="0.25">
      <c r="E1577" t="str">
        <f>""</f>
        <v/>
      </c>
      <c r="F1577" t="str">
        <f>""</f>
        <v/>
      </c>
      <c r="H1577" t="str">
        <f t="shared" si="34"/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 t="shared" si="34"/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 t="shared" si="34"/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 t="shared" si="34"/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 t="shared" si="34"/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 t="shared" si="34"/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 t="shared" si="34"/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 t="shared" ref="H1584:H1615" si="35">"GUARDIAN"</f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 t="shared" si="35"/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 t="shared" si="35"/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 t="shared" si="35"/>
        <v>GUARDIAN</v>
      </c>
    </row>
    <row r="1588" spans="5:8" x14ac:dyDescent="0.25">
      <c r="E1588" t="str">
        <f>""</f>
        <v/>
      </c>
      <c r="F1588" t="str">
        <f>""</f>
        <v/>
      </c>
      <c r="H1588" t="str">
        <f t="shared" si="35"/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 t="shared" si="35"/>
        <v>GUARDIAN</v>
      </c>
    </row>
    <row r="1590" spans="5:8" x14ac:dyDescent="0.25">
      <c r="E1590" t="str">
        <f>""</f>
        <v/>
      </c>
      <c r="F1590" t="str">
        <f>""</f>
        <v/>
      </c>
      <c r="H1590" t="str">
        <f t="shared" si="35"/>
        <v>GUARDIAN</v>
      </c>
    </row>
    <row r="1591" spans="5:8" x14ac:dyDescent="0.25">
      <c r="E1591" t="str">
        <f>""</f>
        <v/>
      </c>
      <c r="F1591" t="str">
        <f>""</f>
        <v/>
      </c>
      <c r="H1591" t="str">
        <f t="shared" si="35"/>
        <v>GUARDIAN</v>
      </c>
    </row>
    <row r="1592" spans="5:8" x14ac:dyDescent="0.25">
      <c r="E1592" t="str">
        <f>""</f>
        <v/>
      </c>
      <c r="F1592" t="str">
        <f>""</f>
        <v/>
      </c>
      <c r="H1592" t="str">
        <f t="shared" si="35"/>
        <v>GUARDIAN</v>
      </c>
    </row>
    <row r="1593" spans="5:8" x14ac:dyDescent="0.25">
      <c r="E1593" t="str">
        <f>""</f>
        <v/>
      </c>
      <c r="F1593" t="str">
        <f>""</f>
        <v/>
      </c>
      <c r="H1593" t="str">
        <f t="shared" si="35"/>
        <v>GUARDIAN</v>
      </c>
    </row>
    <row r="1594" spans="5:8" x14ac:dyDescent="0.25">
      <c r="E1594" t="str">
        <f>""</f>
        <v/>
      </c>
      <c r="F1594" t="str">
        <f>""</f>
        <v/>
      </c>
      <c r="H1594" t="str">
        <f t="shared" si="35"/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 t="shared" si="35"/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 t="shared" si="35"/>
        <v>GUARDIAN</v>
      </c>
    </row>
    <row r="1597" spans="5:8" x14ac:dyDescent="0.25">
      <c r="E1597" t="str">
        <f>""</f>
        <v/>
      </c>
      <c r="F1597" t="str">
        <f>""</f>
        <v/>
      </c>
      <c r="H1597" t="str">
        <f t="shared" si="35"/>
        <v>GUARDIAN</v>
      </c>
    </row>
    <row r="1598" spans="5:8" x14ac:dyDescent="0.25">
      <c r="E1598" t="str">
        <f>""</f>
        <v/>
      </c>
      <c r="F1598" t="str">
        <f>""</f>
        <v/>
      </c>
      <c r="H1598" t="str">
        <f t="shared" si="35"/>
        <v>GUARDIAN</v>
      </c>
    </row>
    <row r="1599" spans="5:8" x14ac:dyDescent="0.25">
      <c r="E1599" t="str">
        <f>""</f>
        <v/>
      </c>
      <c r="F1599" t="str">
        <f>""</f>
        <v/>
      </c>
      <c r="H1599" t="str">
        <f t="shared" si="35"/>
        <v>GUARDIAN</v>
      </c>
    </row>
    <row r="1600" spans="5:8" x14ac:dyDescent="0.25">
      <c r="E1600" t="str">
        <f>""</f>
        <v/>
      </c>
      <c r="F1600" t="str">
        <f>""</f>
        <v/>
      </c>
      <c r="H1600" t="str">
        <f t="shared" si="35"/>
        <v>GUARDIAN</v>
      </c>
    </row>
    <row r="1601" spans="5:8" x14ac:dyDescent="0.25">
      <c r="E1601" t="str">
        <f>""</f>
        <v/>
      </c>
      <c r="F1601" t="str">
        <f>""</f>
        <v/>
      </c>
      <c r="H1601" t="str">
        <f t="shared" si="35"/>
        <v>GUARDIAN</v>
      </c>
    </row>
    <row r="1602" spans="5:8" x14ac:dyDescent="0.25">
      <c r="E1602" t="str">
        <f>""</f>
        <v/>
      </c>
      <c r="F1602" t="str">
        <f>""</f>
        <v/>
      </c>
      <c r="H1602" t="str">
        <f t="shared" si="35"/>
        <v>GUARDIAN</v>
      </c>
    </row>
    <row r="1603" spans="5:8" x14ac:dyDescent="0.25">
      <c r="E1603" t="str">
        <f>""</f>
        <v/>
      </c>
      <c r="F1603" t="str">
        <f>""</f>
        <v/>
      </c>
      <c r="H1603" t="str">
        <f t="shared" si="35"/>
        <v>GUARDIAN</v>
      </c>
    </row>
    <row r="1604" spans="5:8" x14ac:dyDescent="0.25">
      <c r="E1604" t="str">
        <f>""</f>
        <v/>
      </c>
      <c r="F1604" t="str">
        <f>""</f>
        <v/>
      </c>
      <c r="H1604" t="str">
        <f t="shared" si="35"/>
        <v>GUARDIAN</v>
      </c>
    </row>
    <row r="1605" spans="5:8" x14ac:dyDescent="0.25">
      <c r="E1605" t="str">
        <f>""</f>
        <v/>
      </c>
      <c r="F1605" t="str">
        <f>""</f>
        <v/>
      </c>
      <c r="H1605" t="str">
        <f t="shared" si="35"/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 t="shared" si="35"/>
        <v>GUARDIAN</v>
      </c>
    </row>
    <row r="1607" spans="5:8" x14ac:dyDescent="0.25">
      <c r="E1607" t="str">
        <f>""</f>
        <v/>
      </c>
      <c r="F1607" t="str">
        <f>""</f>
        <v/>
      </c>
      <c r="H1607" t="str">
        <f t="shared" si="35"/>
        <v>GUARDIAN</v>
      </c>
    </row>
    <row r="1608" spans="5:8" x14ac:dyDescent="0.25">
      <c r="E1608" t="str">
        <f>""</f>
        <v/>
      </c>
      <c r="F1608" t="str">
        <f>""</f>
        <v/>
      </c>
      <c r="H1608" t="str">
        <f t="shared" si="35"/>
        <v>GUARDIAN</v>
      </c>
    </row>
    <row r="1609" spans="5:8" x14ac:dyDescent="0.25">
      <c r="E1609" t="str">
        <f>""</f>
        <v/>
      </c>
      <c r="F1609" t="str">
        <f>""</f>
        <v/>
      </c>
      <c r="H1609" t="str">
        <f t="shared" si="35"/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 t="shared" si="35"/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 t="shared" si="35"/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 t="shared" si="35"/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 t="shared" si="35"/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 t="shared" si="35"/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 t="shared" si="35"/>
        <v>GUARDIAN</v>
      </c>
    </row>
    <row r="1616" spans="5:8" x14ac:dyDescent="0.25">
      <c r="E1616" t="str">
        <f>""</f>
        <v/>
      </c>
      <c r="F1616" t="str">
        <f>""</f>
        <v/>
      </c>
      <c r="H1616" t="str">
        <f t="shared" ref="H1616:H1647" si="36">"GUARDIAN"</f>
        <v>GUARDIAN</v>
      </c>
    </row>
    <row r="1617" spans="5:8" x14ac:dyDescent="0.25">
      <c r="E1617" t="str">
        <f>""</f>
        <v/>
      </c>
      <c r="F1617" t="str">
        <f>""</f>
        <v/>
      </c>
      <c r="H1617" t="str">
        <f t="shared" si="36"/>
        <v>GUARDIAN</v>
      </c>
    </row>
    <row r="1618" spans="5:8" x14ac:dyDescent="0.25">
      <c r="E1618" t="str">
        <f>""</f>
        <v/>
      </c>
      <c r="F1618" t="str">
        <f>""</f>
        <v/>
      </c>
      <c r="H1618" t="str">
        <f t="shared" si="36"/>
        <v>GUARDIAN</v>
      </c>
    </row>
    <row r="1619" spans="5:8" x14ac:dyDescent="0.25">
      <c r="E1619" t="str">
        <f>""</f>
        <v/>
      </c>
      <c r="F1619" t="str">
        <f>""</f>
        <v/>
      </c>
      <c r="H1619" t="str">
        <f t="shared" si="36"/>
        <v>GUARDIAN</v>
      </c>
    </row>
    <row r="1620" spans="5:8" x14ac:dyDescent="0.25">
      <c r="E1620" t="str">
        <f>""</f>
        <v/>
      </c>
      <c r="F1620" t="str">
        <f>""</f>
        <v/>
      </c>
      <c r="H1620" t="str">
        <f t="shared" si="36"/>
        <v>GUARDIAN</v>
      </c>
    </row>
    <row r="1621" spans="5:8" x14ac:dyDescent="0.25">
      <c r="E1621" t="str">
        <f>""</f>
        <v/>
      </c>
      <c r="F1621" t="str">
        <f>""</f>
        <v/>
      </c>
      <c r="H1621" t="str">
        <f t="shared" si="36"/>
        <v>GUARDIAN</v>
      </c>
    </row>
    <row r="1622" spans="5:8" x14ac:dyDescent="0.25">
      <c r="E1622" t="str">
        <f>""</f>
        <v/>
      </c>
      <c r="F1622" t="str">
        <f>""</f>
        <v/>
      </c>
      <c r="H1622" t="str">
        <f t="shared" si="36"/>
        <v>GUARDIAN</v>
      </c>
    </row>
    <row r="1623" spans="5:8" x14ac:dyDescent="0.25">
      <c r="E1623" t="str">
        <f>""</f>
        <v/>
      </c>
      <c r="F1623" t="str">
        <f>""</f>
        <v/>
      </c>
      <c r="H1623" t="str">
        <f t="shared" si="36"/>
        <v>GUARDIAN</v>
      </c>
    </row>
    <row r="1624" spans="5:8" x14ac:dyDescent="0.25">
      <c r="E1624" t="str">
        <f>""</f>
        <v/>
      </c>
      <c r="F1624" t="str">
        <f>""</f>
        <v/>
      </c>
      <c r="H1624" t="str">
        <f t="shared" si="36"/>
        <v>GUARDIAN</v>
      </c>
    </row>
    <row r="1625" spans="5:8" x14ac:dyDescent="0.25">
      <c r="E1625" t="str">
        <f>""</f>
        <v/>
      </c>
      <c r="F1625" t="str">
        <f>""</f>
        <v/>
      </c>
      <c r="H1625" t="str">
        <f t="shared" si="36"/>
        <v>GUARDIAN</v>
      </c>
    </row>
    <row r="1626" spans="5:8" x14ac:dyDescent="0.25">
      <c r="E1626" t="str">
        <f>""</f>
        <v/>
      </c>
      <c r="F1626" t="str">
        <f>""</f>
        <v/>
      </c>
      <c r="H1626" t="str">
        <f t="shared" si="36"/>
        <v>GUARDIAN</v>
      </c>
    </row>
    <row r="1627" spans="5:8" x14ac:dyDescent="0.25">
      <c r="E1627" t="str">
        <f>"LIE202103031934"</f>
        <v>LIE202103031934</v>
      </c>
      <c r="F1627" t="str">
        <f>"GUARDIAN"</f>
        <v>GUARDIAN</v>
      </c>
      <c r="G1627" s="3">
        <v>75.099999999999994</v>
      </c>
      <c r="H1627" t="str">
        <f t="shared" si="36"/>
        <v>GUARDIAN</v>
      </c>
    </row>
    <row r="1628" spans="5:8" x14ac:dyDescent="0.25">
      <c r="E1628" t="str">
        <f>""</f>
        <v/>
      </c>
      <c r="F1628" t="str">
        <f>""</f>
        <v/>
      </c>
      <c r="H1628" t="str">
        <f t="shared" si="36"/>
        <v>GUARDIAN</v>
      </c>
    </row>
    <row r="1629" spans="5:8" x14ac:dyDescent="0.25">
      <c r="E1629" t="str">
        <f>"LIE202103172243"</f>
        <v>LIE202103172243</v>
      </c>
      <c r="F1629" t="str">
        <f>"GUARDIAN"</f>
        <v>GUARDIAN</v>
      </c>
      <c r="G1629" s="3">
        <v>3774.65</v>
      </c>
      <c r="H1629" t="str">
        <f t="shared" si="36"/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 t="shared" si="36"/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 t="shared" si="36"/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 t="shared" si="36"/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 t="shared" si="36"/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 t="shared" si="36"/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 t="shared" si="36"/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 t="shared" si="36"/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 t="shared" si="36"/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 t="shared" si="36"/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 t="shared" si="36"/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 t="shared" si="36"/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 t="shared" si="36"/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 t="shared" si="36"/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 t="shared" si="36"/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 t="shared" si="36"/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 t="shared" si="36"/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 t="shared" si="36"/>
        <v>GUARDIAN</v>
      </c>
    </row>
    <row r="1647" spans="5:8" x14ac:dyDescent="0.25">
      <c r="E1647" t="str">
        <f>""</f>
        <v/>
      </c>
      <c r="F1647" t="str">
        <f>""</f>
        <v/>
      </c>
      <c r="H1647" t="str">
        <f t="shared" si="36"/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 t="shared" ref="H1648:H1679" si="37">"GUARDIAN"</f>
        <v>GUARDIAN</v>
      </c>
    </row>
    <row r="1649" spans="5:8" x14ac:dyDescent="0.25">
      <c r="E1649" t="str">
        <f>""</f>
        <v/>
      </c>
      <c r="F1649" t="str">
        <f>""</f>
        <v/>
      </c>
      <c r="H1649" t="str">
        <f t="shared" si="37"/>
        <v>GUARDIAN</v>
      </c>
    </row>
    <row r="1650" spans="5:8" x14ac:dyDescent="0.25">
      <c r="E1650" t="str">
        <f>""</f>
        <v/>
      </c>
      <c r="F1650" t="str">
        <f>""</f>
        <v/>
      </c>
      <c r="H1650" t="str">
        <f t="shared" si="37"/>
        <v>GUARDIAN</v>
      </c>
    </row>
    <row r="1651" spans="5:8" x14ac:dyDescent="0.25">
      <c r="E1651" t="str">
        <f>""</f>
        <v/>
      </c>
      <c r="F1651" t="str">
        <f>""</f>
        <v/>
      </c>
      <c r="H1651" t="str">
        <f t="shared" si="37"/>
        <v>GUARDIAN</v>
      </c>
    </row>
    <row r="1652" spans="5:8" x14ac:dyDescent="0.25">
      <c r="E1652" t="str">
        <f>""</f>
        <v/>
      </c>
      <c r="F1652" t="str">
        <f>""</f>
        <v/>
      </c>
      <c r="H1652" t="str">
        <f t="shared" si="37"/>
        <v>GUARDIAN</v>
      </c>
    </row>
    <row r="1653" spans="5:8" x14ac:dyDescent="0.25">
      <c r="E1653" t="str">
        <f>""</f>
        <v/>
      </c>
      <c r="F1653" t="str">
        <f>""</f>
        <v/>
      </c>
      <c r="H1653" t="str">
        <f t="shared" si="37"/>
        <v>GUARDIAN</v>
      </c>
    </row>
    <row r="1654" spans="5:8" x14ac:dyDescent="0.25">
      <c r="E1654" t="str">
        <f>""</f>
        <v/>
      </c>
      <c r="F1654" t="str">
        <f>""</f>
        <v/>
      </c>
      <c r="H1654" t="str">
        <f t="shared" si="37"/>
        <v>GUARDIAN</v>
      </c>
    </row>
    <row r="1655" spans="5:8" x14ac:dyDescent="0.25">
      <c r="E1655" t="str">
        <f>""</f>
        <v/>
      </c>
      <c r="F1655" t="str">
        <f>""</f>
        <v/>
      </c>
      <c r="H1655" t="str">
        <f t="shared" si="37"/>
        <v>GUARDIAN</v>
      </c>
    </row>
    <row r="1656" spans="5:8" x14ac:dyDescent="0.25">
      <c r="E1656" t="str">
        <f>""</f>
        <v/>
      </c>
      <c r="F1656" t="str">
        <f>""</f>
        <v/>
      </c>
      <c r="H1656" t="str">
        <f t="shared" si="37"/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 t="shared" si="37"/>
        <v>GUARDIAN</v>
      </c>
    </row>
    <row r="1658" spans="5:8" x14ac:dyDescent="0.25">
      <c r="E1658" t="str">
        <f>""</f>
        <v/>
      </c>
      <c r="F1658" t="str">
        <f>""</f>
        <v/>
      </c>
      <c r="H1658" t="str">
        <f t="shared" si="37"/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 t="shared" si="37"/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 t="shared" si="37"/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 t="shared" si="37"/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 t="shared" si="37"/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 t="shared" si="37"/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 t="shared" si="37"/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 t="shared" si="37"/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 t="shared" si="37"/>
        <v>GUARDIAN</v>
      </c>
    </row>
    <row r="1667" spans="5:8" x14ac:dyDescent="0.25">
      <c r="E1667" t="str">
        <f>""</f>
        <v/>
      </c>
      <c r="F1667" t="str">
        <f>""</f>
        <v/>
      </c>
      <c r="H1667" t="str">
        <f t="shared" si="37"/>
        <v>GUARDIAN</v>
      </c>
    </row>
    <row r="1668" spans="5:8" x14ac:dyDescent="0.25">
      <c r="E1668" t="str">
        <f>""</f>
        <v/>
      </c>
      <c r="F1668" t="str">
        <f>""</f>
        <v/>
      </c>
      <c r="H1668" t="str">
        <f t="shared" si="37"/>
        <v>GUARDIAN</v>
      </c>
    </row>
    <row r="1669" spans="5:8" x14ac:dyDescent="0.25">
      <c r="E1669" t="str">
        <f>""</f>
        <v/>
      </c>
      <c r="F1669" t="str">
        <f>""</f>
        <v/>
      </c>
      <c r="H1669" t="str">
        <f t="shared" si="37"/>
        <v>GUARDIAN</v>
      </c>
    </row>
    <row r="1670" spans="5:8" x14ac:dyDescent="0.25">
      <c r="E1670" t="str">
        <f>""</f>
        <v/>
      </c>
      <c r="F1670" t="str">
        <f>""</f>
        <v/>
      </c>
      <c r="H1670" t="str">
        <f t="shared" si="37"/>
        <v>GUARDIAN</v>
      </c>
    </row>
    <row r="1671" spans="5:8" x14ac:dyDescent="0.25">
      <c r="E1671" t="str">
        <f>""</f>
        <v/>
      </c>
      <c r="F1671" t="str">
        <f>""</f>
        <v/>
      </c>
      <c r="H1671" t="str">
        <f t="shared" si="37"/>
        <v>GUARDIAN</v>
      </c>
    </row>
    <row r="1672" spans="5:8" x14ac:dyDescent="0.25">
      <c r="E1672" t="str">
        <f>""</f>
        <v/>
      </c>
      <c r="F1672" t="str">
        <f>""</f>
        <v/>
      </c>
      <c r="H1672" t="str">
        <f t="shared" si="37"/>
        <v>GUARDIAN</v>
      </c>
    </row>
    <row r="1673" spans="5:8" x14ac:dyDescent="0.25">
      <c r="E1673" t="str">
        <f>""</f>
        <v/>
      </c>
      <c r="F1673" t="str">
        <f>""</f>
        <v/>
      </c>
      <c r="H1673" t="str">
        <f t="shared" si="37"/>
        <v>GUARDIAN</v>
      </c>
    </row>
    <row r="1674" spans="5:8" x14ac:dyDescent="0.25">
      <c r="E1674" t="str">
        <f>""</f>
        <v/>
      </c>
      <c r="F1674" t="str">
        <f>""</f>
        <v/>
      </c>
      <c r="H1674" t="str">
        <f t="shared" si="37"/>
        <v>GUARDIAN</v>
      </c>
    </row>
    <row r="1675" spans="5:8" x14ac:dyDescent="0.25">
      <c r="E1675" t="str">
        <f>""</f>
        <v/>
      </c>
      <c r="F1675" t="str">
        <f>""</f>
        <v/>
      </c>
      <c r="H1675" t="str">
        <f t="shared" si="37"/>
        <v>GUARDIAN</v>
      </c>
    </row>
    <row r="1676" spans="5:8" x14ac:dyDescent="0.25">
      <c r="E1676" t="str">
        <f>""</f>
        <v/>
      </c>
      <c r="F1676" t="str">
        <f>""</f>
        <v/>
      </c>
      <c r="H1676" t="str">
        <f t="shared" si="37"/>
        <v>GUARDIAN</v>
      </c>
    </row>
    <row r="1677" spans="5:8" x14ac:dyDescent="0.25">
      <c r="E1677" t="str">
        <f>""</f>
        <v/>
      </c>
      <c r="F1677" t="str">
        <f>""</f>
        <v/>
      </c>
      <c r="H1677" t="str">
        <f t="shared" si="37"/>
        <v>GUARDIAN</v>
      </c>
    </row>
    <row r="1678" spans="5:8" x14ac:dyDescent="0.25">
      <c r="E1678" t="str">
        <f>""</f>
        <v/>
      </c>
      <c r="F1678" t="str">
        <f>""</f>
        <v/>
      </c>
      <c r="H1678" t="str">
        <f t="shared" si="37"/>
        <v>GUARDIAN</v>
      </c>
    </row>
    <row r="1679" spans="5:8" x14ac:dyDescent="0.25">
      <c r="E1679" t="str">
        <f>""</f>
        <v/>
      </c>
      <c r="F1679" t="str">
        <f>""</f>
        <v/>
      </c>
      <c r="H1679" t="str">
        <f t="shared" si="37"/>
        <v>GUARDIAN</v>
      </c>
    </row>
    <row r="1680" spans="5:8" x14ac:dyDescent="0.25">
      <c r="E1680" t="str">
        <f>"LIE202103172244"</f>
        <v>LIE202103172244</v>
      </c>
      <c r="F1680" t="str">
        <f>"GUARDIAN"</f>
        <v>GUARDIAN</v>
      </c>
      <c r="G1680" s="3">
        <v>75.099999999999994</v>
      </c>
      <c r="H1680" t="str">
        <f t="shared" ref="H1680:H1691" si="38">"GUARDIAN"</f>
        <v>GUARDIAN</v>
      </c>
    </row>
    <row r="1681" spans="1:8" x14ac:dyDescent="0.25">
      <c r="E1681" t="str">
        <f>""</f>
        <v/>
      </c>
      <c r="F1681" t="str">
        <f>""</f>
        <v/>
      </c>
      <c r="H1681" t="str">
        <f t="shared" si="38"/>
        <v>GUARDIAN</v>
      </c>
    </row>
    <row r="1682" spans="1:8" x14ac:dyDescent="0.25">
      <c r="E1682" t="str">
        <f>"LIS202103031933"</f>
        <v>LIS202103031933</v>
      </c>
      <c r="F1682" t="str">
        <f t="shared" ref="F1682:F1691" si="39">"GUARDIAN"</f>
        <v>GUARDIAN</v>
      </c>
      <c r="G1682" s="3">
        <v>517.6</v>
      </c>
      <c r="H1682" t="str">
        <f t="shared" si="38"/>
        <v>GUARDIAN</v>
      </c>
    </row>
    <row r="1683" spans="1:8" x14ac:dyDescent="0.25">
      <c r="E1683" t="str">
        <f>"LIS202103031934"</f>
        <v>LIS202103031934</v>
      </c>
      <c r="F1683" t="str">
        <f t="shared" si="39"/>
        <v>GUARDIAN</v>
      </c>
      <c r="G1683" s="3">
        <v>36.15</v>
      </c>
      <c r="H1683" t="str">
        <f t="shared" si="38"/>
        <v>GUARDIAN</v>
      </c>
    </row>
    <row r="1684" spans="1:8" x14ac:dyDescent="0.25">
      <c r="E1684" t="str">
        <f>"LIS202103172243"</f>
        <v>LIS202103172243</v>
      </c>
      <c r="F1684" t="str">
        <f t="shared" si="39"/>
        <v>GUARDIAN</v>
      </c>
      <c r="G1684" s="3">
        <v>502.38</v>
      </c>
      <c r="H1684" t="str">
        <f t="shared" si="38"/>
        <v>GUARDIAN</v>
      </c>
    </row>
    <row r="1685" spans="1:8" x14ac:dyDescent="0.25">
      <c r="E1685" t="str">
        <f>"LIS202103172244"</f>
        <v>LIS202103172244</v>
      </c>
      <c r="F1685" t="str">
        <f t="shared" si="39"/>
        <v>GUARDIAN</v>
      </c>
      <c r="G1685" s="3">
        <v>36.15</v>
      </c>
      <c r="H1685" t="str">
        <f t="shared" si="38"/>
        <v>GUARDIAN</v>
      </c>
    </row>
    <row r="1686" spans="1:8" x14ac:dyDescent="0.25">
      <c r="E1686" t="str">
        <f>"LTD202103031933"</f>
        <v>LTD202103031933</v>
      </c>
      <c r="F1686" t="str">
        <f t="shared" si="39"/>
        <v>GUARDIAN</v>
      </c>
      <c r="G1686" s="3">
        <v>940.09</v>
      </c>
      <c r="H1686" t="str">
        <f t="shared" si="38"/>
        <v>GUARDIAN</v>
      </c>
    </row>
    <row r="1687" spans="1:8" x14ac:dyDescent="0.25">
      <c r="E1687" t="str">
        <f>"LTD202103172243"</f>
        <v>LTD202103172243</v>
      </c>
      <c r="F1687" t="str">
        <f t="shared" si="39"/>
        <v>GUARDIAN</v>
      </c>
      <c r="G1687" s="3">
        <v>940.09</v>
      </c>
      <c r="H1687" t="str">
        <f t="shared" si="38"/>
        <v>GUARDIAN</v>
      </c>
    </row>
    <row r="1688" spans="1:8" x14ac:dyDescent="0.25">
      <c r="A1688" t="s">
        <v>346</v>
      </c>
      <c r="B1688">
        <v>961</v>
      </c>
      <c r="C1688" s="3">
        <v>98.36</v>
      </c>
      <c r="D1688" s="6">
        <v>44279</v>
      </c>
      <c r="E1688" t="str">
        <f>"AEG202103031933"</f>
        <v>AEG202103031933</v>
      </c>
      <c r="F1688" t="str">
        <f t="shared" si="39"/>
        <v>GUARDIAN</v>
      </c>
      <c r="G1688" s="3">
        <v>6.66</v>
      </c>
      <c r="H1688" t="str">
        <f t="shared" si="38"/>
        <v>GUARDIAN</v>
      </c>
    </row>
    <row r="1689" spans="1:8" x14ac:dyDescent="0.25">
      <c r="E1689" t="str">
        <f>"AEG202103172243"</f>
        <v>AEG202103172243</v>
      </c>
      <c r="F1689" t="str">
        <f t="shared" si="39"/>
        <v>GUARDIAN</v>
      </c>
      <c r="G1689" s="3">
        <v>6.66</v>
      </c>
      <c r="H1689" t="str">
        <f t="shared" si="38"/>
        <v>GUARDIAN</v>
      </c>
    </row>
    <row r="1690" spans="1:8" x14ac:dyDescent="0.25">
      <c r="E1690" t="str">
        <f>"AFG202103031933"</f>
        <v>AFG202103031933</v>
      </c>
      <c r="F1690" t="str">
        <f t="shared" si="39"/>
        <v>GUARDIAN</v>
      </c>
      <c r="G1690" s="3">
        <v>42.52</v>
      </c>
      <c r="H1690" t="str">
        <f t="shared" si="38"/>
        <v>GUARDIAN</v>
      </c>
    </row>
    <row r="1691" spans="1:8" x14ac:dyDescent="0.25">
      <c r="E1691" t="str">
        <f>"AFG202103172243"</f>
        <v>AFG202103172243</v>
      </c>
      <c r="F1691" t="str">
        <f t="shared" si="39"/>
        <v>GUARDIAN</v>
      </c>
      <c r="G1691" s="3">
        <v>42.52</v>
      </c>
      <c r="H1691" t="str">
        <f t="shared" si="38"/>
        <v>GUARDIAN</v>
      </c>
    </row>
    <row r="1692" spans="1:8" x14ac:dyDescent="0.25">
      <c r="A1692" t="s">
        <v>347</v>
      </c>
      <c r="B1692">
        <v>943</v>
      </c>
      <c r="C1692" s="3">
        <v>249244.25</v>
      </c>
      <c r="D1692" s="6">
        <v>44260</v>
      </c>
      <c r="E1692" t="str">
        <f>"T1 202103031933"</f>
        <v>T1 202103031933</v>
      </c>
      <c r="F1692" t="str">
        <f>"FEDERAL WITHHOLDING"</f>
        <v>FEDERAL WITHHOLDING</v>
      </c>
      <c r="G1692" s="3">
        <v>82892.84</v>
      </c>
      <c r="H1692" t="str">
        <f>"FEDERAL WITHHOLDING"</f>
        <v>FEDERAL WITHHOLDING</v>
      </c>
    </row>
    <row r="1693" spans="1:8" x14ac:dyDescent="0.25">
      <c r="E1693" t="str">
        <f>"T1 202103031934"</f>
        <v>T1 202103031934</v>
      </c>
      <c r="F1693" t="str">
        <f>"FEDERAL WITHHOLDING"</f>
        <v>FEDERAL WITHHOLDING</v>
      </c>
      <c r="G1693" s="3">
        <v>2978.87</v>
      </c>
      <c r="H1693" t="str">
        <f>"FEDERAL WITHHOLDING"</f>
        <v>FEDERAL WITHHOLDING</v>
      </c>
    </row>
    <row r="1694" spans="1:8" x14ac:dyDescent="0.25">
      <c r="E1694" t="str">
        <f>"T1 202103031935"</f>
        <v>T1 202103031935</v>
      </c>
      <c r="F1694" t="str">
        <f>"FEDERAL WITHHOLDING"</f>
        <v>FEDERAL WITHHOLDING</v>
      </c>
      <c r="G1694" s="3">
        <v>3160.36</v>
      </c>
      <c r="H1694" t="str">
        <f>"FEDERAL WITHHOLDING"</f>
        <v>FEDERAL WITHHOLDING</v>
      </c>
    </row>
    <row r="1695" spans="1:8" x14ac:dyDescent="0.25">
      <c r="E1695" t="str">
        <f>"T3 202103031933"</f>
        <v>T3 202103031933</v>
      </c>
      <c r="F1695" t="str">
        <f>"SOCIAL SECURITY TAXES"</f>
        <v>SOCIAL SECURITY TAXES</v>
      </c>
      <c r="G1695" s="3">
        <v>120853.42</v>
      </c>
      <c r="H1695" t="str">
        <f t="shared" ref="H1695:H1726" si="40">"SOCIAL SECURITY TAXES"</f>
        <v>SOCIAL SECURITY TAXES</v>
      </c>
    </row>
    <row r="1696" spans="1:8" x14ac:dyDescent="0.25">
      <c r="E1696" t="str">
        <f>""</f>
        <v/>
      </c>
      <c r="F1696" t="str">
        <f>""</f>
        <v/>
      </c>
      <c r="H1696" t="str">
        <f t="shared" si="40"/>
        <v>SOCIAL SECURITY TAXES</v>
      </c>
    </row>
    <row r="1697" spans="5:8" x14ac:dyDescent="0.25">
      <c r="E1697" t="str">
        <f>""</f>
        <v/>
      </c>
      <c r="F1697" t="str">
        <f>""</f>
        <v/>
      </c>
      <c r="H1697" t="str">
        <f t="shared" si="40"/>
        <v>SOCIAL SECURITY TAXES</v>
      </c>
    </row>
    <row r="1698" spans="5:8" x14ac:dyDescent="0.25">
      <c r="E1698" t="str">
        <f>""</f>
        <v/>
      </c>
      <c r="F1698" t="str">
        <f>""</f>
        <v/>
      </c>
      <c r="H1698" t="str">
        <f t="shared" si="40"/>
        <v>SOCIAL SECURITY TAXES</v>
      </c>
    </row>
    <row r="1699" spans="5:8" x14ac:dyDescent="0.25">
      <c r="E1699" t="str">
        <f>""</f>
        <v/>
      </c>
      <c r="F1699" t="str">
        <f>""</f>
        <v/>
      </c>
      <c r="H1699" t="str">
        <f t="shared" si="40"/>
        <v>SOCIAL SECURITY TAXES</v>
      </c>
    </row>
    <row r="1700" spans="5:8" x14ac:dyDescent="0.25">
      <c r="E1700" t="str">
        <f>""</f>
        <v/>
      </c>
      <c r="F1700" t="str">
        <f>""</f>
        <v/>
      </c>
      <c r="H1700" t="str">
        <f t="shared" si="40"/>
        <v>SOCIAL SECURITY TAXES</v>
      </c>
    </row>
    <row r="1701" spans="5:8" x14ac:dyDescent="0.25">
      <c r="E1701" t="str">
        <f>""</f>
        <v/>
      </c>
      <c r="F1701" t="str">
        <f>""</f>
        <v/>
      </c>
      <c r="H1701" t="str">
        <f t="shared" si="40"/>
        <v>SOCIAL SECURITY TAXES</v>
      </c>
    </row>
    <row r="1702" spans="5:8" x14ac:dyDescent="0.25">
      <c r="E1702" t="str">
        <f>""</f>
        <v/>
      </c>
      <c r="F1702" t="str">
        <f>""</f>
        <v/>
      </c>
      <c r="H1702" t="str">
        <f t="shared" si="40"/>
        <v>SOCIAL SECURITY TAXES</v>
      </c>
    </row>
    <row r="1703" spans="5:8" x14ac:dyDescent="0.25">
      <c r="E1703" t="str">
        <f>""</f>
        <v/>
      </c>
      <c r="F1703" t="str">
        <f>""</f>
        <v/>
      </c>
      <c r="H1703" t="str">
        <f t="shared" si="40"/>
        <v>SOCIAL SECURITY TAXES</v>
      </c>
    </row>
    <row r="1704" spans="5:8" x14ac:dyDescent="0.25">
      <c r="E1704" t="str">
        <f>""</f>
        <v/>
      </c>
      <c r="F1704" t="str">
        <f>""</f>
        <v/>
      </c>
      <c r="H1704" t="str">
        <f t="shared" si="40"/>
        <v>SOCIAL SECURITY TAXES</v>
      </c>
    </row>
    <row r="1705" spans="5:8" x14ac:dyDescent="0.25">
      <c r="E1705" t="str">
        <f>""</f>
        <v/>
      </c>
      <c r="F1705" t="str">
        <f>""</f>
        <v/>
      </c>
      <c r="H1705" t="str">
        <f t="shared" si="40"/>
        <v>SOCIAL SECURITY TAXES</v>
      </c>
    </row>
    <row r="1706" spans="5:8" x14ac:dyDescent="0.25">
      <c r="E1706" t="str">
        <f>""</f>
        <v/>
      </c>
      <c r="F1706" t="str">
        <f>""</f>
        <v/>
      </c>
      <c r="H1706" t="str">
        <f t="shared" si="40"/>
        <v>SOCIAL SECURITY TAXES</v>
      </c>
    </row>
    <row r="1707" spans="5:8" x14ac:dyDescent="0.25">
      <c r="E1707" t="str">
        <f>""</f>
        <v/>
      </c>
      <c r="F1707" t="str">
        <f>""</f>
        <v/>
      </c>
      <c r="H1707" t="str">
        <f t="shared" si="40"/>
        <v>SOCIAL SECURITY TAXES</v>
      </c>
    </row>
    <row r="1708" spans="5:8" x14ac:dyDescent="0.25">
      <c r="E1708" t="str">
        <f>""</f>
        <v/>
      </c>
      <c r="F1708" t="str">
        <f>""</f>
        <v/>
      </c>
      <c r="H1708" t="str">
        <f t="shared" si="40"/>
        <v>SOCIAL SECURITY TAXES</v>
      </c>
    </row>
    <row r="1709" spans="5:8" x14ac:dyDescent="0.25">
      <c r="E1709" t="str">
        <f>""</f>
        <v/>
      </c>
      <c r="F1709" t="str">
        <f>""</f>
        <v/>
      </c>
      <c r="H1709" t="str">
        <f t="shared" si="40"/>
        <v>SOCIAL SECURITY TAXES</v>
      </c>
    </row>
    <row r="1710" spans="5:8" x14ac:dyDescent="0.25">
      <c r="E1710" t="str">
        <f>""</f>
        <v/>
      </c>
      <c r="F1710" t="str">
        <f>""</f>
        <v/>
      </c>
      <c r="H1710" t="str">
        <f t="shared" si="40"/>
        <v>SOCIAL SECURITY TAXES</v>
      </c>
    </row>
    <row r="1711" spans="5:8" x14ac:dyDescent="0.25">
      <c r="E1711" t="str">
        <f>""</f>
        <v/>
      </c>
      <c r="F1711" t="str">
        <f>""</f>
        <v/>
      </c>
      <c r="H1711" t="str">
        <f t="shared" si="40"/>
        <v>SOCIAL SECURITY TAXES</v>
      </c>
    </row>
    <row r="1712" spans="5:8" x14ac:dyDescent="0.25">
      <c r="E1712" t="str">
        <f>""</f>
        <v/>
      </c>
      <c r="F1712" t="str">
        <f>""</f>
        <v/>
      </c>
      <c r="H1712" t="str">
        <f t="shared" si="40"/>
        <v>SOCIAL SECURITY TAXES</v>
      </c>
    </row>
    <row r="1713" spans="5:8" x14ac:dyDescent="0.25">
      <c r="E1713" t="str">
        <f>""</f>
        <v/>
      </c>
      <c r="F1713" t="str">
        <f>""</f>
        <v/>
      </c>
      <c r="H1713" t="str">
        <f t="shared" si="40"/>
        <v>SOCIAL SECURITY TAXES</v>
      </c>
    </row>
    <row r="1714" spans="5:8" x14ac:dyDescent="0.25">
      <c r="E1714" t="str">
        <f>""</f>
        <v/>
      </c>
      <c r="F1714" t="str">
        <f>""</f>
        <v/>
      </c>
      <c r="H1714" t="str">
        <f t="shared" si="40"/>
        <v>SOCIAL SECURITY TAXES</v>
      </c>
    </row>
    <row r="1715" spans="5:8" x14ac:dyDescent="0.25">
      <c r="E1715" t="str">
        <f>""</f>
        <v/>
      </c>
      <c r="F1715" t="str">
        <f>""</f>
        <v/>
      </c>
      <c r="H1715" t="str">
        <f t="shared" si="40"/>
        <v>SOCIAL SECURITY TAXES</v>
      </c>
    </row>
    <row r="1716" spans="5:8" x14ac:dyDescent="0.25">
      <c r="E1716" t="str">
        <f>""</f>
        <v/>
      </c>
      <c r="F1716" t="str">
        <f>""</f>
        <v/>
      </c>
      <c r="H1716" t="str">
        <f t="shared" si="40"/>
        <v>SOCIAL SECURITY TAXES</v>
      </c>
    </row>
    <row r="1717" spans="5:8" x14ac:dyDescent="0.25">
      <c r="E1717" t="str">
        <f>""</f>
        <v/>
      </c>
      <c r="F1717" t="str">
        <f>""</f>
        <v/>
      </c>
      <c r="H1717" t="str">
        <f t="shared" si="40"/>
        <v>SOCIAL SECURITY TAXES</v>
      </c>
    </row>
    <row r="1718" spans="5:8" x14ac:dyDescent="0.25">
      <c r="E1718" t="str">
        <f>""</f>
        <v/>
      </c>
      <c r="F1718" t="str">
        <f>""</f>
        <v/>
      </c>
      <c r="H1718" t="str">
        <f t="shared" si="40"/>
        <v>SOCIAL SECURITY TAXES</v>
      </c>
    </row>
    <row r="1719" spans="5:8" x14ac:dyDescent="0.25">
      <c r="E1719" t="str">
        <f>""</f>
        <v/>
      </c>
      <c r="F1719" t="str">
        <f>""</f>
        <v/>
      </c>
      <c r="H1719" t="str">
        <f t="shared" si="40"/>
        <v>SOCIAL SECURITY TAXES</v>
      </c>
    </row>
    <row r="1720" spans="5:8" x14ac:dyDescent="0.25">
      <c r="E1720" t="str">
        <f>""</f>
        <v/>
      </c>
      <c r="F1720" t="str">
        <f>""</f>
        <v/>
      </c>
      <c r="H1720" t="str">
        <f t="shared" si="40"/>
        <v>SOCIAL SECURITY TAXES</v>
      </c>
    </row>
    <row r="1721" spans="5:8" x14ac:dyDescent="0.25">
      <c r="E1721" t="str">
        <f>""</f>
        <v/>
      </c>
      <c r="F1721" t="str">
        <f>""</f>
        <v/>
      </c>
      <c r="H1721" t="str">
        <f t="shared" si="40"/>
        <v>SOCIAL SECURITY TAXES</v>
      </c>
    </row>
    <row r="1722" spans="5:8" x14ac:dyDescent="0.25">
      <c r="E1722" t="str">
        <f>""</f>
        <v/>
      </c>
      <c r="F1722" t="str">
        <f>""</f>
        <v/>
      </c>
      <c r="H1722" t="str">
        <f t="shared" si="40"/>
        <v>SOCIAL SECURITY TAXES</v>
      </c>
    </row>
    <row r="1723" spans="5:8" x14ac:dyDescent="0.25">
      <c r="E1723" t="str">
        <f>""</f>
        <v/>
      </c>
      <c r="F1723" t="str">
        <f>""</f>
        <v/>
      </c>
      <c r="H1723" t="str">
        <f t="shared" si="40"/>
        <v>SOCIAL SECURITY TAXES</v>
      </c>
    </row>
    <row r="1724" spans="5:8" x14ac:dyDescent="0.25">
      <c r="E1724" t="str">
        <f>""</f>
        <v/>
      </c>
      <c r="F1724" t="str">
        <f>""</f>
        <v/>
      </c>
      <c r="H1724" t="str">
        <f t="shared" si="40"/>
        <v>SOCIAL SECURITY TAXES</v>
      </c>
    </row>
    <row r="1725" spans="5:8" x14ac:dyDescent="0.25">
      <c r="E1725" t="str">
        <f>""</f>
        <v/>
      </c>
      <c r="F1725" t="str">
        <f>""</f>
        <v/>
      </c>
      <c r="H1725" t="str">
        <f t="shared" si="40"/>
        <v>SOCIAL SECURITY TAXES</v>
      </c>
    </row>
    <row r="1726" spans="5:8" x14ac:dyDescent="0.25">
      <c r="E1726" t="str">
        <f>""</f>
        <v/>
      </c>
      <c r="F1726" t="str">
        <f>""</f>
        <v/>
      </c>
      <c r="H1726" t="str">
        <f t="shared" si="40"/>
        <v>SOCIAL SECURITY TAXES</v>
      </c>
    </row>
    <row r="1727" spans="5:8" x14ac:dyDescent="0.25">
      <c r="E1727" t="str">
        <f>""</f>
        <v/>
      </c>
      <c r="F1727" t="str">
        <f>""</f>
        <v/>
      </c>
      <c r="H1727" t="str">
        <f t="shared" ref="H1727:H1751" si="41">"SOCIAL SECURITY TAXES"</f>
        <v>SOCIAL SECURITY TAXES</v>
      </c>
    </row>
    <row r="1728" spans="5:8" x14ac:dyDescent="0.25">
      <c r="E1728" t="str">
        <f>""</f>
        <v/>
      </c>
      <c r="F1728" t="str">
        <f>""</f>
        <v/>
      </c>
      <c r="H1728" t="str">
        <f t="shared" si="41"/>
        <v>SOCIAL SECURITY TAXES</v>
      </c>
    </row>
    <row r="1729" spans="5:8" x14ac:dyDescent="0.25">
      <c r="E1729" t="str">
        <f>""</f>
        <v/>
      </c>
      <c r="F1729" t="str">
        <f>""</f>
        <v/>
      </c>
      <c r="H1729" t="str">
        <f t="shared" si="41"/>
        <v>SOCIAL SECURITY TAXES</v>
      </c>
    </row>
    <row r="1730" spans="5:8" x14ac:dyDescent="0.25">
      <c r="E1730" t="str">
        <f>""</f>
        <v/>
      </c>
      <c r="F1730" t="str">
        <f>""</f>
        <v/>
      </c>
      <c r="H1730" t="str">
        <f t="shared" si="41"/>
        <v>SOCIAL SECURITY TAXES</v>
      </c>
    </row>
    <row r="1731" spans="5:8" x14ac:dyDescent="0.25">
      <c r="E1731" t="str">
        <f>""</f>
        <v/>
      </c>
      <c r="F1731" t="str">
        <f>""</f>
        <v/>
      </c>
      <c r="H1731" t="str">
        <f t="shared" si="41"/>
        <v>SOCIAL SECURITY TAXES</v>
      </c>
    </row>
    <row r="1732" spans="5:8" x14ac:dyDescent="0.25">
      <c r="E1732" t="str">
        <f>""</f>
        <v/>
      </c>
      <c r="F1732" t="str">
        <f>""</f>
        <v/>
      </c>
      <c r="H1732" t="str">
        <f t="shared" si="41"/>
        <v>SOCIAL SECURITY TAXES</v>
      </c>
    </row>
    <row r="1733" spans="5:8" x14ac:dyDescent="0.25">
      <c r="E1733" t="str">
        <f>""</f>
        <v/>
      </c>
      <c r="F1733" t="str">
        <f>""</f>
        <v/>
      </c>
      <c r="H1733" t="str">
        <f t="shared" si="41"/>
        <v>SOCIAL SECURITY TAXES</v>
      </c>
    </row>
    <row r="1734" spans="5:8" x14ac:dyDescent="0.25">
      <c r="E1734" t="str">
        <f>""</f>
        <v/>
      </c>
      <c r="F1734" t="str">
        <f>""</f>
        <v/>
      </c>
      <c r="H1734" t="str">
        <f t="shared" si="41"/>
        <v>SOCIAL SECURITY TAXES</v>
      </c>
    </row>
    <row r="1735" spans="5:8" x14ac:dyDescent="0.25">
      <c r="E1735" t="str">
        <f>""</f>
        <v/>
      </c>
      <c r="F1735" t="str">
        <f>""</f>
        <v/>
      </c>
      <c r="H1735" t="str">
        <f t="shared" si="41"/>
        <v>SOCIAL SECURITY TAXES</v>
      </c>
    </row>
    <row r="1736" spans="5:8" x14ac:dyDescent="0.25">
      <c r="E1736" t="str">
        <f>""</f>
        <v/>
      </c>
      <c r="F1736" t="str">
        <f>""</f>
        <v/>
      </c>
      <c r="H1736" t="str">
        <f t="shared" si="41"/>
        <v>SOCIAL SECURITY TAXES</v>
      </c>
    </row>
    <row r="1737" spans="5:8" x14ac:dyDescent="0.25">
      <c r="E1737" t="str">
        <f>""</f>
        <v/>
      </c>
      <c r="F1737" t="str">
        <f>""</f>
        <v/>
      </c>
      <c r="H1737" t="str">
        <f t="shared" si="41"/>
        <v>SOCIAL SECURITY TAXES</v>
      </c>
    </row>
    <row r="1738" spans="5:8" x14ac:dyDescent="0.25">
      <c r="E1738" t="str">
        <f>""</f>
        <v/>
      </c>
      <c r="F1738" t="str">
        <f>""</f>
        <v/>
      </c>
      <c r="H1738" t="str">
        <f t="shared" si="41"/>
        <v>SOCIAL SECURITY TAXES</v>
      </c>
    </row>
    <row r="1739" spans="5:8" x14ac:dyDescent="0.25">
      <c r="E1739" t="str">
        <f>""</f>
        <v/>
      </c>
      <c r="F1739" t="str">
        <f>""</f>
        <v/>
      </c>
      <c r="H1739" t="str">
        <f t="shared" si="41"/>
        <v>SOCIAL SECURITY TAXES</v>
      </c>
    </row>
    <row r="1740" spans="5:8" x14ac:dyDescent="0.25">
      <c r="E1740" t="str">
        <f>""</f>
        <v/>
      </c>
      <c r="F1740" t="str">
        <f>""</f>
        <v/>
      </c>
      <c r="H1740" t="str">
        <f t="shared" si="41"/>
        <v>SOCIAL SECURITY TAXES</v>
      </c>
    </row>
    <row r="1741" spans="5:8" x14ac:dyDescent="0.25">
      <c r="E1741" t="str">
        <f>""</f>
        <v/>
      </c>
      <c r="F1741" t="str">
        <f>""</f>
        <v/>
      </c>
      <c r="H1741" t="str">
        <f t="shared" si="41"/>
        <v>SOCIAL SECURITY TAXES</v>
      </c>
    </row>
    <row r="1742" spans="5:8" x14ac:dyDescent="0.25">
      <c r="E1742" t="str">
        <f>""</f>
        <v/>
      </c>
      <c r="F1742" t="str">
        <f>""</f>
        <v/>
      </c>
      <c r="H1742" t="str">
        <f t="shared" si="41"/>
        <v>SOCIAL SECURITY TAXES</v>
      </c>
    </row>
    <row r="1743" spans="5:8" x14ac:dyDescent="0.25">
      <c r="E1743" t="str">
        <f>""</f>
        <v/>
      </c>
      <c r="F1743" t="str">
        <f>""</f>
        <v/>
      </c>
      <c r="H1743" t="str">
        <f t="shared" si="41"/>
        <v>SOCIAL SECURITY TAXES</v>
      </c>
    </row>
    <row r="1744" spans="5:8" x14ac:dyDescent="0.25">
      <c r="E1744" t="str">
        <f>""</f>
        <v/>
      </c>
      <c r="F1744" t="str">
        <f>""</f>
        <v/>
      </c>
      <c r="H1744" t="str">
        <f t="shared" si="41"/>
        <v>SOCIAL SECURITY TAXES</v>
      </c>
    </row>
    <row r="1745" spans="5:8" x14ac:dyDescent="0.25">
      <c r="E1745" t="str">
        <f>""</f>
        <v/>
      </c>
      <c r="F1745" t="str">
        <f>""</f>
        <v/>
      </c>
      <c r="H1745" t="str">
        <f t="shared" si="41"/>
        <v>SOCIAL SECURITY TAXES</v>
      </c>
    </row>
    <row r="1746" spans="5:8" x14ac:dyDescent="0.25">
      <c r="E1746" t="str">
        <f>""</f>
        <v/>
      </c>
      <c r="F1746" t="str">
        <f>""</f>
        <v/>
      </c>
      <c r="H1746" t="str">
        <f t="shared" si="41"/>
        <v>SOCIAL SECURITY TAXES</v>
      </c>
    </row>
    <row r="1747" spans="5:8" x14ac:dyDescent="0.25">
      <c r="E1747" t="str">
        <f>""</f>
        <v/>
      </c>
      <c r="F1747" t="str">
        <f>""</f>
        <v/>
      </c>
      <c r="H1747" t="str">
        <f t="shared" si="41"/>
        <v>SOCIAL SECURITY TAXES</v>
      </c>
    </row>
    <row r="1748" spans="5:8" x14ac:dyDescent="0.25">
      <c r="E1748" t="str">
        <f>"T3 202103031934"</f>
        <v>T3 202103031934</v>
      </c>
      <c r="F1748" t="str">
        <f>"SOCIAL SECURITY TAXES"</f>
        <v>SOCIAL SECURITY TAXES</v>
      </c>
      <c r="G1748" s="3">
        <v>4201.5600000000004</v>
      </c>
      <c r="H1748" t="str">
        <f t="shared" si="41"/>
        <v>SOCIAL SECURITY TAXES</v>
      </c>
    </row>
    <row r="1749" spans="5:8" x14ac:dyDescent="0.25">
      <c r="E1749" t="str">
        <f>""</f>
        <v/>
      </c>
      <c r="F1749" t="str">
        <f>""</f>
        <v/>
      </c>
      <c r="H1749" t="str">
        <f t="shared" si="41"/>
        <v>SOCIAL SECURITY TAXES</v>
      </c>
    </row>
    <row r="1750" spans="5:8" x14ac:dyDescent="0.25">
      <c r="E1750" t="str">
        <f>"T3 202103031935"</f>
        <v>T3 202103031935</v>
      </c>
      <c r="F1750" t="str">
        <f>"SOCIAL SECURITY TAXES"</f>
        <v>SOCIAL SECURITY TAXES</v>
      </c>
      <c r="G1750" s="3">
        <v>4790.12</v>
      </c>
      <c r="H1750" t="str">
        <f t="shared" si="41"/>
        <v>SOCIAL SECURITY TAXES</v>
      </c>
    </row>
    <row r="1751" spans="5:8" x14ac:dyDescent="0.25">
      <c r="E1751" t="str">
        <f>""</f>
        <v/>
      </c>
      <c r="F1751" t="str">
        <f>""</f>
        <v/>
      </c>
      <c r="H1751" t="str">
        <f t="shared" si="41"/>
        <v>SOCIAL SECURITY TAXES</v>
      </c>
    </row>
    <row r="1752" spans="5:8" x14ac:dyDescent="0.25">
      <c r="E1752" t="str">
        <f>"T4 202103031933"</f>
        <v>T4 202103031933</v>
      </c>
      <c r="F1752" t="str">
        <f>"MEDICARE TAXES"</f>
        <v>MEDICARE TAXES</v>
      </c>
      <c r="G1752" s="3">
        <v>28264.080000000002</v>
      </c>
      <c r="H1752" t="str">
        <f t="shared" ref="H1752:H1783" si="42">"MEDICARE TAXES"</f>
        <v>MEDICARE TAXES</v>
      </c>
    </row>
    <row r="1753" spans="5:8" x14ac:dyDescent="0.25">
      <c r="E1753" t="str">
        <f>""</f>
        <v/>
      </c>
      <c r="F1753" t="str">
        <f>""</f>
        <v/>
      </c>
      <c r="H1753" t="str">
        <f t="shared" si="42"/>
        <v>MEDICARE TAXES</v>
      </c>
    </row>
    <row r="1754" spans="5:8" x14ac:dyDescent="0.25">
      <c r="E1754" t="str">
        <f>""</f>
        <v/>
      </c>
      <c r="F1754" t="str">
        <f>""</f>
        <v/>
      </c>
      <c r="H1754" t="str">
        <f t="shared" si="42"/>
        <v>MEDICARE TAXES</v>
      </c>
    </row>
    <row r="1755" spans="5:8" x14ac:dyDescent="0.25">
      <c r="E1755" t="str">
        <f>""</f>
        <v/>
      </c>
      <c r="F1755" t="str">
        <f>""</f>
        <v/>
      </c>
      <c r="H1755" t="str">
        <f t="shared" si="42"/>
        <v>MEDICARE TAXES</v>
      </c>
    </row>
    <row r="1756" spans="5:8" x14ac:dyDescent="0.25">
      <c r="E1756" t="str">
        <f>""</f>
        <v/>
      </c>
      <c r="F1756" t="str">
        <f>""</f>
        <v/>
      </c>
      <c r="H1756" t="str">
        <f t="shared" si="42"/>
        <v>MEDICARE TAXES</v>
      </c>
    </row>
    <row r="1757" spans="5:8" x14ac:dyDescent="0.25">
      <c r="E1757" t="str">
        <f>""</f>
        <v/>
      </c>
      <c r="F1757" t="str">
        <f>""</f>
        <v/>
      </c>
      <c r="H1757" t="str">
        <f t="shared" si="42"/>
        <v>MEDICARE TAXES</v>
      </c>
    </row>
    <row r="1758" spans="5:8" x14ac:dyDescent="0.25">
      <c r="E1758" t="str">
        <f>""</f>
        <v/>
      </c>
      <c r="F1758" t="str">
        <f>""</f>
        <v/>
      </c>
      <c r="H1758" t="str">
        <f t="shared" si="42"/>
        <v>MEDICARE TAXES</v>
      </c>
    </row>
    <row r="1759" spans="5:8" x14ac:dyDescent="0.25">
      <c r="E1759" t="str">
        <f>""</f>
        <v/>
      </c>
      <c r="F1759" t="str">
        <f>""</f>
        <v/>
      </c>
      <c r="H1759" t="str">
        <f t="shared" si="42"/>
        <v>MEDICARE TAXES</v>
      </c>
    </row>
    <row r="1760" spans="5:8" x14ac:dyDescent="0.25">
      <c r="E1760" t="str">
        <f>""</f>
        <v/>
      </c>
      <c r="F1760" t="str">
        <f>""</f>
        <v/>
      </c>
      <c r="H1760" t="str">
        <f t="shared" si="42"/>
        <v>MEDICARE TAXES</v>
      </c>
    </row>
    <row r="1761" spans="5:8" x14ac:dyDescent="0.25">
      <c r="E1761" t="str">
        <f>""</f>
        <v/>
      </c>
      <c r="F1761" t="str">
        <f>""</f>
        <v/>
      </c>
      <c r="H1761" t="str">
        <f t="shared" si="42"/>
        <v>MEDICARE TAXES</v>
      </c>
    </row>
    <row r="1762" spans="5:8" x14ac:dyDescent="0.25">
      <c r="E1762" t="str">
        <f>""</f>
        <v/>
      </c>
      <c r="F1762" t="str">
        <f>""</f>
        <v/>
      </c>
      <c r="H1762" t="str">
        <f t="shared" si="42"/>
        <v>MEDICARE TAXES</v>
      </c>
    </row>
    <row r="1763" spans="5:8" x14ac:dyDescent="0.25">
      <c r="E1763" t="str">
        <f>""</f>
        <v/>
      </c>
      <c r="F1763" t="str">
        <f>""</f>
        <v/>
      </c>
      <c r="H1763" t="str">
        <f t="shared" si="42"/>
        <v>MEDICARE TAXES</v>
      </c>
    </row>
    <row r="1764" spans="5:8" x14ac:dyDescent="0.25">
      <c r="E1764" t="str">
        <f>""</f>
        <v/>
      </c>
      <c r="F1764" t="str">
        <f>""</f>
        <v/>
      </c>
      <c r="H1764" t="str">
        <f t="shared" si="42"/>
        <v>MEDICARE TAXES</v>
      </c>
    </row>
    <row r="1765" spans="5:8" x14ac:dyDescent="0.25">
      <c r="E1765" t="str">
        <f>""</f>
        <v/>
      </c>
      <c r="F1765" t="str">
        <f>""</f>
        <v/>
      </c>
      <c r="H1765" t="str">
        <f t="shared" si="42"/>
        <v>MEDICARE TAXES</v>
      </c>
    </row>
    <row r="1766" spans="5:8" x14ac:dyDescent="0.25">
      <c r="E1766" t="str">
        <f>""</f>
        <v/>
      </c>
      <c r="F1766" t="str">
        <f>""</f>
        <v/>
      </c>
      <c r="H1766" t="str">
        <f t="shared" si="42"/>
        <v>MEDICARE TAXES</v>
      </c>
    </row>
    <row r="1767" spans="5:8" x14ac:dyDescent="0.25">
      <c r="E1767" t="str">
        <f>""</f>
        <v/>
      </c>
      <c r="F1767" t="str">
        <f>""</f>
        <v/>
      </c>
      <c r="H1767" t="str">
        <f t="shared" si="42"/>
        <v>MEDICARE TAXES</v>
      </c>
    </row>
    <row r="1768" spans="5:8" x14ac:dyDescent="0.25">
      <c r="E1768" t="str">
        <f>""</f>
        <v/>
      </c>
      <c r="F1768" t="str">
        <f>""</f>
        <v/>
      </c>
      <c r="H1768" t="str">
        <f t="shared" si="42"/>
        <v>MEDICARE TAXES</v>
      </c>
    </row>
    <row r="1769" spans="5:8" x14ac:dyDescent="0.25">
      <c r="E1769" t="str">
        <f>""</f>
        <v/>
      </c>
      <c r="F1769" t="str">
        <f>""</f>
        <v/>
      </c>
      <c r="H1769" t="str">
        <f t="shared" si="42"/>
        <v>MEDICARE TAXES</v>
      </c>
    </row>
    <row r="1770" spans="5:8" x14ac:dyDescent="0.25">
      <c r="E1770" t="str">
        <f>""</f>
        <v/>
      </c>
      <c r="F1770" t="str">
        <f>""</f>
        <v/>
      </c>
      <c r="H1770" t="str">
        <f t="shared" si="42"/>
        <v>MEDICARE TAXES</v>
      </c>
    </row>
    <row r="1771" spans="5:8" x14ac:dyDescent="0.25">
      <c r="E1771" t="str">
        <f>""</f>
        <v/>
      </c>
      <c r="F1771" t="str">
        <f>""</f>
        <v/>
      </c>
      <c r="H1771" t="str">
        <f t="shared" si="42"/>
        <v>MEDICARE TAXES</v>
      </c>
    </row>
    <row r="1772" spans="5:8" x14ac:dyDescent="0.25">
      <c r="E1772" t="str">
        <f>""</f>
        <v/>
      </c>
      <c r="F1772" t="str">
        <f>""</f>
        <v/>
      </c>
      <c r="H1772" t="str">
        <f t="shared" si="42"/>
        <v>MEDICARE TAXES</v>
      </c>
    </row>
    <row r="1773" spans="5:8" x14ac:dyDescent="0.25">
      <c r="E1773" t="str">
        <f>""</f>
        <v/>
      </c>
      <c r="F1773" t="str">
        <f>""</f>
        <v/>
      </c>
      <c r="H1773" t="str">
        <f t="shared" si="42"/>
        <v>MEDICARE TAXES</v>
      </c>
    </row>
    <row r="1774" spans="5:8" x14ac:dyDescent="0.25">
      <c r="E1774" t="str">
        <f>""</f>
        <v/>
      </c>
      <c r="F1774" t="str">
        <f>""</f>
        <v/>
      </c>
      <c r="H1774" t="str">
        <f t="shared" si="42"/>
        <v>MEDICARE TAXES</v>
      </c>
    </row>
    <row r="1775" spans="5:8" x14ac:dyDescent="0.25">
      <c r="E1775" t="str">
        <f>""</f>
        <v/>
      </c>
      <c r="F1775" t="str">
        <f>""</f>
        <v/>
      </c>
      <c r="H1775" t="str">
        <f t="shared" si="42"/>
        <v>MEDICARE TAXES</v>
      </c>
    </row>
    <row r="1776" spans="5:8" x14ac:dyDescent="0.25">
      <c r="E1776" t="str">
        <f>""</f>
        <v/>
      </c>
      <c r="F1776" t="str">
        <f>""</f>
        <v/>
      </c>
      <c r="H1776" t="str">
        <f t="shared" si="42"/>
        <v>MEDICARE TAXES</v>
      </c>
    </row>
    <row r="1777" spans="5:8" x14ac:dyDescent="0.25">
      <c r="E1777" t="str">
        <f>""</f>
        <v/>
      </c>
      <c r="F1777" t="str">
        <f>""</f>
        <v/>
      </c>
      <c r="H1777" t="str">
        <f t="shared" si="42"/>
        <v>MEDICARE TAXES</v>
      </c>
    </row>
    <row r="1778" spans="5:8" x14ac:dyDescent="0.25">
      <c r="E1778" t="str">
        <f>""</f>
        <v/>
      </c>
      <c r="F1778" t="str">
        <f>""</f>
        <v/>
      </c>
      <c r="H1778" t="str">
        <f t="shared" si="42"/>
        <v>MEDICARE TAXES</v>
      </c>
    </row>
    <row r="1779" spans="5:8" x14ac:dyDescent="0.25">
      <c r="E1779" t="str">
        <f>""</f>
        <v/>
      </c>
      <c r="F1779" t="str">
        <f>""</f>
        <v/>
      </c>
      <c r="H1779" t="str">
        <f t="shared" si="42"/>
        <v>MEDICARE TAXES</v>
      </c>
    </row>
    <row r="1780" spans="5:8" x14ac:dyDescent="0.25">
      <c r="E1780" t="str">
        <f>""</f>
        <v/>
      </c>
      <c r="F1780" t="str">
        <f>""</f>
        <v/>
      </c>
      <c r="H1780" t="str">
        <f t="shared" si="42"/>
        <v>MEDICARE TAXES</v>
      </c>
    </row>
    <row r="1781" spans="5:8" x14ac:dyDescent="0.25">
      <c r="E1781" t="str">
        <f>""</f>
        <v/>
      </c>
      <c r="F1781" t="str">
        <f>""</f>
        <v/>
      </c>
      <c r="H1781" t="str">
        <f t="shared" si="42"/>
        <v>MEDICARE TAXES</v>
      </c>
    </row>
    <row r="1782" spans="5:8" x14ac:dyDescent="0.25">
      <c r="E1782" t="str">
        <f>""</f>
        <v/>
      </c>
      <c r="F1782" t="str">
        <f>""</f>
        <v/>
      </c>
      <c r="H1782" t="str">
        <f t="shared" si="42"/>
        <v>MEDICARE TAXES</v>
      </c>
    </row>
    <row r="1783" spans="5:8" x14ac:dyDescent="0.25">
      <c r="E1783" t="str">
        <f>""</f>
        <v/>
      </c>
      <c r="F1783" t="str">
        <f>""</f>
        <v/>
      </c>
      <c r="H1783" t="str">
        <f t="shared" si="42"/>
        <v>MEDICARE TAXES</v>
      </c>
    </row>
    <row r="1784" spans="5:8" x14ac:dyDescent="0.25">
      <c r="E1784" t="str">
        <f>""</f>
        <v/>
      </c>
      <c r="F1784" t="str">
        <f>""</f>
        <v/>
      </c>
      <c r="H1784" t="str">
        <f t="shared" ref="H1784:H1808" si="43">"MEDICARE TAXES"</f>
        <v>MEDICARE TAXES</v>
      </c>
    </row>
    <row r="1785" spans="5:8" x14ac:dyDescent="0.25">
      <c r="E1785" t="str">
        <f>""</f>
        <v/>
      </c>
      <c r="F1785" t="str">
        <f>""</f>
        <v/>
      </c>
      <c r="H1785" t="str">
        <f t="shared" si="43"/>
        <v>MEDICARE TAXES</v>
      </c>
    </row>
    <row r="1786" spans="5:8" x14ac:dyDescent="0.25">
      <c r="E1786" t="str">
        <f>""</f>
        <v/>
      </c>
      <c r="F1786" t="str">
        <f>""</f>
        <v/>
      </c>
      <c r="H1786" t="str">
        <f t="shared" si="43"/>
        <v>MEDICARE TAXES</v>
      </c>
    </row>
    <row r="1787" spans="5:8" x14ac:dyDescent="0.25">
      <c r="E1787" t="str">
        <f>""</f>
        <v/>
      </c>
      <c r="F1787" t="str">
        <f>""</f>
        <v/>
      </c>
      <c r="H1787" t="str">
        <f t="shared" si="43"/>
        <v>MEDICARE TAXES</v>
      </c>
    </row>
    <row r="1788" spans="5:8" x14ac:dyDescent="0.25">
      <c r="E1788" t="str">
        <f>""</f>
        <v/>
      </c>
      <c r="F1788" t="str">
        <f>""</f>
        <v/>
      </c>
      <c r="H1788" t="str">
        <f t="shared" si="43"/>
        <v>MEDICARE TAXES</v>
      </c>
    </row>
    <row r="1789" spans="5:8" x14ac:dyDescent="0.25">
      <c r="E1789" t="str">
        <f>""</f>
        <v/>
      </c>
      <c r="F1789" t="str">
        <f>""</f>
        <v/>
      </c>
      <c r="H1789" t="str">
        <f t="shared" si="43"/>
        <v>MEDICARE TAXES</v>
      </c>
    </row>
    <row r="1790" spans="5:8" x14ac:dyDescent="0.25">
      <c r="E1790" t="str">
        <f>""</f>
        <v/>
      </c>
      <c r="F1790" t="str">
        <f>""</f>
        <v/>
      </c>
      <c r="H1790" t="str">
        <f t="shared" si="43"/>
        <v>MEDICARE TAXES</v>
      </c>
    </row>
    <row r="1791" spans="5:8" x14ac:dyDescent="0.25">
      <c r="E1791" t="str">
        <f>""</f>
        <v/>
      </c>
      <c r="F1791" t="str">
        <f>""</f>
        <v/>
      </c>
      <c r="H1791" t="str">
        <f t="shared" si="43"/>
        <v>MEDICARE TAXES</v>
      </c>
    </row>
    <row r="1792" spans="5:8" x14ac:dyDescent="0.25">
      <c r="E1792" t="str">
        <f>""</f>
        <v/>
      </c>
      <c r="F1792" t="str">
        <f>""</f>
        <v/>
      </c>
      <c r="H1792" t="str">
        <f t="shared" si="43"/>
        <v>MEDICARE TAXES</v>
      </c>
    </row>
    <row r="1793" spans="5:8" x14ac:dyDescent="0.25">
      <c r="E1793" t="str">
        <f>""</f>
        <v/>
      </c>
      <c r="F1793" t="str">
        <f>""</f>
        <v/>
      </c>
      <c r="H1793" t="str">
        <f t="shared" si="43"/>
        <v>MEDICARE TAXES</v>
      </c>
    </row>
    <row r="1794" spans="5:8" x14ac:dyDescent="0.25">
      <c r="E1794" t="str">
        <f>""</f>
        <v/>
      </c>
      <c r="F1794" t="str">
        <f>""</f>
        <v/>
      </c>
      <c r="H1794" t="str">
        <f t="shared" si="43"/>
        <v>MEDICARE TAXES</v>
      </c>
    </row>
    <row r="1795" spans="5:8" x14ac:dyDescent="0.25">
      <c r="E1795" t="str">
        <f>""</f>
        <v/>
      </c>
      <c r="F1795" t="str">
        <f>""</f>
        <v/>
      </c>
      <c r="H1795" t="str">
        <f t="shared" si="43"/>
        <v>MEDICARE TAXES</v>
      </c>
    </row>
    <row r="1796" spans="5:8" x14ac:dyDescent="0.25">
      <c r="E1796" t="str">
        <f>""</f>
        <v/>
      </c>
      <c r="F1796" t="str">
        <f>""</f>
        <v/>
      </c>
      <c r="H1796" t="str">
        <f t="shared" si="43"/>
        <v>MEDICARE TAXES</v>
      </c>
    </row>
    <row r="1797" spans="5:8" x14ac:dyDescent="0.25">
      <c r="E1797" t="str">
        <f>""</f>
        <v/>
      </c>
      <c r="F1797" t="str">
        <f>""</f>
        <v/>
      </c>
      <c r="H1797" t="str">
        <f t="shared" si="43"/>
        <v>MEDICARE TAXES</v>
      </c>
    </row>
    <row r="1798" spans="5:8" x14ac:dyDescent="0.25">
      <c r="E1798" t="str">
        <f>""</f>
        <v/>
      </c>
      <c r="F1798" t="str">
        <f>""</f>
        <v/>
      </c>
      <c r="H1798" t="str">
        <f t="shared" si="43"/>
        <v>MEDICARE TAXES</v>
      </c>
    </row>
    <row r="1799" spans="5:8" x14ac:dyDescent="0.25">
      <c r="E1799" t="str">
        <f>""</f>
        <v/>
      </c>
      <c r="F1799" t="str">
        <f>""</f>
        <v/>
      </c>
      <c r="H1799" t="str">
        <f t="shared" si="43"/>
        <v>MEDICARE TAXES</v>
      </c>
    </row>
    <row r="1800" spans="5:8" x14ac:dyDescent="0.25">
      <c r="E1800" t="str">
        <f>""</f>
        <v/>
      </c>
      <c r="F1800" t="str">
        <f>""</f>
        <v/>
      </c>
      <c r="H1800" t="str">
        <f t="shared" si="43"/>
        <v>MEDICARE TAXES</v>
      </c>
    </row>
    <row r="1801" spans="5:8" x14ac:dyDescent="0.25">
      <c r="E1801" t="str">
        <f>""</f>
        <v/>
      </c>
      <c r="F1801" t="str">
        <f>""</f>
        <v/>
      </c>
      <c r="H1801" t="str">
        <f t="shared" si="43"/>
        <v>MEDICARE TAXES</v>
      </c>
    </row>
    <row r="1802" spans="5:8" x14ac:dyDescent="0.25">
      <c r="E1802" t="str">
        <f>""</f>
        <v/>
      </c>
      <c r="F1802" t="str">
        <f>""</f>
        <v/>
      </c>
      <c r="H1802" t="str">
        <f t="shared" si="43"/>
        <v>MEDICARE TAXES</v>
      </c>
    </row>
    <row r="1803" spans="5:8" x14ac:dyDescent="0.25">
      <c r="E1803" t="str">
        <f>""</f>
        <v/>
      </c>
      <c r="F1803" t="str">
        <f>""</f>
        <v/>
      </c>
      <c r="H1803" t="str">
        <f t="shared" si="43"/>
        <v>MEDICARE TAXES</v>
      </c>
    </row>
    <row r="1804" spans="5:8" x14ac:dyDescent="0.25">
      <c r="E1804" t="str">
        <f>""</f>
        <v/>
      </c>
      <c r="F1804" t="str">
        <f>""</f>
        <v/>
      </c>
      <c r="H1804" t="str">
        <f t="shared" si="43"/>
        <v>MEDICARE TAXES</v>
      </c>
    </row>
    <row r="1805" spans="5:8" x14ac:dyDescent="0.25">
      <c r="E1805" t="str">
        <f>"T4 202103031934"</f>
        <v>T4 202103031934</v>
      </c>
      <c r="F1805" t="str">
        <f>"MEDICARE TAXES"</f>
        <v>MEDICARE TAXES</v>
      </c>
      <c r="G1805" s="3">
        <v>982.68</v>
      </c>
      <c r="H1805" t="str">
        <f t="shared" si="43"/>
        <v>MEDICARE TAXES</v>
      </c>
    </row>
    <row r="1806" spans="5:8" x14ac:dyDescent="0.25">
      <c r="E1806" t="str">
        <f>""</f>
        <v/>
      </c>
      <c r="F1806" t="str">
        <f>""</f>
        <v/>
      </c>
      <c r="H1806" t="str">
        <f t="shared" si="43"/>
        <v>MEDICARE TAXES</v>
      </c>
    </row>
    <row r="1807" spans="5:8" x14ac:dyDescent="0.25">
      <c r="E1807" t="str">
        <f>"T4 202103031935"</f>
        <v>T4 202103031935</v>
      </c>
      <c r="F1807" t="str">
        <f>"MEDICARE TAXES"</f>
        <v>MEDICARE TAXES</v>
      </c>
      <c r="G1807" s="3">
        <v>1120.32</v>
      </c>
      <c r="H1807" t="str">
        <f t="shared" si="43"/>
        <v>MEDICARE TAXES</v>
      </c>
    </row>
    <row r="1808" spans="5:8" x14ac:dyDescent="0.25">
      <c r="E1808" t="str">
        <f>""</f>
        <v/>
      </c>
      <c r="F1808" t="str">
        <f>""</f>
        <v/>
      </c>
      <c r="H1808" t="str">
        <f t="shared" si="43"/>
        <v>MEDICARE TAXES</v>
      </c>
    </row>
    <row r="1809" spans="1:8" x14ac:dyDescent="0.25">
      <c r="A1809" t="s">
        <v>347</v>
      </c>
      <c r="B1809">
        <v>951</v>
      </c>
      <c r="C1809" s="3">
        <v>246986.44</v>
      </c>
      <c r="D1809" s="6">
        <v>44274</v>
      </c>
      <c r="E1809" t="str">
        <f>"T1 202103172243"</f>
        <v>T1 202103172243</v>
      </c>
      <c r="F1809" t="str">
        <f>"FEDERAL WITHHOLDING"</f>
        <v>FEDERAL WITHHOLDING</v>
      </c>
      <c r="G1809" s="3">
        <v>82075.27</v>
      </c>
      <c r="H1809" t="str">
        <f>"FEDERAL WITHHOLDING"</f>
        <v>FEDERAL WITHHOLDING</v>
      </c>
    </row>
    <row r="1810" spans="1:8" x14ac:dyDescent="0.25">
      <c r="E1810" t="str">
        <f>"T1 202103172244"</f>
        <v>T1 202103172244</v>
      </c>
      <c r="F1810" t="str">
        <f>"FEDERAL WITHHOLDING"</f>
        <v>FEDERAL WITHHOLDING</v>
      </c>
      <c r="G1810" s="3">
        <v>2952.09</v>
      </c>
      <c r="H1810" t="str">
        <f>"FEDERAL WITHHOLDING"</f>
        <v>FEDERAL WITHHOLDING</v>
      </c>
    </row>
    <row r="1811" spans="1:8" x14ac:dyDescent="0.25">
      <c r="E1811" t="str">
        <f>"T1 202103172245"</f>
        <v>T1 202103172245</v>
      </c>
      <c r="F1811" t="str">
        <f>"FEDERAL WITHHOLDING"</f>
        <v>FEDERAL WITHHOLDING</v>
      </c>
      <c r="G1811" s="3">
        <v>3158.5</v>
      </c>
      <c r="H1811" t="str">
        <f>"FEDERAL WITHHOLDING"</f>
        <v>FEDERAL WITHHOLDING</v>
      </c>
    </row>
    <row r="1812" spans="1:8" x14ac:dyDescent="0.25">
      <c r="E1812" t="str">
        <f>"T3 202103172243"</f>
        <v>T3 202103172243</v>
      </c>
      <c r="F1812" t="str">
        <f>"SOCIAL SECURITY TAXES"</f>
        <v>SOCIAL SECURITY TAXES</v>
      </c>
      <c r="G1812" s="3">
        <v>119731.6</v>
      </c>
      <c r="H1812" t="str">
        <f t="shared" ref="H1812:H1843" si="44">"SOCIAL SECURITY TAXES"</f>
        <v>SOCIAL SECURITY TAXES</v>
      </c>
    </row>
    <row r="1813" spans="1:8" x14ac:dyDescent="0.25">
      <c r="E1813" t="str">
        <f>""</f>
        <v/>
      </c>
      <c r="F1813" t="str">
        <f>""</f>
        <v/>
      </c>
      <c r="H1813" t="str">
        <f t="shared" si="44"/>
        <v>SOCIAL SECURITY TAXES</v>
      </c>
    </row>
    <row r="1814" spans="1:8" x14ac:dyDescent="0.25">
      <c r="E1814" t="str">
        <f>""</f>
        <v/>
      </c>
      <c r="F1814" t="str">
        <f>""</f>
        <v/>
      </c>
      <c r="H1814" t="str">
        <f t="shared" si="44"/>
        <v>SOCIAL SECURITY TAXES</v>
      </c>
    </row>
    <row r="1815" spans="1:8" x14ac:dyDescent="0.25">
      <c r="E1815" t="str">
        <f>""</f>
        <v/>
      </c>
      <c r="F1815" t="str">
        <f>""</f>
        <v/>
      </c>
      <c r="H1815" t="str">
        <f t="shared" si="44"/>
        <v>SOCIAL SECURITY TAXES</v>
      </c>
    </row>
    <row r="1816" spans="1:8" x14ac:dyDescent="0.25">
      <c r="E1816" t="str">
        <f>""</f>
        <v/>
      </c>
      <c r="F1816" t="str">
        <f>""</f>
        <v/>
      </c>
      <c r="H1816" t="str">
        <f t="shared" si="44"/>
        <v>SOCIAL SECURITY TAXES</v>
      </c>
    </row>
    <row r="1817" spans="1:8" x14ac:dyDescent="0.25">
      <c r="E1817" t="str">
        <f>""</f>
        <v/>
      </c>
      <c r="F1817" t="str">
        <f>""</f>
        <v/>
      </c>
      <c r="H1817" t="str">
        <f t="shared" si="44"/>
        <v>SOCIAL SECURITY TAXES</v>
      </c>
    </row>
    <row r="1818" spans="1:8" x14ac:dyDescent="0.25">
      <c r="E1818" t="str">
        <f>""</f>
        <v/>
      </c>
      <c r="F1818" t="str">
        <f>""</f>
        <v/>
      </c>
      <c r="H1818" t="str">
        <f t="shared" si="44"/>
        <v>SOCIAL SECURITY TAXES</v>
      </c>
    </row>
    <row r="1819" spans="1:8" x14ac:dyDescent="0.25">
      <c r="E1819" t="str">
        <f>""</f>
        <v/>
      </c>
      <c r="F1819" t="str">
        <f>""</f>
        <v/>
      </c>
      <c r="H1819" t="str">
        <f t="shared" si="44"/>
        <v>SOCIAL SECURITY TAXES</v>
      </c>
    </row>
    <row r="1820" spans="1:8" x14ac:dyDescent="0.25">
      <c r="E1820" t="str">
        <f>""</f>
        <v/>
      </c>
      <c r="F1820" t="str">
        <f>""</f>
        <v/>
      </c>
      <c r="H1820" t="str">
        <f t="shared" si="44"/>
        <v>SOCIAL SECURITY TAXES</v>
      </c>
    </row>
    <row r="1821" spans="1:8" x14ac:dyDescent="0.25">
      <c r="E1821" t="str">
        <f>""</f>
        <v/>
      </c>
      <c r="F1821" t="str">
        <f>""</f>
        <v/>
      </c>
      <c r="H1821" t="str">
        <f t="shared" si="44"/>
        <v>SOCIAL SECURITY TAXES</v>
      </c>
    </row>
    <row r="1822" spans="1:8" x14ac:dyDescent="0.25">
      <c r="E1822" t="str">
        <f>""</f>
        <v/>
      </c>
      <c r="F1822" t="str">
        <f>""</f>
        <v/>
      </c>
      <c r="H1822" t="str">
        <f t="shared" si="44"/>
        <v>SOCIAL SECURITY TAXES</v>
      </c>
    </row>
    <row r="1823" spans="1:8" x14ac:dyDescent="0.25">
      <c r="E1823" t="str">
        <f>""</f>
        <v/>
      </c>
      <c r="F1823" t="str">
        <f>""</f>
        <v/>
      </c>
      <c r="H1823" t="str">
        <f t="shared" si="44"/>
        <v>SOCIAL SECURITY TAXES</v>
      </c>
    </row>
    <row r="1824" spans="1:8" x14ac:dyDescent="0.25">
      <c r="E1824" t="str">
        <f>""</f>
        <v/>
      </c>
      <c r="F1824" t="str">
        <f>""</f>
        <v/>
      </c>
      <c r="H1824" t="str">
        <f t="shared" si="44"/>
        <v>SOCIAL SECURITY TAXES</v>
      </c>
    </row>
    <row r="1825" spans="5:8" x14ac:dyDescent="0.25">
      <c r="E1825" t="str">
        <f>""</f>
        <v/>
      </c>
      <c r="F1825" t="str">
        <f>""</f>
        <v/>
      </c>
      <c r="H1825" t="str">
        <f t="shared" si="44"/>
        <v>SOCIAL SECURITY TAXES</v>
      </c>
    </row>
    <row r="1826" spans="5:8" x14ac:dyDescent="0.25">
      <c r="E1826" t="str">
        <f>""</f>
        <v/>
      </c>
      <c r="F1826" t="str">
        <f>""</f>
        <v/>
      </c>
      <c r="H1826" t="str">
        <f t="shared" si="44"/>
        <v>SOCIAL SECURITY TAXES</v>
      </c>
    </row>
    <row r="1827" spans="5:8" x14ac:dyDescent="0.25">
      <c r="E1827" t="str">
        <f>""</f>
        <v/>
      </c>
      <c r="F1827" t="str">
        <f>""</f>
        <v/>
      </c>
      <c r="H1827" t="str">
        <f t="shared" si="44"/>
        <v>SOCIAL SECURITY TAXES</v>
      </c>
    </row>
    <row r="1828" spans="5:8" x14ac:dyDescent="0.25">
      <c r="E1828" t="str">
        <f>""</f>
        <v/>
      </c>
      <c r="F1828" t="str">
        <f>""</f>
        <v/>
      </c>
      <c r="H1828" t="str">
        <f t="shared" si="44"/>
        <v>SOCIAL SECURITY TAXES</v>
      </c>
    </row>
    <row r="1829" spans="5:8" x14ac:dyDescent="0.25">
      <c r="E1829" t="str">
        <f>""</f>
        <v/>
      </c>
      <c r="F1829" t="str">
        <f>""</f>
        <v/>
      </c>
      <c r="H1829" t="str">
        <f t="shared" si="44"/>
        <v>SOCIAL SECURITY TAXES</v>
      </c>
    </row>
    <row r="1830" spans="5:8" x14ac:dyDescent="0.25">
      <c r="E1830" t="str">
        <f>""</f>
        <v/>
      </c>
      <c r="F1830" t="str">
        <f>""</f>
        <v/>
      </c>
      <c r="H1830" t="str">
        <f t="shared" si="44"/>
        <v>SOCIAL SECURITY TAXES</v>
      </c>
    </row>
    <row r="1831" spans="5:8" x14ac:dyDescent="0.25">
      <c r="E1831" t="str">
        <f>""</f>
        <v/>
      </c>
      <c r="F1831" t="str">
        <f>""</f>
        <v/>
      </c>
      <c r="H1831" t="str">
        <f t="shared" si="44"/>
        <v>SOCIAL SECURITY TAXES</v>
      </c>
    </row>
    <row r="1832" spans="5:8" x14ac:dyDescent="0.25">
      <c r="E1832" t="str">
        <f>""</f>
        <v/>
      </c>
      <c r="F1832" t="str">
        <f>""</f>
        <v/>
      </c>
      <c r="H1832" t="str">
        <f t="shared" si="44"/>
        <v>SOCIAL SECURITY TAXES</v>
      </c>
    </row>
    <row r="1833" spans="5:8" x14ac:dyDescent="0.25">
      <c r="E1833" t="str">
        <f>""</f>
        <v/>
      </c>
      <c r="F1833" t="str">
        <f>""</f>
        <v/>
      </c>
      <c r="H1833" t="str">
        <f t="shared" si="44"/>
        <v>SOCIAL SECURITY TAXES</v>
      </c>
    </row>
    <row r="1834" spans="5:8" x14ac:dyDescent="0.25">
      <c r="E1834" t="str">
        <f>""</f>
        <v/>
      </c>
      <c r="F1834" t="str">
        <f>""</f>
        <v/>
      </c>
      <c r="H1834" t="str">
        <f t="shared" si="44"/>
        <v>SOCIAL SECURITY TAXES</v>
      </c>
    </row>
    <row r="1835" spans="5:8" x14ac:dyDescent="0.25">
      <c r="E1835" t="str">
        <f>""</f>
        <v/>
      </c>
      <c r="F1835" t="str">
        <f>""</f>
        <v/>
      </c>
      <c r="H1835" t="str">
        <f t="shared" si="44"/>
        <v>SOCIAL SECURITY TAXES</v>
      </c>
    </row>
    <row r="1836" spans="5:8" x14ac:dyDescent="0.25">
      <c r="E1836" t="str">
        <f>""</f>
        <v/>
      </c>
      <c r="F1836" t="str">
        <f>""</f>
        <v/>
      </c>
      <c r="H1836" t="str">
        <f t="shared" si="44"/>
        <v>SOCIAL SECURITY TAXES</v>
      </c>
    </row>
    <row r="1837" spans="5:8" x14ac:dyDescent="0.25">
      <c r="E1837" t="str">
        <f>""</f>
        <v/>
      </c>
      <c r="F1837" t="str">
        <f>""</f>
        <v/>
      </c>
      <c r="H1837" t="str">
        <f t="shared" si="44"/>
        <v>SOCIAL SECURITY TAXES</v>
      </c>
    </row>
    <row r="1838" spans="5:8" x14ac:dyDescent="0.25">
      <c r="E1838" t="str">
        <f>""</f>
        <v/>
      </c>
      <c r="F1838" t="str">
        <f>""</f>
        <v/>
      </c>
      <c r="H1838" t="str">
        <f t="shared" si="44"/>
        <v>SOCIAL SECURITY TAXES</v>
      </c>
    </row>
    <row r="1839" spans="5:8" x14ac:dyDescent="0.25">
      <c r="E1839" t="str">
        <f>""</f>
        <v/>
      </c>
      <c r="F1839" t="str">
        <f>""</f>
        <v/>
      </c>
      <c r="H1839" t="str">
        <f t="shared" si="44"/>
        <v>SOCIAL SECURITY TAXES</v>
      </c>
    </row>
    <row r="1840" spans="5:8" x14ac:dyDescent="0.25">
      <c r="E1840" t="str">
        <f>""</f>
        <v/>
      </c>
      <c r="F1840" t="str">
        <f>""</f>
        <v/>
      </c>
      <c r="H1840" t="str">
        <f t="shared" si="44"/>
        <v>SOCIAL SECURITY TAXES</v>
      </c>
    </row>
    <row r="1841" spans="5:8" x14ac:dyDescent="0.25">
      <c r="E1841" t="str">
        <f>""</f>
        <v/>
      </c>
      <c r="F1841" t="str">
        <f>""</f>
        <v/>
      </c>
      <c r="H1841" t="str">
        <f t="shared" si="44"/>
        <v>SOCIAL SECURITY TAXES</v>
      </c>
    </row>
    <row r="1842" spans="5:8" x14ac:dyDescent="0.25">
      <c r="E1842" t="str">
        <f>""</f>
        <v/>
      </c>
      <c r="F1842" t="str">
        <f>""</f>
        <v/>
      </c>
      <c r="H1842" t="str">
        <f t="shared" si="44"/>
        <v>SOCIAL SECURITY TAXES</v>
      </c>
    </row>
    <row r="1843" spans="5:8" x14ac:dyDescent="0.25">
      <c r="E1843" t="str">
        <f>""</f>
        <v/>
      </c>
      <c r="F1843" t="str">
        <f>""</f>
        <v/>
      </c>
      <c r="H1843" t="str">
        <f t="shared" si="44"/>
        <v>SOCIAL SECURITY TAXES</v>
      </c>
    </row>
    <row r="1844" spans="5:8" x14ac:dyDescent="0.25">
      <c r="E1844" t="str">
        <f>""</f>
        <v/>
      </c>
      <c r="F1844" t="str">
        <f>""</f>
        <v/>
      </c>
      <c r="H1844" t="str">
        <f t="shared" ref="H1844:H1868" si="45">"SOCIAL SECURITY TAXES"</f>
        <v>SOCIAL SECURITY TAXES</v>
      </c>
    </row>
    <row r="1845" spans="5:8" x14ac:dyDescent="0.25">
      <c r="E1845" t="str">
        <f>""</f>
        <v/>
      </c>
      <c r="F1845" t="str">
        <f>""</f>
        <v/>
      </c>
      <c r="H1845" t="str">
        <f t="shared" si="45"/>
        <v>SOCIAL SECURITY TAXES</v>
      </c>
    </row>
    <row r="1846" spans="5:8" x14ac:dyDescent="0.25">
      <c r="E1846" t="str">
        <f>""</f>
        <v/>
      </c>
      <c r="F1846" t="str">
        <f>""</f>
        <v/>
      </c>
      <c r="H1846" t="str">
        <f t="shared" si="45"/>
        <v>SOCIAL SECURITY TAXES</v>
      </c>
    </row>
    <row r="1847" spans="5:8" x14ac:dyDescent="0.25">
      <c r="E1847" t="str">
        <f>""</f>
        <v/>
      </c>
      <c r="F1847" t="str">
        <f>""</f>
        <v/>
      </c>
      <c r="H1847" t="str">
        <f t="shared" si="45"/>
        <v>SOCIAL SECURITY TAXES</v>
      </c>
    </row>
    <row r="1848" spans="5:8" x14ac:dyDescent="0.25">
      <c r="E1848" t="str">
        <f>""</f>
        <v/>
      </c>
      <c r="F1848" t="str">
        <f>""</f>
        <v/>
      </c>
      <c r="H1848" t="str">
        <f t="shared" si="45"/>
        <v>SOCIAL SECURITY TAXES</v>
      </c>
    </row>
    <row r="1849" spans="5:8" x14ac:dyDescent="0.25">
      <c r="E1849" t="str">
        <f>""</f>
        <v/>
      </c>
      <c r="F1849" t="str">
        <f>""</f>
        <v/>
      </c>
      <c r="H1849" t="str">
        <f t="shared" si="45"/>
        <v>SOCIAL SECURITY TAXES</v>
      </c>
    </row>
    <row r="1850" spans="5:8" x14ac:dyDescent="0.25">
      <c r="E1850" t="str">
        <f>""</f>
        <v/>
      </c>
      <c r="F1850" t="str">
        <f>""</f>
        <v/>
      </c>
      <c r="H1850" t="str">
        <f t="shared" si="45"/>
        <v>SOCIAL SECURITY TAXES</v>
      </c>
    </row>
    <row r="1851" spans="5:8" x14ac:dyDescent="0.25">
      <c r="E1851" t="str">
        <f>""</f>
        <v/>
      </c>
      <c r="F1851" t="str">
        <f>""</f>
        <v/>
      </c>
      <c r="H1851" t="str">
        <f t="shared" si="45"/>
        <v>SOCIAL SECURITY TAXES</v>
      </c>
    </row>
    <row r="1852" spans="5:8" x14ac:dyDescent="0.25">
      <c r="E1852" t="str">
        <f>""</f>
        <v/>
      </c>
      <c r="F1852" t="str">
        <f>""</f>
        <v/>
      </c>
      <c r="H1852" t="str">
        <f t="shared" si="45"/>
        <v>SOCIAL SECURITY TAXES</v>
      </c>
    </row>
    <row r="1853" spans="5:8" x14ac:dyDescent="0.25">
      <c r="E1853" t="str">
        <f>""</f>
        <v/>
      </c>
      <c r="F1853" t="str">
        <f>""</f>
        <v/>
      </c>
      <c r="H1853" t="str">
        <f t="shared" si="45"/>
        <v>SOCIAL SECURITY TAXES</v>
      </c>
    </row>
    <row r="1854" spans="5:8" x14ac:dyDescent="0.25">
      <c r="E1854" t="str">
        <f>""</f>
        <v/>
      </c>
      <c r="F1854" t="str">
        <f>""</f>
        <v/>
      </c>
      <c r="H1854" t="str">
        <f t="shared" si="45"/>
        <v>SOCIAL SECURITY TAXES</v>
      </c>
    </row>
    <row r="1855" spans="5:8" x14ac:dyDescent="0.25">
      <c r="E1855" t="str">
        <f>""</f>
        <v/>
      </c>
      <c r="F1855" t="str">
        <f>""</f>
        <v/>
      </c>
      <c r="H1855" t="str">
        <f t="shared" si="45"/>
        <v>SOCIAL SECURITY TAXES</v>
      </c>
    </row>
    <row r="1856" spans="5:8" x14ac:dyDescent="0.25">
      <c r="E1856" t="str">
        <f>""</f>
        <v/>
      </c>
      <c r="F1856" t="str">
        <f>""</f>
        <v/>
      </c>
      <c r="H1856" t="str">
        <f t="shared" si="45"/>
        <v>SOCIAL SECURITY TAXES</v>
      </c>
    </row>
    <row r="1857" spans="5:8" x14ac:dyDescent="0.25">
      <c r="E1857" t="str">
        <f>""</f>
        <v/>
      </c>
      <c r="F1857" t="str">
        <f>""</f>
        <v/>
      </c>
      <c r="H1857" t="str">
        <f t="shared" si="45"/>
        <v>SOCIAL SECURITY TAXES</v>
      </c>
    </row>
    <row r="1858" spans="5:8" x14ac:dyDescent="0.25">
      <c r="E1858" t="str">
        <f>""</f>
        <v/>
      </c>
      <c r="F1858" t="str">
        <f>""</f>
        <v/>
      </c>
      <c r="H1858" t="str">
        <f t="shared" si="45"/>
        <v>SOCIAL SECURITY TAXES</v>
      </c>
    </row>
    <row r="1859" spans="5:8" x14ac:dyDescent="0.25">
      <c r="E1859" t="str">
        <f>""</f>
        <v/>
      </c>
      <c r="F1859" t="str">
        <f>""</f>
        <v/>
      </c>
      <c r="H1859" t="str">
        <f t="shared" si="45"/>
        <v>SOCIAL SECURITY TAXES</v>
      </c>
    </row>
    <row r="1860" spans="5:8" x14ac:dyDescent="0.25">
      <c r="E1860" t="str">
        <f>""</f>
        <v/>
      </c>
      <c r="F1860" t="str">
        <f>""</f>
        <v/>
      </c>
      <c r="H1860" t="str">
        <f t="shared" si="45"/>
        <v>SOCIAL SECURITY TAXES</v>
      </c>
    </row>
    <row r="1861" spans="5:8" x14ac:dyDescent="0.25">
      <c r="E1861" t="str">
        <f>""</f>
        <v/>
      </c>
      <c r="F1861" t="str">
        <f>""</f>
        <v/>
      </c>
      <c r="H1861" t="str">
        <f t="shared" si="45"/>
        <v>SOCIAL SECURITY TAXES</v>
      </c>
    </row>
    <row r="1862" spans="5:8" x14ac:dyDescent="0.25">
      <c r="E1862" t="str">
        <f>""</f>
        <v/>
      </c>
      <c r="F1862" t="str">
        <f>""</f>
        <v/>
      </c>
      <c r="H1862" t="str">
        <f t="shared" si="45"/>
        <v>SOCIAL SECURITY TAXES</v>
      </c>
    </row>
    <row r="1863" spans="5:8" x14ac:dyDescent="0.25">
      <c r="E1863" t="str">
        <f>""</f>
        <v/>
      </c>
      <c r="F1863" t="str">
        <f>""</f>
        <v/>
      </c>
      <c r="H1863" t="str">
        <f t="shared" si="45"/>
        <v>SOCIAL SECURITY TAXES</v>
      </c>
    </row>
    <row r="1864" spans="5:8" x14ac:dyDescent="0.25">
      <c r="E1864" t="str">
        <f>""</f>
        <v/>
      </c>
      <c r="F1864" t="str">
        <f>""</f>
        <v/>
      </c>
      <c r="H1864" t="str">
        <f t="shared" si="45"/>
        <v>SOCIAL SECURITY TAXES</v>
      </c>
    </row>
    <row r="1865" spans="5:8" x14ac:dyDescent="0.25">
      <c r="E1865" t="str">
        <f>"T3 202103172244"</f>
        <v>T3 202103172244</v>
      </c>
      <c r="F1865" t="str">
        <f>"SOCIAL SECURITY TAXES"</f>
        <v>SOCIAL SECURITY TAXES</v>
      </c>
      <c r="G1865" s="3">
        <v>4181.68</v>
      </c>
      <c r="H1865" t="str">
        <f t="shared" si="45"/>
        <v>SOCIAL SECURITY TAXES</v>
      </c>
    </row>
    <row r="1866" spans="5:8" x14ac:dyDescent="0.25">
      <c r="E1866" t="str">
        <f>""</f>
        <v/>
      </c>
      <c r="F1866" t="str">
        <f>""</f>
        <v/>
      </c>
      <c r="H1866" t="str">
        <f t="shared" si="45"/>
        <v>SOCIAL SECURITY TAXES</v>
      </c>
    </row>
    <row r="1867" spans="5:8" x14ac:dyDescent="0.25">
      <c r="E1867" t="str">
        <f>"T3 202103172245"</f>
        <v>T3 202103172245</v>
      </c>
      <c r="F1867" t="str">
        <f>"SOCIAL SECURITY TAXES"</f>
        <v>SOCIAL SECURITY TAXES</v>
      </c>
      <c r="G1867" s="3">
        <v>4787.6400000000003</v>
      </c>
      <c r="H1867" t="str">
        <f t="shared" si="45"/>
        <v>SOCIAL SECURITY TAXES</v>
      </c>
    </row>
    <row r="1868" spans="5:8" x14ac:dyDescent="0.25">
      <c r="E1868" t="str">
        <f>""</f>
        <v/>
      </c>
      <c r="F1868" t="str">
        <f>""</f>
        <v/>
      </c>
      <c r="H1868" t="str">
        <f t="shared" si="45"/>
        <v>SOCIAL SECURITY TAXES</v>
      </c>
    </row>
    <row r="1869" spans="5:8" x14ac:dyDescent="0.25">
      <c r="E1869" t="str">
        <f>"T4 202103172243"</f>
        <v>T4 202103172243</v>
      </c>
      <c r="F1869" t="str">
        <f>"MEDICARE TAXES"</f>
        <v>MEDICARE TAXES</v>
      </c>
      <c r="G1869" s="3">
        <v>28001.9</v>
      </c>
      <c r="H1869" t="str">
        <f t="shared" ref="H1869:H1900" si="46">"MEDICARE TAXES"</f>
        <v>MEDICARE TAXES</v>
      </c>
    </row>
    <row r="1870" spans="5:8" x14ac:dyDescent="0.25">
      <c r="E1870" t="str">
        <f>""</f>
        <v/>
      </c>
      <c r="F1870" t="str">
        <f>""</f>
        <v/>
      </c>
      <c r="H1870" t="str">
        <f t="shared" si="46"/>
        <v>MEDICARE TAXES</v>
      </c>
    </row>
    <row r="1871" spans="5:8" x14ac:dyDescent="0.25">
      <c r="E1871" t="str">
        <f>""</f>
        <v/>
      </c>
      <c r="F1871" t="str">
        <f>""</f>
        <v/>
      </c>
      <c r="H1871" t="str">
        <f t="shared" si="46"/>
        <v>MEDICARE TAXES</v>
      </c>
    </row>
    <row r="1872" spans="5:8" x14ac:dyDescent="0.25">
      <c r="E1872" t="str">
        <f>""</f>
        <v/>
      </c>
      <c r="F1872" t="str">
        <f>""</f>
        <v/>
      </c>
      <c r="H1872" t="str">
        <f t="shared" si="46"/>
        <v>MEDICARE TAXES</v>
      </c>
    </row>
    <row r="1873" spans="5:8" x14ac:dyDescent="0.25">
      <c r="E1873" t="str">
        <f>""</f>
        <v/>
      </c>
      <c r="F1873" t="str">
        <f>""</f>
        <v/>
      </c>
      <c r="H1873" t="str">
        <f t="shared" si="46"/>
        <v>MEDICARE TAXES</v>
      </c>
    </row>
    <row r="1874" spans="5:8" x14ac:dyDescent="0.25">
      <c r="E1874" t="str">
        <f>""</f>
        <v/>
      </c>
      <c r="F1874" t="str">
        <f>""</f>
        <v/>
      </c>
      <c r="H1874" t="str">
        <f t="shared" si="46"/>
        <v>MEDICARE TAXES</v>
      </c>
    </row>
    <row r="1875" spans="5:8" x14ac:dyDescent="0.25">
      <c r="E1875" t="str">
        <f>""</f>
        <v/>
      </c>
      <c r="F1875" t="str">
        <f>""</f>
        <v/>
      </c>
      <c r="H1875" t="str">
        <f t="shared" si="46"/>
        <v>MEDICARE TAXES</v>
      </c>
    </row>
    <row r="1876" spans="5:8" x14ac:dyDescent="0.25">
      <c r="E1876" t="str">
        <f>""</f>
        <v/>
      </c>
      <c r="F1876" t="str">
        <f>""</f>
        <v/>
      </c>
      <c r="H1876" t="str">
        <f t="shared" si="46"/>
        <v>MEDICARE TAXES</v>
      </c>
    </row>
    <row r="1877" spans="5:8" x14ac:dyDescent="0.25">
      <c r="E1877" t="str">
        <f>""</f>
        <v/>
      </c>
      <c r="F1877" t="str">
        <f>""</f>
        <v/>
      </c>
      <c r="H1877" t="str">
        <f t="shared" si="46"/>
        <v>MEDICARE TAXES</v>
      </c>
    </row>
    <row r="1878" spans="5:8" x14ac:dyDescent="0.25">
      <c r="E1878" t="str">
        <f>""</f>
        <v/>
      </c>
      <c r="F1878" t="str">
        <f>""</f>
        <v/>
      </c>
      <c r="H1878" t="str">
        <f t="shared" si="46"/>
        <v>MEDICARE TAXES</v>
      </c>
    </row>
    <row r="1879" spans="5:8" x14ac:dyDescent="0.25">
      <c r="E1879" t="str">
        <f>""</f>
        <v/>
      </c>
      <c r="F1879" t="str">
        <f>""</f>
        <v/>
      </c>
      <c r="H1879" t="str">
        <f t="shared" si="46"/>
        <v>MEDICARE TAXES</v>
      </c>
    </row>
    <row r="1880" spans="5:8" x14ac:dyDescent="0.25">
      <c r="E1880" t="str">
        <f>""</f>
        <v/>
      </c>
      <c r="F1880" t="str">
        <f>""</f>
        <v/>
      </c>
      <c r="H1880" t="str">
        <f t="shared" si="46"/>
        <v>MEDICARE TAXES</v>
      </c>
    </row>
    <row r="1881" spans="5:8" x14ac:dyDescent="0.25">
      <c r="E1881" t="str">
        <f>""</f>
        <v/>
      </c>
      <c r="F1881" t="str">
        <f>""</f>
        <v/>
      </c>
      <c r="H1881" t="str">
        <f t="shared" si="46"/>
        <v>MEDICARE TAXES</v>
      </c>
    </row>
    <row r="1882" spans="5:8" x14ac:dyDescent="0.25">
      <c r="E1882" t="str">
        <f>""</f>
        <v/>
      </c>
      <c r="F1882" t="str">
        <f>""</f>
        <v/>
      </c>
      <c r="H1882" t="str">
        <f t="shared" si="46"/>
        <v>MEDICARE TAXES</v>
      </c>
    </row>
    <row r="1883" spans="5:8" x14ac:dyDescent="0.25">
      <c r="E1883" t="str">
        <f>""</f>
        <v/>
      </c>
      <c r="F1883" t="str">
        <f>""</f>
        <v/>
      </c>
      <c r="H1883" t="str">
        <f t="shared" si="46"/>
        <v>MEDICARE TAXES</v>
      </c>
    </row>
    <row r="1884" spans="5:8" x14ac:dyDescent="0.25">
      <c r="E1884" t="str">
        <f>""</f>
        <v/>
      </c>
      <c r="F1884" t="str">
        <f>""</f>
        <v/>
      </c>
      <c r="H1884" t="str">
        <f t="shared" si="46"/>
        <v>MEDICARE TAXES</v>
      </c>
    </row>
    <row r="1885" spans="5:8" x14ac:dyDescent="0.25">
      <c r="E1885" t="str">
        <f>""</f>
        <v/>
      </c>
      <c r="F1885" t="str">
        <f>""</f>
        <v/>
      </c>
      <c r="H1885" t="str">
        <f t="shared" si="46"/>
        <v>MEDICARE TAXES</v>
      </c>
    </row>
    <row r="1886" spans="5:8" x14ac:dyDescent="0.25">
      <c r="E1886" t="str">
        <f>""</f>
        <v/>
      </c>
      <c r="F1886" t="str">
        <f>""</f>
        <v/>
      </c>
      <c r="H1886" t="str">
        <f t="shared" si="46"/>
        <v>MEDICARE TAXES</v>
      </c>
    </row>
    <row r="1887" spans="5:8" x14ac:dyDescent="0.25">
      <c r="E1887" t="str">
        <f>""</f>
        <v/>
      </c>
      <c r="F1887" t="str">
        <f>""</f>
        <v/>
      </c>
      <c r="H1887" t="str">
        <f t="shared" si="46"/>
        <v>MEDICARE TAXES</v>
      </c>
    </row>
    <row r="1888" spans="5:8" x14ac:dyDescent="0.25">
      <c r="E1888" t="str">
        <f>""</f>
        <v/>
      </c>
      <c r="F1888" t="str">
        <f>""</f>
        <v/>
      </c>
      <c r="H1888" t="str">
        <f t="shared" si="46"/>
        <v>MEDICARE TAXES</v>
      </c>
    </row>
    <row r="1889" spans="5:8" x14ac:dyDescent="0.25">
      <c r="E1889" t="str">
        <f>""</f>
        <v/>
      </c>
      <c r="F1889" t="str">
        <f>""</f>
        <v/>
      </c>
      <c r="H1889" t="str">
        <f t="shared" si="46"/>
        <v>MEDICARE TAXES</v>
      </c>
    </row>
    <row r="1890" spans="5:8" x14ac:dyDescent="0.25">
      <c r="E1890" t="str">
        <f>""</f>
        <v/>
      </c>
      <c r="F1890" t="str">
        <f>""</f>
        <v/>
      </c>
      <c r="H1890" t="str">
        <f t="shared" si="46"/>
        <v>MEDICARE TAXES</v>
      </c>
    </row>
    <row r="1891" spans="5:8" x14ac:dyDescent="0.25">
      <c r="E1891" t="str">
        <f>""</f>
        <v/>
      </c>
      <c r="F1891" t="str">
        <f>""</f>
        <v/>
      </c>
      <c r="H1891" t="str">
        <f t="shared" si="46"/>
        <v>MEDICARE TAXES</v>
      </c>
    </row>
    <row r="1892" spans="5:8" x14ac:dyDescent="0.25">
      <c r="E1892" t="str">
        <f>""</f>
        <v/>
      </c>
      <c r="F1892" t="str">
        <f>""</f>
        <v/>
      </c>
      <c r="H1892" t="str">
        <f t="shared" si="46"/>
        <v>MEDICARE TAXES</v>
      </c>
    </row>
    <row r="1893" spans="5:8" x14ac:dyDescent="0.25">
      <c r="E1893" t="str">
        <f>""</f>
        <v/>
      </c>
      <c r="F1893" t="str">
        <f>""</f>
        <v/>
      </c>
      <c r="H1893" t="str">
        <f t="shared" si="46"/>
        <v>MEDICARE TAXES</v>
      </c>
    </row>
    <row r="1894" spans="5:8" x14ac:dyDescent="0.25">
      <c r="E1894" t="str">
        <f>""</f>
        <v/>
      </c>
      <c r="F1894" t="str">
        <f>""</f>
        <v/>
      </c>
      <c r="H1894" t="str">
        <f t="shared" si="46"/>
        <v>MEDICARE TAXES</v>
      </c>
    </row>
    <row r="1895" spans="5:8" x14ac:dyDescent="0.25">
      <c r="E1895" t="str">
        <f>""</f>
        <v/>
      </c>
      <c r="F1895" t="str">
        <f>""</f>
        <v/>
      </c>
      <c r="H1895" t="str">
        <f t="shared" si="46"/>
        <v>MEDICARE TAXES</v>
      </c>
    </row>
    <row r="1896" spans="5:8" x14ac:dyDescent="0.25">
      <c r="E1896" t="str">
        <f>""</f>
        <v/>
      </c>
      <c r="F1896" t="str">
        <f>""</f>
        <v/>
      </c>
      <c r="H1896" t="str">
        <f t="shared" si="46"/>
        <v>MEDICARE TAXES</v>
      </c>
    </row>
    <row r="1897" spans="5:8" x14ac:dyDescent="0.25">
      <c r="E1897" t="str">
        <f>""</f>
        <v/>
      </c>
      <c r="F1897" t="str">
        <f>""</f>
        <v/>
      </c>
      <c r="H1897" t="str">
        <f t="shared" si="46"/>
        <v>MEDICARE TAXES</v>
      </c>
    </row>
    <row r="1898" spans="5:8" x14ac:dyDescent="0.25">
      <c r="E1898" t="str">
        <f>""</f>
        <v/>
      </c>
      <c r="F1898" t="str">
        <f>""</f>
        <v/>
      </c>
      <c r="H1898" t="str">
        <f t="shared" si="46"/>
        <v>MEDICARE TAXES</v>
      </c>
    </row>
    <row r="1899" spans="5:8" x14ac:dyDescent="0.25">
      <c r="E1899" t="str">
        <f>""</f>
        <v/>
      </c>
      <c r="F1899" t="str">
        <f>""</f>
        <v/>
      </c>
      <c r="H1899" t="str">
        <f t="shared" si="46"/>
        <v>MEDICARE TAXES</v>
      </c>
    </row>
    <row r="1900" spans="5:8" x14ac:dyDescent="0.25">
      <c r="E1900" t="str">
        <f>""</f>
        <v/>
      </c>
      <c r="F1900" t="str">
        <f>""</f>
        <v/>
      </c>
      <c r="H1900" t="str">
        <f t="shared" si="46"/>
        <v>MEDICARE TAXES</v>
      </c>
    </row>
    <row r="1901" spans="5:8" x14ac:dyDescent="0.25">
      <c r="E1901" t="str">
        <f>""</f>
        <v/>
      </c>
      <c r="F1901" t="str">
        <f>""</f>
        <v/>
      </c>
      <c r="H1901" t="str">
        <f t="shared" ref="H1901:H1925" si="47">"MEDICARE TAXES"</f>
        <v>MEDICARE TAXES</v>
      </c>
    </row>
    <row r="1902" spans="5:8" x14ac:dyDescent="0.25">
      <c r="E1902" t="str">
        <f>""</f>
        <v/>
      </c>
      <c r="F1902" t="str">
        <f>""</f>
        <v/>
      </c>
      <c r="H1902" t="str">
        <f t="shared" si="47"/>
        <v>MEDICARE TAXES</v>
      </c>
    </row>
    <row r="1903" spans="5:8" x14ac:dyDescent="0.25">
      <c r="E1903" t="str">
        <f>""</f>
        <v/>
      </c>
      <c r="F1903" t="str">
        <f>""</f>
        <v/>
      </c>
      <c r="H1903" t="str">
        <f t="shared" si="47"/>
        <v>MEDICARE TAXES</v>
      </c>
    </row>
    <row r="1904" spans="5:8" x14ac:dyDescent="0.25">
      <c r="E1904" t="str">
        <f>""</f>
        <v/>
      </c>
      <c r="F1904" t="str">
        <f>""</f>
        <v/>
      </c>
      <c r="H1904" t="str">
        <f t="shared" si="47"/>
        <v>MEDICARE TAXES</v>
      </c>
    </row>
    <row r="1905" spans="5:8" x14ac:dyDescent="0.25">
      <c r="E1905" t="str">
        <f>""</f>
        <v/>
      </c>
      <c r="F1905" t="str">
        <f>""</f>
        <v/>
      </c>
      <c r="H1905" t="str">
        <f t="shared" si="47"/>
        <v>MEDICARE TAXES</v>
      </c>
    </row>
    <row r="1906" spans="5:8" x14ac:dyDescent="0.25">
      <c r="E1906" t="str">
        <f>""</f>
        <v/>
      </c>
      <c r="F1906" t="str">
        <f>""</f>
        <v/>
      </c>
      <c r="H1906" t="str">
        <f t="shared" si="47"/>
        <v>MEDICARE TAXES</v>
      </c>
    </row>
    <row r="1907" spans="5:8" x14ac:dyDescent="0.25">
      <c r="E1907" t="str">
        <f>""</f>
        <v/>
      </c>
      <c r="F1907" t="str">
        <f>""</f>
        <v/>
      </c>
      <c r="H1907" t="str">
        <f t="shared" si="47"/>
        <v>MEDICARE TAXES</v>
      </c>
    </row>
    <row r="1908" spans="5:8" x14ac:dyDescent="0.25">
      <c r="E1908" t="str">
        <f>""</f>
        <v/>
      </c>
      <c r="F1908" t="str">
        <f>""</f>
        <v/>
      </c>
      <c r="H1908" t="str">
        <f t="shared" si="47"/>
        <v>MEDICARE TAXES</v>
      </c>
    </row>
    <row r="1909" spans="5:8" x14ac:dyDescent="0.25">
      <c r="E1909" t="str">
        <f>""</f>
        <v/>
      </c>
      <c r="F1909" t="str">
        <f>""</f>
        <v/>
      </c>
      <c r="H1909" t="str">
        <f t="shared" si="47"/>
        <v>MEDICARE TAXES</v>
      </c>
    </row>
    <row r="1910" spans="5:8" x14ac:dyDescent="0.25">
      <c r="E1910" t="str">
        <f>""</f>
        <v/>
      </c>
      <c r="F1910" t="str">
        <f>""</f>
        <v/>
      </c>
      <c r="H1910" t="str">
        <f t="shared" si="47"/>
        <v>MEDICARE TAXES</v>
      </c>
    </row>
    <row r="1911" spans="5:8" x14ac:dyDescent="0.25">
      <c r="E1911" t="str">
        <f>""</f>
        <v/>
      </c>
      <c r="F1911" t="str">
        <f>""</f>
        <v/>
      </c>
      <c r="H1911" t="str">
        <f t="shared" si="47"/>
        <v>MEDICARE TAXES</v>
      </c>
    </row>
    <row r="1912" spans="5:8" x14ac:dyDescent="0.25">
      <c r="E1912" t="str">
        <f>""</f>
        <v/>
      </c>
      <c r="F1912" t="str">
        <f>""</f>
        <v/>
      </c>
      <c r="H1912" t="str">
        <f t="shared" si="47"/>
        <v>MEDICARE TAXES</v>
      </c>
    </row>
    <row r="1913" spans="5:8" x14ac:dyDescent="0.25">
      <c r="E1913" t="str">
        <f>""</f>
        <v/>
      </c>
      <c r="F1913" t="str">
        <f>""</f>
        <v/>
      </c>
      <c r="H1913" t="str">
        <f t="shared" si="47"/>
        <v>MEDICARE TAXES</v>
      </c>
    </row>
    <row r="1914" spans="5:8" x14ac:dyDescent="0.25">
      <c r="E1914" t="str">
        <f>""</f>
        <v/>
      </c>
      <c r="F1914" t="str">
        <f>""</f>
        <v/>
      </c>
      <c r="H1914" t="str">
        <f t="shared" si="47"/>
        <v>MEDICARE TAXES</v>
      </c>
    </row>
    <row r="1915" spans="5:8" x14ac:dyDescent="0.25">
      <c r="E1915" t="str">
        <f>""</f>
        <v/>
      </c>
      <c r="F1915" t="str">
        <f>""</f>
        <v/>
      </c>
      <c r="H1915" t="str">
        <f t="shared" si="47"/>
        <v>MEDICARE TAXES</v>
      </c>
    </row>
    <row r="1916" spans="5:8" x14ac:dyDescent="0.25">
      <c r="E1916" t="str">
        <f>""</f>
        <v/>
      </c>
      <c r="F1916" t="str">
        <f>""</f>
        <v/>
      </c>
      <c r="H1916" t="str">
        <f t="shared" si="47"/>
        <v>MEDICARE TAXES</v>
      </c>
    </row>
    <row r="1917" spans="5:8" x14ac:dyDescent="0.25">
      <c r="E1917" t="str">
        <f>""</f>
        <v/>
      </c>
      <c r="F1917" t="str">
        <f>""</f>
        <v/>
      </c>
      <c r="H1917" t="str">
        <f t="shared" si="47"/>
        <v>MEDICARE TAXES</v>
      </c>
    </row>
    <row r="1918" spans="5:8" x14ac:dyDescent="0.25">
      <c r="E1918" t="str">
        <f>""</f>
        <v/>
      </c>
      <c r="F1918" t="str">
        <f>""</f>
        <v/>
      </c>
      <c r="H1918" t="str">
        <f t="shared" si="47"/>
        <v>MEDICARE TAXES</v>
      </c>
    </row>
    <row r="1919" spans="5:8" x14ac:dyDescent="0.25">
      <c r="E1919" t="str">
        <f>""</f>
        <v/>
      </c>
      <c r="F1919" t="str">
        <f>""</f>
        <v/>
      </c>
      <c r="H1919" t="str">
        <f t="shared" si="47"/>
        <v>MEDICARE TAXES</v>
      </c>
    </row>
    <row r="1920" spans="5:8" x14ac:dyDescent="0.25">
      <c r="E1920" t="str">
        <f>""</f>
        <v/>
      </c>
      <c r="F1920" t="str">
        <f>""</f>
        <v/>
      </c>
      <c r="H1920" t="str">
        <f t="shared" si="47"/>
        <v>MEDICARE TAXES</v>
      </c>
    </row>
    <row r="1921" spans="1:8" x14ac:dyDescent="0.25">
      <c r="E1921" t="str">
        <f>""</f>
        <v/>
      </c>
      <c r="F1921" t="str">
        <f>""</f>
        <v/>
      </c>
      <c r="H1921" t="str">
        <f t="shared" si="47"/>
        <v>MEDICARE TAXES</v>
      </c>
    </row>
    <row r="1922" spans="1:8" x14ac:dyDescent="0.25">
      <c r="E1922" t="str">
        <f>"T4 202103172244"</f>
        <v>T4 202103172244</v>
      </c>
      <c r="F1922" t="str">
        <f>"MEDICARE TAXES"</f>
        <v>MEDICARE TAXES</v>
      </c>
      <c r="G1922" s="3">
        <v>978.02</v>
      </c>
      <c r="H1922" t="str">
        <f t="shared" si="47"/>
        <v>MEDICARE TAXES</v>
      </c>
    </row>
    <row r="1923" spans="1:8" x14ac:dyDescent="0.25">
      <c r="E1923" t="str">
        <f>""</f>
        <v/>
      </c>
      <c r="F1923" t="str">
        <f>""</f>
        <v/>
      </c>
      <c r="H1923" t="str">
        <f t="shared" si="47"/>
        <v>MEDICARE TAXES</v>
      </c>
    </row>
    <row r="1924" spans="1:8" x14ac:dyDescent="0.25">
      <c r="E1924" t="str">
        <f>"T4 202103172245"</f>
        <v>T4 202103172245</v>
      </c>
      <c r="F1924" t="str">
        <f>"MEDICARE TAXES"</f>
        <v>MEDICARE TAXES</v>
      </c>
      <c r="G1924" s="3">
        <v>1119.74</v>
      </c>
      <c r="H1924" t="str">
        <f t="shared" si="47"/>
        <v>MEDICARE TAXES</v>
      </c>
    </row>
    <row r="1925" spans="1:8" x14ac:dyDescent="0.25">
      <c r="E1925" t="str">
        <f>""</f>
        <v/>
      </c>
      <c r="F1925" t="str">
        <f>""</f>
        <v/>
      </c>
      <c r="H1925" t="str">
        <f t="shared" si="47"/>
        <v>MEDICARE TAXES</v>
      </c>
    </row>
    <row r="1926" spans="1:8" x14ac:dyDescent="0.25">
      <c r="A1926" t="s">
        <v>348</v>
      </c>
      <c r="B1926">
        <v>962</v>
      </c>
      <c r="C1926" s="3">
        <v>535.82000000000005</v>
      </c>
      <c r="D1926" s="6">
        <v>44279</v>
      </c>
      <c r="E1926" t="str">
        <f>"LIX202103031933"</f>
        <v>LIX202103031933</v>
      </c>
      <c r="F1926" t="str">
        <f>"TEXAS LIFE/OLIVO GROUP"</f>
        <v>TEXAS LIFE/OLIVO GROUP</v>
      </c>
      <c r="G1926" s="3">
        <v>267.91000000000003</v>
      </c>
      <c r="H1926" t="str">
        <f>"TEXAS LIFE/OLIVO GROUP"</f>
        <v>TEXAS LIFE/OLIVO GROUP</v>
      </c>
    </row>
    <row r="1927" spans="1:8" x14ac:dyDescent="0.25">
      <c r="E1927" t="str">
        <f>"LIX202103172243"</f>
        <v>LIX202103172243</v>
      </c>
      <c r="F1927" t="str">
        <f>"TEXAS LIFE/OLIVO GROUP"</f>
        <v>TEXAS LIFE/OLIVO GROUP</v>
      </c>
      <c r="G1927" s="3">
        <v>267.91000000000003</v>
      </c>
      <c r="H1927" t="str">
        <f>"TEXAS LIFE/OLIVO GROUP"</f>
        <v>TEXAS LIFE/OLIVO GROUP</v>
      </c>
    </row>
    <row r="1928" spans="1:8" x14ac:dyDescent="0.25">
      <c r="A1928" t="s">
        <v>349</v>
      </c>
      <c r="B1928">
        <v>48322</v>
      </c>
      <c r="C1928" s="3">
        <v>389816.74</v>
      </c>
      <c r="D1928" s="6">
        <v>44279</v>
      </c>
      <c r="E1928" t="str">
        <f>"202103242311"</f>
        <v>202103242311</v>
      </c>
      <c r="F1928" t="str">
        <f>"RETIREE INS - MARCH 2021"</f>
        <v>RETIREE INS - MARCH 2021</v>
      </c>
      <c r="G1928" s="3">
        <v>16919.560000000001</v>
      </c>
      <c r="H1928" t="str">
        <f>"RETIREE INS - MARCH 2021"</f>
        <v>RETIREE INS - MARCH 2021</v>
      </c>
    </row>
    <row r="1929" spans="1:8" x14ac:dyDescent="0.25">
      <c r="E1929" t="str">
        <f>"202103242312"</f>
        <v>202103242312</v>
      </c>
      <c r="F1929" t="str">
        <f>"ADJ - HUNTER RAYNOR"</f>
        <v>ADJ - HUNTER RAYNOR</v>
      </c>
      <c r="G1929" s="3">
        <v>255.86</v>
      </c>
      <c r="H1929" t="str">
        <f>"ADJ - HUNTER RAYNOR"</f>
        <v>ADJ - HUNTER RAYNOR</v>
      </c>
    </row>
    <row r="1930" spans="1:8" x14ac:dyDescent="0.25">
      <c r="E1930" t="str">
        <f>"2EC202103031933"</f>
        <v>2EC202103031933</v>
      </c>
      <c r="F1930" t="str">
        <f>"BCBS PAYABLE"</f>
        <v>BCBS PAYABLE</v>
      </c>
      <c r="G1930" s="3">
        <v>53338.74</v>
      </c>
      <c r="H1930" t="str">
        <f t="shared" ref="H1930:H1993" si="48">"BCBS PAYABLE"</f>
        <v>BCBS PAYABLE</v>
      </c>
    </row>
    <row r="1931" spans="1:8" x14ac:dyDescent="0.25">
      <c r="E1931" t="str">
        <f>""</f>
        <v/>
      </c>
      <c r="F1931" t="str">
        <f>""</f>
        <v/>
      </c>
      <c r="H1931" t="str">
        <f t="shared" si="48"/>
        <v>BCBS PAYABLE</v>
      </c>
    </row>
    <row r="1932" spans="1:8" x14ac:dyDescent="0.25">
      <c r="E1932" t="str">
        <f>""</f>
        <v/>
      </c>
      <c r="F1932" t="str">
        <f>""</f>
        <v/>
      </c>
      <c r="H1932" t="str">
        <f t="shared" si="48"/>
        <v>BCBS PAYABLE</v>
      </c>
    </row>
    <row r="1933" spans="1:8" x14ac:dyDescent="0.25">
      <c r="E1933" t="str">
        <f>""</f>
        <v/>
      </c>
      <c r="F1933" t="str">
        <f>""</f>
        <v/>
      </c>
      <c r="H1933" t="str">
        <f t="shared" si="48"/>
        <v>BCBS PAYABLE</v>
      </c>
    </row>
    <row r="1934" spans="1:8" x14ac:dyDescent="0.25">
      <c r="E1934" t="str">
        <f>""</f>
        <v/>
      </c>
      <c r="F1934" t="str">
        <f>""</f>
        <v/>
      </c>
      <c r="H1934" t="str">
        <f t="shared" si="48"/>
        <v>BCBS PAYABLE</v>
      </c>
    </row>
    <row r="1935" spans="1:8" x14ac:dyDescent="0.25">
      <c r="E1935" t="str">
        <f>""</f>
        <v/>
      </c>
      <c r="F1935" t="str">
        <f>""</f>
        <v/>
      </c>
      <c r="H1935" t="str">
        <f t="shared" si="48"/>
        <v>BCBS PAYABLE</v>
      </c>
    </row>
    <row r="1936" spans="1:8" x14ac:dyDescent="0.25">
      <c r="E1936" t="str">
        <f>""</f>
        <v/>
      </c>
      <c r="F1936" t="str">
        <f>""</f>
        <v/>
      </c>
      <c r="H1936" t="str">
        <f t="shared" si="48"/>
        <v>BCBS PAYABLE</v>
      </c>
    </row>
    <row r="1937" spans="5:8" x14ac:dyDescent="0.25">
      <c r="E1937" t="str">
        <f>""</f>
        <v/>
      </c>
      <c r="F1937" t="str">
        <f>""</f>
        <v/>
      </c>
      <c r="H1937" t="str">
        <f t="shared" si="48"/>
        <v>BCBS PAYABLE</v>
      </c>
    </row>
    <row r="1938" spans="5:8" x14ac:dyDescent="0.25">
      <c r="E1938" t="str">
        <f>""</f>
        <v/>
      </c>
      <c r="F1938" t="str">
        <f>""</f>
        <v/>
      </c>
      <c r="H1938" t="str">
        <f t="shared" si="48"/>
        <v>BCBS PAYABLE</v>
      </c>
    </row>
    <row r="1939" spans="5:8" x14ac:dyDescent="0.25">
      <c r="E1939" t="str">
        <f>""</f>
        <v/>
      </c>
      <c r="F1939" t="str">
        <f>""</f>
        <v/>
      </c>
      <c r="H1939" t="str">
        <f t="shared" si="48"/>
        <v>BCBS PAYABLE</v>
      </c>
    </row>
    <row r="1940" spans="5:8" x14ac:dyDescent="0.25">
      <c r="E1940" t="str">
        <f>""</f>
        <v/>
      </c>
      <c r="F1940" t="str">
        <f>""</f>
        <v/>
      </c>
      <c r="H1940" t="str">
        <f t="shared" si="48"/>
        <v>BCBS PAYABLE</v>
      </c>
    </row>
    <row r="1941" spans="5:8" x14ac:dyDescent="0.25">
      <c r="E1941" t="str">
        <f>""</f>
        <v/>
      </c>
      <c r="F1941" t="str">
        <f>""</f>
        <v/>
      </c>
      <c r="H1941" t="str">
        <f t="shared" si="48"/>
        <v>BCBS PAYABLE</v>
      </c>
    </row>
    <row r="1942" spans="5:8" x14ac:dyDescent="0.25">
      <c r="E1942" t="str">
        <f>""</f>
        <v/>
      </c>
      <c r="F1942" t="str">
        <f>""</f>
        <v/>
      </c>
      <c r="H1942" t="str">
        <f t="shared" si="48"/>
        <v>BCBS PAYABLE</v>
      </c>
    </row>
    <row r="1943" spans="5:8" x14ac:dyDescent="0.25">
      <c r="E1943" t="str">
        <f>""</f>
        <v/>
      </c>
      <c r="F1943" t="str">
        <f>""</f>
        <v/>
      </c>
      <c r="H1943" t="str">
        <f t="shared" si="48"/>
        <v>BCBS PAYABLE</v>
      </c>
    </row>
    <row r="1944" spans="5:8" x14ac:dyDescent="0.25">
      <c r="E1944" t="str">
        <f>""</f>
        <v/>
      </c>
      <c r="F1944" t="str">
        <f>""</f>
        <v/>
      </c>
      <c r="H1944" t="str">
        <f t="shared" si="48"/>
        <v>BCBS PAYABLE</v>
      </c>
    </row>
    <row r="1945" spans="5:8" x14ac:dyDescent="0.25">
      <c r="E1945" t="str">
        <f>""</f>
        <v/>
      </c>
      <c r="F1945" t="str">
        <f>""</f>
        <v/>
      </c>
      <c r="H1945" t="str">
        <f t="shared" si="48"/>
        <v>BCBS PAYABLE</v>
      </c>
    </row>
    <row r="1946" spans="5:8" x14ac:dyDescent="0.25">
      <c r="E1946" t="str">
        <f>""</f>
        <v/>
      </c>
      <c r="F1946" t="str">
        <f>""</f>
        <v/>
      </c>
      <c r="H1946" t="str">
        <f t="shared" si="48"/>
        <v>BCBS PAYABLE</v>
      </c>
    </row>
    <row r="1947" spans="5:8" x14ac:dyDescent="0.25">
      <c r="E1947" t="str">
        <f>""</f>
        <v/>
      </c>
      <c r="F1947" t="str">
        <f>""</f>
        <v/>
      </c>
      <c r="H1947" t="str">
        <f t="shared" si="48"/>
        <v>BCBS PAYABLE</v>
      </c>
    </row>
    <row r="1948" spans="5:8" x14ac:dyDescent="0.25">
      <c r="E1948" t="str">
        <f>""</f>
        <v/>
      </c>
      <c r="F1948" t="str">
        <f>""</f>
        <v/>
      </c>
      <c r="H1948" t="str">
        <f t="shared" si="48"/>
        <v>BCBS PAYABLE</v>
      </c>
    </row>
    <row r="1949" spans="5:8" x14ac:dyDescent="0.25">
      <c r="E1949" t="str">
        <f>""</f>
        <v/>
      </c>
      <c r="F1949" t="str">
        <f>""</f>
        <v/>
      </c>
      <c r="H1949" t="str">
        <f t="shared" si="48"/>
        <v>BCBS PAYABLE</v>
      </c>
    </row>
    <row r="1950" spans="5:8" x14ac:dyDescent="0.25">
      <c r="E1950" t="str">
        <f>""</f>
        <v/>
      </c>
      <c r="F1950" t="str">
        <f>""</f>
        <v/>
      </c>
      <c r="H1950" t="str">
        <f t="shared" si="48"/>
        <v>BCBS PAYABLE</v>
      </c>
    </row>
    <row r="1951" spans="5:8" x14ac:dyDescent="0.25">
      <c r="E1951" t="str">
        <f>""</f>
        <v/>
      </c>
      <c r="F1951" t="str">
        <f>""</f>
        <v/>
      </c>
      <c r="H1951" t="str">
        <f t="shared" si="48"/>
        <v>BCBS PAYABLE</v>
      </c>
    </row>
    <row r="1952" spans="5:8" x14ac:dyDescent="0.25">
      <c r="E1952" t="str">
        <f>""</f>
        <v/>
      </c>
      <c r="F1952" t="str">
        <f>""</f>
        <v/>
      </c>
      <c r="H1952" t="str">
        <f t="shared" si="48"/>
        <v>BCBS PAYABLE</v>
      </c>
    </row>
    <row r="1953" spans="5:8" x14ac:dyDescent="0.25">
      <c r="E1953" t="str">
        <f>""</f>
        <v/>
      </c>
      <c r="F1953" t="str">
        <f>""</f>
        <v/>
      </c>
      <c r="H1953" t="str">
        <f t="shared" si="48"/>
        <v>BCBS PAYABLE</v>
      </c>
    </row>
    <row r="1954" spans="5:8" x14ac:dyDescent="0.25">
      <c r="E1954" t="str">
        <f>""</f>
        <v/>
      </c>
      <c r="F1954" t="str">
        <f>""</f>
        <v/>
      </c>
      <c r="H1954" t="str">
        <f t="shared" si="48"/>
        <v>BCBS PAYABLE</v>
      </c>
    </row>
    <row r="1955" spans="5:8" x14ac:dyDescent="0.25">
      <c r="E1955" t="str">
        <f>""</f>
        <v/>
      </c>
      <c r="F1955" t="str">
        <f>""</f>
        <v/>
      </c>
      <c r="H1955" t="str">
        <f t="shared" si="48"/>
        <v>BCBS PAYABLE</v>
      </c>
    </row>
    <row r="1956" spans="5:8" x14ac:dyDescent="0.25">
      <c r="E1956" t="str">
        <f>""</f>
        <v/>
      </c>
      <c r="F1956" t="str">
        <f>""</f>
        <v/>
      </c>
      <c r="H1956" t="str">
        <f t="shared" si="48"/>
        <v>BCBS PAYABLE</v>
      </c>
    </row>
    <row r="1957" spans="5:8" x14ac:dyDescent="0.25">
      <c r="E1957" t="str">
        <f>""</f>
        <v/>
      </c>
      <c r="F1957" t="str">
        <f>""</f>
        <v/>
      </c>
      <c r="H1957" t="str">
        <f t="shared" si="48"/>
        <v>BCBS PAYABLE</v>
      </c>
    </row>
    <row r="1958" spans="5:8" x14ac:dyDescent="0.25">
      <c r="E1958" t="str">
        <f>""</f>
        <v/>
      </c>
      <c r="F1958" t="str">
        <f>""</f>
        <v/>
      </c>
      <c r="H1958" t="str">
        <f t="shared" si="48"/>
        <v>BCBS PAYABLE</v>
      </c>
    </row>
    <row r="1959" spans="5:8" x14ac:dyDescent="0.25">
      <c r="E1959" t="str">
        <f>""</f>
        <v/>
      </c>
      <c r="F1959" t="str">
        <f>""</f>
        <v/>
      </c>
      <c r="H1959" t="str">
        <f t="shared" si="48"/>
        <v>BCBS PAYABLE</v>
      </c>
    </row>
    <row r="1960" spans="5:8" x14ac:dyDescent="0.25">
      <c r="E1960" t="str">
        <f>""</f>
        <v/>
      </c>
      <c r="F1960" t="str">
        <f>""</f>
        <v/>
      </c>
      <c r="H1960" t="str">
        <f t="shared" si="48"/>
        <v>BCBS PAYABLE</v>
      </c>
    </row>
    <row r="1961" spans="5:8" x14ac:dyDescent="0.25">
      <c r="E1961" t="str">
        <f>""</f>
        <v/>
      </c>
      <c r="F1961" t="str">
        <f>""</f>
        <v/>
      </c>
      <c r="H1961" t="str">
        <f t="shared" si="48"/>
        <v>BCBS PAYABLE</v>
      </c>
    </row>
    <row r="1962" spans="5:8" x14ac:dyDescent="0.25">
      <c r="E1962" t="str">
        <f>""</f>
        <v/>
      </c>
      <c r="F1962" t="str">
        <f>""</f>
        <v/>
      </c>
      <c r="H1962" t="str">
        <f t="shared" si="48"/>
        <v>BCBS PAYABLE</v>
      </c>
    </row>
    <row r="1963" spans="5:8" x14ac:dyDescent="0.25">
      <c r="E1963" t="str">
        <f>"2EC202103031934"</f>
        <v>2EC202103031934</v>
      </c>
      <c r="F1963" t="str">
        <f>"BCBS PAYABLE"</f>
        <v>BCBS PAYABLE</v>
      </c>
      <c r="G1963" s="3">
        <v>2348.8000000000002</v>
      </c>
      <c r="H1963" t="str">
        <f t="shared" si="48"/>
        <v>BCBS PAYABLE</v>
      </c>
    </row>
    <row r="1964" spans="5:8" x14ac:dyDescent="0.25">
      <c r="E1964" t="str">
        <f>""</f>
        <v/>
      </c>
      <c r="F1964" t="str">
        <f>""</f>
        <v/>
      </c>
      <c r="H1964" t="str">
        <f t="shared" si="48"/>
        <v>BCBS PAYABLE</v>
      </c>
    </row>
    <row r="1965" spans="5:8" x14ac:dyDescent="0.25">
      <c r="E1965" t="str">
        <f>"2EC202103172243"</f>
        <v>2EC202103172243</v>
      </c>
      <c r="F1965" t="str">
        <f>"BCBS PAYABLE"</f>
        <v>BCBS PAYABLE</v>
      </c>
      <c r="G1965" s="3">
        <v>53082.879999999997</v>
      </c>
      <c r="H1965" t="str">
        <f t="shared" si="48"/>
        <v>BCBS PAYABLE</v>
      </c>
    </row>
    <row r="1966" spans="5:8" x14ac:dyDescent="0.25">
      <c r="E1966" t="str">
        <f>""</f>
        <v/>
      </c>
      <c r="F1966" t="str">
        <f>""</f>
        <v/>
      </c>
      <c r="H1966" t="str">
        <f t="shared" si="48"/>
        <v>BCBS PAYABLE</v>
      </c>
    </row>
    <row r="1967" spans="5:8" x14ac:dyDescent="0.25">
      <c r="E1967" t="str">
        <f>""</f>
        <v/>
      </c>
      <c r="F1967" t="str">
        <f>""</f>
        <v/>
      </c>
      <c r="H1967" t="str">
        <f t="shared" si="48"/>
        <v>BCBS PAYABLE</v>
      </c>
    </row>
    <row r="1968" spans="5:8" x14ac:dyDescent="0.25">
      <c r="E1968" t="str">
        <f>""</f>
        <v/>
      </c>
      <c r="F1968" t="str">
        <f>""</f>
        <v/>
      </c>
      <c r="H1968" t="str">
        <f t="shared" si="48"/>
        <v>BCBS PAYABLE</v>
      </c>
    </row>
    <row r="1969" spans="5:8" x14ac:dyDescent="0.25">
      <c r="E1969" t="str">
        <f>""</f>
        <v/>
      </c>
      <c r="F1969" t="str">
        <f>""</f>
        <v/>
      </c>
      <c r="H1969" t="str">
        <f t="shared" si="48"/>
        <v>BCBS PAYABLE</v>
      </c>
    </row>
    <row r="1970" spans="5:8" x14ac:dyDescent="0.25">
      <c r="E1970" t="str">
        <f>""</f>
        <v/>
      </c>
      <c r="F1970" t="str">
        <f>""</f>
        <v/>
      </c>
      <c r="H1970" t="str">
        <f t="shared" si="48"/>
        <v>BCBS PAYABLE</v>
      </c>
    </row>
    <row r="1971" spans="5:8" x14ac:dyDescent="0.25">
      <c r="E1971" t="str">
        <f>""</f>
        <v/>
      </c>
      <c r="F1971" t="str">
        <f>""</f>
        <v/>
      </c>
      <c r="H1971" t="str">
        <f t="shared" si="48"/>
        <v>BCBS PAYABLE</v>
      </c>
    </row>
    <row r="1972" spans="5:8" x14ac:dyDescent="0.25">
      <c r="E1972" t="str">
        <f>""</f>
        <v/>
      </c>
      <c r="F1972" t="str">
        <f>""</f>
        <v/>
      </c>
      <c r="H1972" t="str">
        <f t="shared" si="48"/>
        <v>BCBS PAYABLE</v>
      </c>
    </row>
    <row r="1973" spans="5:8" x14ac:dyDescent="0.25">
      <c r="E1973" t="str">
        <f>""</f>
        <v/>
      </c>
      <c r="F1973" t="str">
        <f>""</f>
        <v/>
      </c>
      <c r="H1973" t="str">
        <f t="shared" si="48"/>
        <v>BCBS PAYABLE</v>
      </c>
    </row>
    <row r="1974" spans="5:8" x14ac:dyDescent="0.25">
      <c r="E1974" t="str">
        <f>""</f>
        <v/>
      </c>
      <c r="F1974" t="str">
        <f>""</f>
        <v/>
      </c>
      <c r="H1974" t="str">
        <f t="shared" si="48"/>
        <v>BCBS PAYABLE</v>
      </c>
    </row>
    <row r="1975" spans="5:8" x14ac:dyDescent="0.25">
      <c r="E1975" t="str">
        <f>""</f>
        <v/>
      </c>
      <c r="F1975" t="str">
        <f>""</f>
        <v/>
      </c>
      <c r="H1975" t="str">
        <f t="shared" si="48"/>
        <v>BCBS PAYABLE</v>
      </c>
    </row>
    <row r="1976" spans="5:8" x14ac:dyDescent="0.25">
      <c r="E1976" t="str">
        <f>""</f>
        <v/>
      </c>
      <c r="F1976" t="str">
        <f>""</f>
        <v/>
      </c>
      <c r="H1976" t="str">
        <f t="shared" si="48"/>
        <v>BCBS PAYABLE</v>
      </c>
    </row>
    <row r="1977" spans="5:8" x14ac:dyDescent="0.25">
      <c r="E1977" t="str">
        <f>""</f>
        <v/>
      </c>
      <c r="F1977" t="str">
        <f>""</f>
        <v/>
      </c>
      <c r="H1977" t="str">
        <f t="shared" si="48"/>
        <v>BCBS PAYABLE</v>
      </c>
    </row>
    <row r="1978" spans="5:8" x14ac:dyDescent="0.25">
      <c r="E1978" t="str">
        <f>""</f>
        <v/>
      </c>
      <c r="F1978" t="str">
        <f>""</f>
        <v/>
      </c>
      <c r="H1978" t="str">
        <f t="shared" si="48"/>
        <v>BCBS PAYABLE</v>
      </c>
    </row>
    <row r="1979" spans="5:8" x14ac:dyDescent="0.25">
      <c r="E1979" t="str">
        <f>""</f>
        <v/>
      </c>
      <c r="F1979" t="str">
        <f>""</f>
        <v/>
      </c>
      <c r="H1979" t="str">
        <f t="shared" si="48"/>
        <v>BCBS PAYABLE</v>
      </c>
    </row>
    <row r="1980" spans="5:8" x14ac:dyDescent="0.25">
      <c r="E1980" t="str">
        <f>""</f>
        <v/>
      </c>
      <c r="F1980" t="str">
        <f>""</f>
        <v/>
      </c>
      <c r="H1980" t="str">
        <f t="shared" si="48"/>
        <v>BCBS PAYABLE</v>
      </c>
    </row>
    <row r="1981" spans="5:8" x14ac:dyDescent="0.25">
      <c r="E1981" t="str">
        <f>""</f>
        <v/>
      </c>
      <c r="F1981" t="str">
        <f>""</f>
        <v/>
      </c>
      <c r="H1981" t="str">
        <f t="shared" si="48"/>
        <v>BCBS PAYABLE</v>
      </c>
    </row>
    <row r="1982" spans="5:8" x14ac:dyDescent="0.25">
      <c r="E1982" t="str">
        <f>""</f>
        <v/>
      </c>
      <c r="F1982" t="str">
        <f>""</f>
        <v/>
      </c>
      <c r="H1982" t="str">
        <f t="shared" si="48"/>
        <v>BCBS PAYABLE</v>
      </c>
    </row>
    <row r="1983" spans="5:8" x14ac:dyDescent="0.25">
      <c r="E1983" t="str">
        <f>""</f>
        <v/>
      </c>
      <c r="F1983" t="str">
        <f>""</f>
        <v/>
      </c>
      <c r="H1983" t="str">
        <f t="shared" si="48"/>
        <v>BCBS PAYABLE</v>
      </c>
    </row>
    <row r="1984" spans="5:8" x14ac:dyDescent="0.25">
      <c r="E1984" t="str">
        <f>""</f>
        <v/>
      </c>
      <c r="F1984" t="str">
        <f>""</f>
        <v/>
      </c>
      <c r="H1984" t="str">
        <f t="shared" si="48"/>
        <v>BCBS PAYABLE</v>
      </c>
    </row>
    <row r="1985" spans="5:8" x14ac:dyDescent="0.25">
      <c r="E1985" t="str">
        <f>""</f>
        <v/>
      </c>
      <c r="F1985" t="str">
        <f>""</f>
        <v/>
      </c>
      <c r="H1985" t="str">
        <f t="shared" si="48"/>
        <v>BCBS PAYABLE</v>
      </c>
    </row>
    <row r="1986" spans="5:8" x14ac:dyDescent="0.25">
      <c r="E1986" t="str">
        <f>""</f>
        <v/>
      </c>
      <c r="F1986" t="str">
        <f>""</f>
        <v/>
      </c>
      <c r="H1986" t="str">
        <f t="shared" si="48"/>
        <v>BCBS PAYABLE</v>
      </c>
    </row>
    <row r="1987" spans="5:8" x14ac:dyDescent="0.25">
      <c r="E1987" t="str">
        <f>""</f>
        <v/>
      </c>
      <c r="F1987" t="str">
        <f>""</f>
        <v/>
      </c>
      <c r="H1987" t="str">
        <f t="shared" si="48"/>
        <v>BCBS PAYABLE</v>
      </c>
    </row>
    <row r="1988" spans="5:8" x14ac:dyDescent="0.25">
      <c r="E1988" t="str">
        <f>""</f>
        <v/>
      </c>
      <c r="F1988" t="str">
        <f>""</f>
        <v/>
      </c>
      <c r="H1988" t="str">
        <f t="shared" si="48"/>
        <v>BCBS PAYABLE</v>
      </c>
    </row>
    <row r="1989" spans="5:8" x14ac:dyDescent="0.25">
      <c r="E1989" t="str">
        <f>""</f>
        <v/>
      </c>
      <c r="F1989" t="str">
        <f>""</f>
        <v/>
      </c>
      <c r="H1989" t="str">
        <f t="shared" si="48"/>
        <v>BCBS PAYABLE</v>
      </c>
    </row>
    <row r="1990" spans="5:8" x14ac:dyDescent="0.25">
      <c r="E1990" t="str">
        <f>""</f>
        <v/>
      </c>
      <c r="F1990" t="str">
        <f>""</f>
        <v/>
      </c>
      <c r="H1990" t="str">
        <f t="shared" si="48"/>
        <v>BCBS PAYABLE</v>
      </c>
    </row>
    <row r="1991" spans="5:8" x14ac:dyDescent="0.25">
      <c r="E1991" t="str">
        <f>""</f>
        <v/>
      </c>
      <c r="F1991" t="str">
        <f>""</f>
        <v/>
      </c>
      <c r="H1991" t="str">
        <f t="shared" si="48"/>
        <v>BCBS PAYABLE</v>
      </c>
    </row>
    <row r="1992" spans="5:8" x14ac:dyDescent="0.25">
      <c r="E1992" t="str">
        <f>""</f>
        <v/>
      </c>
      <c r="F1992" t="str">
        <f>""</f>
        <v/>
      </c>
      <c r="H1992" t="str">
        <f t="shared" si="48"/>
        <v>BCBS PAYABLE</v>
      </c>
    </row>
    <row r="1993" spans="5:8" x14ac:dyDescent="0.25">
      <c r="E1993" t="str">
        <f>""</f>
        <v/>
      </c>
      <c r="F1993" t="str">
        <f>""</f>
        <v/>
      </c>
      <c r="H1993" t="str">
        <f t="shared" si="48"/>
        <v>BCBS PAYABLE</v>
      </c>
    </row>
    <row r="1994" spans="5:8" x14ac:dyDescent="0.25">
      <c r="E1994" t="str">
        <f>""</f>
        <v/>
      </c>
      <c r="F1994" t="str">
        <f>""</f>
        <v/>
      </c>
      <c r="H1994" t="str">
        <f t="shared" ref="H1994:H2057" si="49">"BCBS PAYABLE"</f>
        <v>BCBS PAYABLE</v>
      </c>
    </row>
    <row r="1995" spans="5:8" x14ac:dyDescent="0.25">
      <c r="E1995" t="str">
        <f>""</f>
        <v/>
      </c>
      <c r="F1995" t="str">
        <f>""</f>
        <v/>
      </c>
      <c r="H1995" t="str">
        <f t="shared" si="49"/>
        <v>BCBS PAYABLE</v>
      </c>
    </row>
    <row r="1996" spans="5:8" x14ac:dyDescent="0.25">
      <c r="E1996" t="str">
        <f>""</f>
        <v/>
      </c>
      <c r="F1996" t="str">
        <f>""</f>
        <v/>
      </c>
      <c r="H1996" t="str">
        <f t="shared" si="49"/>
        <v>BCBS PAYABLE</v>
      </c>
    </row>
    <row r="1997" spans="5:8" x14ac:dyDescent="0.25">
      <c r="E1997" t="str">
        <f>""</f>
        <v/>
      </c>
      <c r="F1997" t="str">
        <f>""</f>
        <v/>
      </c>
      <c r="H1997" t="str">
        <f t="shared" si="49"/>
        <v>BCBS PAYABLE</v>
      </c>
    </row>
    <row r="1998" spans="5:8" x14ac:dyDescent="0.25">
      <c r="E1998" t="str">
        <f>"2EC202103172244"</f>
        <v>2EC202103172244</v>
      </c>
      <c r="F1998" t="str">
        <f>"BCBS PAYABLE"</f>
        <v>BCBS PAYABLE</v>
      </c>
      <c r="G1998" s="3">
        <v>2348.8000000000002</v>
      </c>
      <c r="H1998" t="str">
        <f t="shared" si="49"/>
        <v>BCBS PAYABLE</v>
      </c>
    </row>
    <row r="1999" spans="5:8" x14ac:dyDescent="0.25">
      <c r="E1999" t="str">
        <f>""</f>
        <v/>
      </c>
      <c r="F1999" t="str">
        <f>""</f>
        <v/>
      </c>
      <c r="H1999" t="str">
        <f t="shared" si="49"/>
        <v>BCBS PAYABLE</v>
      </c>
    </row>
    <row r="2000" spans="5:8" x14ac:dyDescent="0.25">
      <c r="E2000" t="str">
        <f>"2EF202103031933"</f>
        <v>2EF202103031933</v>
      </c>
      <c r="F2000" t="str">
        <f>"BCBS PAYABLE"</f>
        <v>BCBS PAYABLE</v>
      </c>
      <c r="G2000" s="3">
        <v>1866.54</v>
      </c>
      <c r="H2000" t="str">
        <f t="shared" si="49"/>
        <v>BCBS PAYABLE</v>
      </c>
    </row>
    <row r="2001" spans="5:8" x14ac:dyDescent="0.25">
      <c r="E2001" t="str">
        <f>""</f>
        <v/>
      </c>
      <c r="F2001" t="str">
        <f>""</f>
        <v/>
      </c>
      <c r="H2001" t="str">
        <f t="shared" si="49"/>
        <v>BCBS PAYABLE</v>
      </c>
    </row>
    <row r="2002" spans="5:8" x14ac:dyDescent="0.25">
      <c r="E2002" t="str">
        <f>""</f>
        <v/>
      </c>
      <c r="F2002" t="str">
        <f>""</f>
        <v/>
      </c>
      <c r="H2002" t="str">
        <f t="shared" si="49"/>
        <v>BCBS PAYABLE</v>
      </c>
    </row>
    <row r="2003" spans="5:8" x14ac:dyDescent="0.25">
      <c r="E2003" t="str">
        <f>"2EF202103172243"</f>
        <v>2EF202103172243</v>
      </c>
      <c r="F2003" t="str">
        <f>"BCBS PAYABLE"</f>
        <v>BCBS PAYABLE</v>
      </c>
      <c r="G2003" s="3">
        <v>1866.54</v>
      </c>
      <c r="H2003" t="str">
        <f t="shared" si="49"/>
        <v>BCBS PAYABLE</v>
      </c>
    </row>
    <row r="2004" spans="5:8" x14ac:dyDescent="0.25">
      <c r="E2004" t="str">
        <f>""</f>
        <v/>
      </c>
      <c r="F2004" t="str">
        <f>""</f>
        <v/>
      </c>
      <c r="H2004" t="str">
        <f t="shared" si="49"/>
        <v>BCBS PAYABLE</v>
      </c>
    </row>
    <row r="2005" spans="5:8" x14ac:dyDescent="0.25">
      <c r="E2005" t="str">
        <f>""</f>
        <v/>
      </c>
      <c r="F2005" t="str">
        <f>""</f>
        <v/>
      </c>
      <c r="H2005" t="str">
        <f t="shared" si="49"/>
        <v>BCBS PAYABLE</v>
      </c>
    </row>
    <row r="2006" spans="5:8" x14ac:dyDescent="0.25">
      <c r="E2006" t="str">
        <f>"2EO202103031933"</f>
        <v>2EO202103031933</v>
      </c>
      <c r="F2006" t="str">
        <f>"BCBS PAYABLE"</f>
        <v>BCBS PAYABLE</v>
      </c>
      <c r="G2006" s="3">
        <v>107334.62</v>
      </c>
      <c r="H2006" t="str">
        <f t="shared" si="49"/>
        <v>BCBS PAYABLE</v>
      </c>
    </row>
    <row r="2007" spans="5:8" x14ac:dyDescent="0.25">
      <c r="E2007" t="str">
        <f>""</f>
        <v/>
      </c>
      <c r="F2007" t="str">
        <f>""</f>
        <v/>
      </c>
      <c r="H2007" t="str">
        <f t="shared" si="49"/>
        <v>BCBS PAYABLE</v>
      </c>
    </row>
    <row r="2008" spans="5:8" x14ac:dyDescent="0.25">
      <c r="E2008" t="str">
        <f>""</f>
        <v/>
      </c>
      <c r="F2008" t="str">
        <f>""</f>
        <v/>
      </c>
      <c r="H2008" t="str">
        <f t="shared" si="49"/>
        <v>BCBS PAYABLE</v>
      </c>
    </row>
    <row r="2009" spans="5:8" x14ac:dyDescent="0.25">
      <c r="E2009" t="str">
        <f>""</f>
        <v/>
      </c>
      <c r="F2009" t="str">
        <f>""</f>
        <v/>
      </c>
      <c r="H2009" t="str">
        <f t="shared" si="49"/>
        <v>BCBS PAYABLE</v>
      </c>
    </row>
    <row r="2010" spans="5:8" x14ac:dyDescent="0.25">
      <c r="E2010" t="str">
        <f>""</f>
        <v/>
      </c>
      <c r="F2010" t="str">
        <f>""</f>
        <v/>
      </c>
      <c r="H2010" t="str">
        <f t="shared" si="49"/>
        <v>BCBS PAYABLE</v>
      </c>
    </row>
    <row r="2011" spans="5:8" x14ac:dyDescent="0.25">
      <c r="E2011" t="str">
        <f>""</f>
        <v/>
      </c>
      <c r="F2011" t="str">
        <f>""</f>
        <v/>
      </c>
      <c r="H2011" t="str">
        <f t="shared" si="49"/>
        <v>BCBS PAYABLE</v>
      </c>
    </row>
    <row r="2012" spans="5:8" x14ac:dyDescent="0.25">
      <c r="E2012" t="str">
        <f>""</f>
        <v/>
      </c>
      <c r="F2012" t="str">
        <f>""</f>
        <v/>
      </c>
      <c r="H2012" t="str">
        <f t="shared" si="49"/>
        <v>BCBS PAYABLE</v>
      </c>
    </row>
    <row r="2013" spans="5:8" x14ac:dyDescent="0.25">
      <c r="E2013" t="str">
        <f>""</f>
        <v/>
      </c>
      <c r="F2013" t="str">
        <f>""</f>
        <v/>
      </c>
      <c r="H2013" t="str">
        <f t="shared" si="49"/>
        <v>BCBS PAYABLE</v>
      </c>
    </row>
    <row r="2014" spans="5:8" x14ac:dyDescent="0.25">
      <c r="E2014" t="str">
        <f>""</f>
        <v/>
      </c>
      <c r="F2014" t="str">
        <f>""</f>
        <v/>
      </c>
      <c r="H2014" t="str">
        <f t="shared" si="49"/>
        <v>BCBS PAYABLE</v>
      </c>
    </row>
    <row r="2015" spans="5:8" x14ac:dyDescent="0.25">
      <c r="E2015" t="str">
        <f>""</f>
        <v/>
      </c>
      <c r="F2015" t="str">
        <f>""</f>
        <v/>
      </c>
      <c r="H2015" t="str">
        <f t="shared" si="49"/>
        <v>BCBS PAYABLE</v>
      </c>
    </row>
    <row r="2016" spans="5:8" x14ac:dyDescent="0.25">
      <c r="E2016" t="str">
        <f>""</f>
        <v/>
      </c>
      <c r="F2016" t="str">
        <f>""</f>
        <v/>
      </c>
      <c r="H2016" t="str">
        <f t="shared" si="49"/>
        <v>BCBS PAYABLE</v>
      </c>
    </row>
    <row r="2017" spans="5:8" x14ac:dyDescent="0.25">
      <c r="E2017" t="str">
        <f>""</f>
        <v/>
      </c>
      <c r="F2017" t="str">
        <f>""</f>
        <v/>
      </c>
      <c r="H2017" t="str">
        <f t="shared" si="49"/>
        <v>BCBS PAYABLE</v>
      </c>
    </row>
    <row r="2018" spans="5:8" x14ac:dyDescent="0.25">
      <c r="E2018" t="str">
        <f>""</f>
        <v/>
      </c>
      <c r="F2018" t="str">
        <f>""</f>
        <v/>
      </c>
      <c r="H2018" t="str">
        <f t="shared" si="49"/>
        <v>BCBS PAYABLE</v>
      </c>
    </row>
    <row r="2019" spans="5:8" x14ac:dyDescent="0.25">
      <c r="E2019" t="str">
        <f>""</f>
        <v/>
      </c>
      <c r="F2019" t="str">
        <f>""</f>
        <v/>
      </c>
      <c r="H2019" t="str">
        <f t="shared" si="49"/>
        <v>BCBS PAYABLE</v>
      </c>
    </row>
    <row r="2020" spans="5:8" x14ac:dyDescent="0.25">
      <c r="E2020" t="str">
        <f>""</f>
        <v/>
      </c>
      <c r="F2020" t="str">
        <f>""</f>
        <v/>
      </c>
      <c r="H2020" t="str">
        <f t="shared" si="49"/>
        <v>BCBS PAYABLE</v>
      </c>
    </row>
    <row r="2021" spans="5:8" x14ac:dyDescent="0.25">
      <c r="E2021" t="str">
        <f>""</f>
        <v/>
      </c>
      <c r="F2021" t="str">
        <f>""</f>
        <v/>
      </c>
      <c r="H2021" t="str">
        <f t="shared" si="49"/>
        <v>BCBS PAYABLE</v>
      </c>
    </row>
    <row r="2022" spans="5:8" x14ac:dyDescent="0.25">
      <c r="E2022" t="str">
        <f>""</f>
        <v/>
      </c>
      <c r="F2022" t="str">
        <f>""</f>
        <v/>
      </c>
      <c r="H2022" t="str">
        <f t="shared" si="49"/>
        <v>BCBS PAYABLE</v>
      </c>
    </row>
    <row r="2023" spans="5:8" x14ac:dyDescent="0.25">
      <c r="E2023" t="str">
        <f>""</f>
        <v/>
      </c>
      <c r="F2023" t="str">
        <f>""</f>
        <v/>
      </c>
      <c r="H2023" t="str">
        <f t="shared" si="49"/>
        <v>BCBS PAYABLE</v>
      </c>
    </row>
    <row r="2024" spans="5:8" x14ac:dyDescent="0.25">
      <c r="E2024" t="str">
        <f>""</f>
        <v/>
      </c>
      <c r="F2024" t="str">
        <f>""</f>
        <v/>
      </c>
      <c r="H2024" t="str">
        <f t="shared" si="49"/>
        <v>BCBS PAYABLE</v>
      </c>
    </row>
    <row r="2025" spans="5:8" x14ac:dyDescent="0.25">
      <c r="E2025" t="str">
        <f>""</f>
        <v/>
      </c>
      <c r="F2025" t="str">
        <f>""</f>
        <v/>
      </c>
      <c r="H2025" t="str">
        <f t="shared" si="49"/>
        <v>BCBS PAYABLE</v>
      </c>
    </row>
    <row r="2026" spans="5:8" x14ac:dyDescent="0.25">
      <c r="E2026" t="str">
        <f>""</f>
        <v/>
      </c>
      <c r="F2026" t="str">
        <f>""</f>
        <v/>
      </c>
      <c r="H2026" t="str">
        <f t="shared" si="49"/>
        <v>BCBS PAYABLE</v>
      </c>
    </row>
    <row r="2027" spans="5:8" x14ac:dyDescent="0.25">
      <c r="E2027" t="str">
        <f>""</f>
        <v/>
      </c>
      <c r="F2027" t="str">
        <f>""</f>
        <v/>
      </c>
      <c r="H2027" t="str">
        <f t="shared" si="49"/>
        <v>BCBS PAYABLE</v>
      </c>
    </row>
    <row r="2028" spans="5:8" x14ac:dyDescent="0.25">
      <c r="E2028" t="str">
        <f>""</f>
        <v/>
      </c>
      <c r="F2028" t="str">
        <f>""</f>
        <v/>
      </c>
      <c r="H2028" t="str">
        <f t="shared" si="49"/>
        <v>BCBS PAYABLE</v>
      </c>
    </row>
    <row r="2029" spans="5:8" x14ac:dyDescent="0.25">
      <c r="E2029" t="str">
        <f>""</f>
        <v/>
      </c>
      <c r="F2029" t="str">
        <f>""</f>
        <v/>
      </c>
      <c r="H2029" t="str">
        <f t="shared" si="49"/>
        <v>BCBS PAYABLE</v>
      </c>
    </row>
    <row r="2030" spans="5:8" x14ac:dyDescent="0.25">
      <c r="E2030" t="str">
        <f>""</f>
        <v/>
      </c>
      <c r="F2030" t="str">
        <f>""</f>
        <v/>
      </c>
      <c r="H2030" t="str">
        <f t="shared" si="49"/>
        <v>BCBS PAYABLE</v>
      </c>
    </row>
    <row r="2031" spans="5:8" x14ac:dyDescent="0.25">
      <c r="E2031" t="str">
        <f>""</f>
        <v/>
      </c>
      <c r="F2031" t="str">
        <f>""</f>
        <v/>
      </c>
      <c r="H2031" t="str">
        <f t="shared" si="49"/>
        <v>BCBS PAYABLE</v>
      </c>
    </row>
    <row r="2032" spans="5:8" x14ac:dyDescent="0.25">
      <c r="E2032" t="str">
        <f>""</f>
        <v/>
      </c>
      <c r="F2032" t="str">
        <f>""</f>
        <v/>
      </c>
      <c r="H2032" t="str">
        <f t="shared" si="49"/>
        <v>BCBS PAYABLE</v>
      </c>
    </row>
    <row r="2033" spans="5:8" x14ac:dyDescent="0.25">
      <c r="E2033" t="str">
        <f>""</f>
        <v/>
      </c>
      <c r="F2033" t="str">
        <f>""</f>
        <v/>
      </c>
      <c r="H2033" t="str">
        <f t="shared" si="49"/>
        <v>BCBS PAYABLE</v>
      </c>
    </row>
    <row r="2034" spans="5:8" x14ac:dyDescent="0.25">
      <c r="E2034" t="str">
        <f>""</f>
        <v/>
      </c>
      <c r="F2034" t="str">
        <f>""</f>
        <v/>
      </c>
      <c r="H2034" t="str">
        <f t="shared" si="49"/>
        <v>BCBS PAYABLE</v>
      </c>
    </row>
    <row r="2035" spans="5:8" x14ac:dyDescent="0.25">
      <c r="E2035" t="str">
        <f>""</f>
        <v/>
      </c>
      <c r="F2035" t="str">
        <f>""</f>
        <v/>
      </c>
      <c r="H2035" t="str">
        <f t="shared" si="49"/>
        <v>BCBS PAYABLE</v>
      </c>
    </row>
    <row r="2036" spans="5:8" x14ac:dyDescent="0.25">
      <c r="E2036" t="str">
        <f>""</f>
        <v/>
      </c>
      <c r="F2036" t="str">
        <f>""</f>
        <v/>
      </c>
      <c r="H2036" t="str">
        <f t="shared" si="49"/>
        <v>BCBS PAYABLE</v>
      </c>
    </row>
    <row r="2037" spans="5:8" x14ac:dyDescent="0.25">
      <c r="E2037" t="str">
        <f>""</f>
        <v/>
      </c>
      <c r="F2037" t="str">
        <f>""</f>
        <v/>
      </c>
      <c r="H2037" t="str">
        <f t="shared" si="49"/>
        <v>BCBS PAYABLE</v>
      </c>
    </row>
    <row r="2038" spans="5:8" x14ac:dyDescent="0.25">
      <c r="E2038" t="str">
        <f>""</f>
        <v/>
      </c>
      <c r="F2038" t="str">
        <f>""</f>
        <v/>
      </c>
      <c r="H2038" t="str">
        <f t="shared" si="49"/>
        <v>BCBS PAYABLE</v>
      </c>
    </row>
    <row r="2039" spans="5:8" x14ac:dyDescent="0.25">
      <c r="E2039" t="str">
        <f>""</f>
        <v/>
      </c>
      <c r="F2039" t="str">
        <f>""</f>
        <v/>
      </c>
      <c r="H2039" t="str">
        <f t="shared" si="49"/>
        <v>BCBS PAYABLE</v>
      </c>
    </row>
    <row r="2040" spans="5:8" x14ac:dyDescent="0.25">
      <c r="E2040" t="str">
        <f>""</f>
        <v/>
      </c>
      <c r="F2040" t="str">
        <f>""</f>
        <v/>
      </c>
      <c r="H2040" t="str">
        <f t="shared" si="49"/>
        <v>BCBS PAYABLE</v>
      </c>
    </row>
    <row r="2041" spans="5:8" x14ac:dyDescent="0.25">
      <c r="E2041" t="str">
        <f>""</f>
        <v/>
      </c>
      <c r="F2041" t="str">
        <f>""</f>
        <v/>
      </c>
      <c r="H2041" t="str">
        <f t="shared" si="49"/>
        <v>BCBS PAYABLE</v>
      </c>
    </row>
    <row r="2042" spans="5:8" x14ac:dyDescent="0.25">
      <c r="E2042" t="str">
        <f>""</f>
        <v/>
      </c>
      <c r="F2042" t="str">
        <f>""</f>
        <v/>
      </c>
      <c r="H2042" t="str">
        <f t="shared" si="49"/>
        <v>BCBS PAYABLE</v>
      </c>
    </row>
    <row r="2043" spans="5:8" x14ac:dyDescent="0.25">
      <c r="E2043" t="str">
        <f>""</f>
        <v/>
      </c>
      <c r="F2043" t="str">
        <f>""</f>
        <v/>
      </c>
      <c r="H2043" t="str">
        <f t="shared" si="49"/>
        <v>BCBS PAYABLE</v>
      </c>
    </row>
    <row r="2044" spans="5:8" x14ac:dyDescent="0.25">
      <c r="E2044" t="str">
        <f>""</f>
        <v/>
      </c>
      <c r="F2044" t="str">
        <f>""</f>
        <v/>
      </c>
      <c r="H2044" t="str">
        <f t="shared" si="49"/>
        <v>BCBS PAYABLE</v>
      </c>
    </row>
    <row r="2045" spans="5:8" x14ac:dyDescent="0.25">
      <c r="E2045" t="str">
        <f>""</f>
        <v/>
      </c>
      <c r="F2045" t="str">
        <f>""</f>
        <v/>
      </c>
      <c r="H2045" t="str">
        <f t="shared" si="49"/>
        <v>BCBS PAYABLE</v>
      </c>
    </row>
    <row r="2046" spans="5:8" x14ac:dyDescent="0.25">
      <c r="E2046" t="str">
        <f>""</f>
        <v/>
      </c>
      <c r="F2046" t="str">
        <f>""</f>
        <v/>
      </c>
      <c r="H2046" t="str">
        <f t="shared" si="49"/>
        <v>BCBS PAYABLE</v>
      </c>
    </row>
    <row r="2047" spans="5:8" x14ac:dyDescent="0.25">
      <c r="E2047" t="str">
        <f>""</f>
        <v/>
      </c>
      <c r="F2047" t="str">
        <f>""</f>
        <v/>
      </c>
      <c r="H2047" t="str">
        <f t="shared" si="49"/>
        <v>BCBS PAYABLE</v>
      </c>
    </row>
    <row r="2048" spans="5:8" x14ac:dyDescent="0.25">
      <c r="E2048" t="str">
        <f>""</f>
        <v/>
      </c>
      <c r="F2048" t="str">
        <f>""</f>
        <v/>
      </c>
      <c r="H2048" t="str">
        <f t="shared" si="49"/>
        <v>BCBS PAYABLE</v>
      </c>
    </row>
    <row r="2049" spans="5:8" x14ac:dyDescent="0.25">
      <c r="E2049" t="str">
        <f>""</f>
        <v/>
      </c>
      <c r="F2049" t="str">
        <f>""</f>
        <v/>
      </c>
      <c r="H2049" t="str">
        <f t="shared" si="49"/>
        <v>BCBS PAYABLE</v>
      </c>
    </row>
    <row r="2050" spans="5:8" x14ac:dyDescent="0.25">
      <c r="E2050" t="str">
        <f>""</f>
        <v/>
      </c>
      <c r="F2050" t="str">
        <f>""</f>
        <v/>
      </c>
      <c r="H2050" t="str">
        <f t="shared" si="49"/>
        <v>BCBS PAYABLE</v>
      </c>
    </row>
    <row r="2051" spans="5:8" x14ac:dyDescent="0.25">
      <c r="E2051" t="str">
        <f>""</f>
        <v/>
      </c>
      <c r="F2051" t="str">
        <f>""</f>
        <v/>
      </c>
      <c r="H2051" t="str">
        <f t="shared" si="49"/>
        <v>BCBS PAYABLE</v>
      </c>
    </row>
    <row r="2052" spans="5:8" x14ac:dyDescent="0.25">
      <c r="E2052" t="str">
        <f>""</f>
        <v/>
      </c>
      <c r="F2052" t="str">
        <f>""</f>
        <v/>
      </c>
      <c r="H2052" t="str">
        <f t="shared" si="49"/>
        <v>BCBS PAYABLE</v>
      </c>
    </row>
    <row r="2053" spans="5:8" x14ac:dyDescent="0.25">
      <c r="E2053" t="str">
        <f>"2EO202103031934"</f>
        <v>2EO202103031934</v>
      </c>
      <c r="F2053" t="str">
        <f>"BCBS PAYABLE"</f>
        <v>BCBS PAYABLE</v>
      </c>
      <c r="G2053" s="3">
        <v>3076.47</v>
      </c>
      <c r="H2053" t="str">
        <f t="shared" si="49"/>
        <v>BCBS PAYABLE</v>
      </c>
    </row>
    <row r="2054" spans="5:8" x14ac:dyDescent="0.25">
      <c r="E2054" t="str">
        <f>"2EO202103172243"</f>
        <v>2EO202103172243</v>
      </c>
      <c r="F2054" t="str">
        <f>"BCBS PAYABLE"</f>
        <v>BCBS PAYABLE</v>
      </c>
      <c r="G2054" s="3">
        <v>107334.62</v>
      </c>
      <c r="H2054" t="str">
        <f t="shared" si="49"/>
        <v>BCBS PAYABLE</v>
      </c>
    </row>
    <row r="2055" spans="5:8" x14ac:dyDescent="0.25">
      <c r="E2055" t="str">
        <f>""</f>
        <v/>
      </c>
      <c r="F2055" t="str">
        <f>""</f>
        <v/>
      </c>
      <c r="H2055" t="str">
        <f t="shared" si="49"/>
        <v>BCBS PAYABLE</v>
      </c>
    </row>
    <row r="2056" spans="5:8" x14ac:dyDescent="0.25">
      <c r="E2056" t="str">
        <f>""</f>
        <v/>
      </c>
      <c r="F2056" t="str">
        <f>""</f>
        <v/>
      </c>
      <c r="H2056" t="str">
        <f t="shared" si="49"/>
        <v>BCBS PAYABLE</v>
      </c>
    </row>
    <row r="2057" spans="5:8" x14ac:dyDescent="0.25">
      <c r="E2057" t="str">
        <f>""</f>
        <v/>
      </c>
      <c r="F2057" t="str">
        <f>""</f>
        <v/>
      </c>
      <c r="H2057" t="str">
        <f t="shared" si="49"/>
        <v>BCBS PAYABLE</v>
      </c>
    </row>
    <row r="2058" spans="5:8" x14ac:dyDescent="0.25">
      <c r="E2058" t="str">
        <f>""</f>
        <v/>
      </c>
      <c r="F2058" t="str">
        <f>""</f>
        <v/>
      </c>
      <c r="H2058" t="str">
        <f t="shared" ref="H2058:H2121" si="50">"BCBS PAYABLE"</f>
        <v>BCBS PAYABLE</v>
      </c>
    </row>
    <row r="2059" spans="5:8" x14ac:dyDescent="0.25">
      <c r="E2059" t="str">
        <f>""</f>
        <v/>
      </c>
      <c r="F2059" t="str">
        <f>""</f>
        <v/>
      </c>
      <c r="H2059" t="str">
        <f t="shared" si="50"/>
        <v>BCBS PAYABLE</v>
      </c>
    </row>
    <row r="2060" spans="5:8" x14ac:dyDescent="0.25">
      <c r="E2060" t="str">
        <f>""</f>
        <v/>
      </c>
      <c r="F2060" t="str">
        <f>""</f>
        <v/>
      </c>
      <c r="H2060" t="str">
        <f t="shared" si="50"/>
        <v>BCBS PAYABLE</v>
      </c>
    </row>
    <row r="2061" spans="5:8" x14ac:dyDescent="0.25">
      <c r="E2061" t="str">
        <f>""</f>
        <v/>
      </c>
      <c r="F2061" t="str">
        <f>""</f>
        <v/>
      </c>
      <c r="H2061" t="str">
        <f t="shared" si="50"/>
        <v>BCBS PAYABLE</v>
      </c>
    </row>
    <row r="2062" spans="5:8" x14ac:dyDescent="0.25">
      <c r="E2062" t="str">
        <f>""</f>
        <v/>
      </c>
      <c r="F2062" t="str">
        <f>""</f>
        <v/>
      </c>
      <c r="H2062" t="str">
        <f t="shared" si="50"/>
        <v>BCBS PAYABLE</v>
      </c>
    </row>
    <row r="2063" spans="5:8" x14ac:dyDescent="0.25">
      <c r="E2063" t="str">
        <f>""</f>
        <v/>
      </c>
      <c r="F2063" t="str">
        <f>""</f>
        <v/>
      </c>
      <c r="H2063" t="str">
        <f t="shared" si="50"/>
        <v>BCBS PAYABLE</v>
      </c>
    </row>
    <row r="2064" spans="5:8" x14ac:dyDescent="0.25">
      <c r="E2064" t="str">
        <f>""</f>
        <v/>
      </c>
      <c r="F2064" t="str">
        <f>""</f>
        <v/>
      </c>
      <c r="H2064" t="str">
        <f t="shared" si="50"/>
        <v>BCBS PAYABLE</v>
      </c>
    </row>
    <row r="2065" spans="5:8" x14ac:dyDescent="0.25">
      <c r="E2065" t="str">
        <f>""</f>
        <v/>
      </c>
      <c r="F2065" t="str">
        <f>""</f>
        <v/>
      </c>
      <c r="H2065" t="str">
        <f t="shared" si="50"/>
        <v>BCBS PAYABLE</v>
      </c>
    </row>
    <row r="2066" spans="5:8" x14ac:dyDescent="0.25">
      <c r="E2066" t="str">
        <f>""</f>
        <v/>
      </c>
      <c r="F2066" t="str">
        <f>""</f>
        <v/>
      </c>
      <c r="H2066" t="str">
        <f t="shared" si="50"/>
        <v>BCBS PAYABLE</v>
      </c>
    </row>
    <row r="2067" spans="5:8" x14ac:dyDescent="0.25">
      <c r="E2067" t="str">
        <f>""</f>
        <v/>
      </c>
      <c r="F2067" t="str">
        <f>""</f>
        <v/>
      </c>
      <c r="H2067" t="str">
        <f t="shared" si="50"/>
        <v>BCBS PAYABLE</v>
      </c>
    </row>
    <row r="2068" spans="5:8" x14ac:dyDescent="0.25">
      <c r="E2068" t="str">
        <f>""</f>
        <v/>
      </c>
      <c r="F2068" t="str">
        <f>""</f>
        <v/>
      </c>
      <c r="H2068" t="str">
        <f t="shared" si="50"/>
        <v>BCBS PAYABLE</v>
      </c>
    </row>
    <row r="2069" spans="5:8" x14ac:dyDescent="0.25">
      <c r="E2069" t="str">
        <f>""</f>
        <v/>
      </c>
      <c r="F2069" t="str">
        <f>""</f>
        <v/>
      </c>
      <c r="H2069" t="str">
        <f t="shared" si="50"/>
        <v>BCBS PAYABLE</v>
      </c>
    </row>
    <row r="2070" spans="5:8" x14ac:dyDescent="0.25">
      <c r="E2070" t="str">
        <f>""</f>
        <v/>
      </c>
      <c r="F2070" t="str">
        <f>""</f>
        <v/>
      </c>
      <c r="H2070" t="str">
        <f t="shared" si="50"/>
        <v>BCBS PAYABLE</v>
      </c>
    </row>
    <row r="2071" spans="5:8" x14ac:dyDescent="0.25">
      <c r="E2071" t="str">
        <f>""</f>
        <v/>
      </c>
      <c r="F2071" t="str">
        <f>""</f>
        <v/>
      </c>
      <c r="H2071" t="str">
        <f t="shared" si="50"/>
        <v>BCBS PAYABLE</v>
      </c>
    </row>
    <row r="2072" spans="5:8" x14ac:dyDescent="0.25">
      <c r="E2072" t="str">
        <f>""</f>
        <v/>
      </c>
      <c r="F2072" t="str">
        <f>""</f>
        <v/>
      </c>
      <c r="H2072" t="str">
        <f t="shared" si="50"/>
        <v>BCBS PAYABLE</v>
      </c>
    </row>
    <row r="2073" spans="5:8" x14ac:dyDescent="0.25">
      <c r="E2073" t="str">
        <f>""</f>
        <v/>
      </c>
      <c r="F2073" t="str">
        <f>""</f>
        <v/>
      </c>
      <c r="H2073" t="str">
        <f t="shared" si="50"/>
        <v>BCBS PAYABLE</v>
      </c>
    </row>
    <row r="2074" spans="5:8" x14ac:dyDescent="0.25">
      <c r="E2074" t="str">
        <f>""</f>
        <v/>
      </c>
      <c r="F2074" t="str">
        <f>""</f>
        <v/>
      </c>
      <c r="H2074" t="str">
        <f t="shared" si="50"/>
        <v>BCBS PAYABLE</v>
      </c>
    </row>
    <row r="2075" spans="5:8" x14ac:dyDescent="0.25">
      <c r="E2075" t="str">
        <f>""</f>
        <v/>
      </c>
      <c r="F2075" t="str">
        <f>""</f>
        <v/>
      </c>
      <c r="H2075" t="str">
        <f t="shared" si="50"/>
        <v>BCBS PAYABLE</v>
      </c>
    </row>
    <row r="2076" spans="5:8" x14ac:dyDescent="0.25">
      <c r="E2076" t="str">
        <f>""</f>
        <v/>
      </c>
      <c r="F2076" t="str">
        <f>""</f>
        <v/>
      </c>
      <c r="H2076" t="str">
        <f t="shared" si="50"/>
        <v>BCBS PAYABLE</v>
      </c>
    </row>
    <row r="2077" spans="5:8" x14ac:dyDescent="0.25">
      <c r="E2077" t="str">
        <f>""</f>
        <v/>
      </c>
      <c r="F2077" t="str">
        <f>""</f>
        <v/>
      </c>
      <c r="H2077" t="str">
        <f t="shared" si="50"/>
        <v>BCBS PAYABLE</v>
      </c>
    </row>
    <row r="2078" spans="5:8" x14ac:dyDescent="0.25">
      <c r="E2078" t="str">
        <f>""</f>
        <v/>
      </c>
      <c r="F2078" t="str">
        <f>""</f>
        <v/>
      </c>
      <c r="H2078" t="str">
        <f t="shared" si="50"/>
        <v>BCBS PAYABLE</v>
      </c>
    </row>
    <row r="2079" spans="5:8" x14ac:dyDescent="0.25">
      <c r="E2079" t="str">
        <f>""</f>
        <v/>
      </c>
      <c r="F2079" t="str">
        <f>""</f>
        <v/>
      </c>
      <c r="H2079" t="str">
        <f t="shared" si="50"/>
        <v>BCBS PAYABLE</v>
      </c>
    </row>
    <row r="2080" spans="5:8" x14ac:dyDescent="0.25">
      <c r="E2080" t="str">
        <f>""</f>
        <v/>
      </c>
      <c r="F2080" t="str">
        <f>""</f>
        <v/>
      </c>
      <c r="H2080" t="str">
        <f t="shared" si="50"/>
        <v>BCBS PAYABLE</v>
      </c>
    </row>
    <row r="2081" spans="5:8" x14ac:dyDescent="0.25">
      <c r="E2081" t="str">
        <f>""</f>
        <v/>
      </c>
      <c r="F2081" t="str">
        <f>""</f>
        <v/>
      </c>
      <c r="H2081" t="str">
        <f t="shared" si="50"/>
        <v>BCBS PAYABLE</v>
      </c>
    </row>
    <row r="2082" spans="5:8" x14ac:dyDescent="0.25">
      <c r="E2082" t="str">
        <f>""</f>
        <v/>
      </c>
      <c r="F2082" t="str">
        <f>""</f>
        <v/>
      </c>
      <c r="H2082" t="str">
        <f t="shared" si="50"/>
        <v>BCBS PAYABLE</v>
      </c>
    </row>
    <row r="2083" spans="5:8" x14ac:dyDescent="0.25">
      <c r="E2083" t="str">
        <f>""</f>
        <v/>
      </c>
      <c r="F2083" t="str">
        <f>""</f>
        <v/>
      </c>
      <c r="H2083" t="str">
        <f t="shared" si="50"/>
        <v>BCBS PAYABLE</v>
      </c>
    </row>
    <row r="2084" spans="5:8" x14ac:dyDescent="0.25">
      <c r="E2084" t="str">
        <f>""</f>
        <v/>
      </c>
      <c r="F2084" t="str">
        <f>""</f>
        <v/>
      </c>
      <c r="H2084" t="str">
        <f t="shared" si="50"/>
        <v>BCBS PAYABLE</v>
      </c>
    </row>
    <row r="2085" spans="5:8" x14ac:dyDescent="0.25">
      <c r="E2085" t="str">
        <f>""</f>
        <v/>
      </c>
      <c r="F2085" t="str">
        <f>""</f>
        <v/>
      </c>
      <c r="H2085" t="str">
        <f t="shared" si="50"/>
        <v>BCBS PAYABLE</v>
      </c>
    </row>
    <row r="2086" spans="5:8" x14ac:dyDescent="0.25">
      <c r="E2086" t="str">
        <f>""</f>
        <v/>
      </c>
      <c r="F2086" t="str">
        <f>""</f>
        <v/>
      </c>
      <c r="H2086" t="str">
        <f t="shared" si="50"/>
        <v>BCBS PAYABLE</v>
      </c>
    </row>
    <row r="2087" spans="5:8" x14ac:dyDescent="0.25">
      <c r="E2087" t="str">
        <f>""</f>
        <v/>
      </c>
      <c r="F2087" t="str">
        <f>""</f>
        <v/>
      </c>
      <c r="H2087" t="str">
        <f t="shared" si="50"/>
        <v>BCBS PAYABLE</v>
      </c>
    </row>
    <row r="2088" spans="5:8" x14ac:dyDescent="0.25">
      <c r="E2088" t="str">
        <f>""</f>
        <v/>
      </c>
      <c r="F2088" t="str">
        <f>""</f>
        <v/>
      </c>
      <c r="H2088" t="str">
        <f t="shared" si="50"/>
        <v>BCBS PAYABLE</v>
      </c>
    </row>
    <row r="2089" spans="5:8" x14ac:dyDescent="0.25">
      <c r="E2089" t="str">
        <f>""</f>
        <v/>
      </c>
      <c r="F2089" t="str">
        <f>""</f>
        <v/>
      </c>
      <c r="H2089" t="str">
        <f t="shared" si="50"/>
        <v>BCBS PAYABLE</v>
      </c>
    </row>
    <row r="2090" spans="5:8" x14ac:dyDescent="0.25">
      <c r="E2090" t="str">
        <f>""</f>
        <v/>
      </c>
      <c r="F2090" t="str">
        <f>""</f>
        <v/>
      </c>
      <c r="H2090" t="str">
        <f t="shared" si="50"/>
        <v>BCBS PAYABLE</v>
      </c>
    </row>
    <row r="2091" spans="5:8" x14ac:dyDescent="0.25">
      <c r="E2091" t="str">
        <f>""</f>
        <v/>
      </c>
      <c r="F2091" t="str">
        <f>""</f>
        <v/>
      </c>
      <c r="H2091" t="str">
        <f t="shared" si="50"/>
        <v>BCBS PAYABLE</v>
      </c>
    </row>
    <row r="2092" spans="5:8" x14ac:dyDescent="0.25">
      <c r="E2092" t="str">
        <f>""</f>
        <v/>
      </c>
      <c r="F2092" t="str">
        <f>""</f>
        <v/>
      </c>
      <c r="H2092" t="str">
        <f t="shared" si="50"/>
        <v>BCBS PAYABLE</v>
      </c>
    </row>
    <row r="2093" spans="5:8" x14ac:dyDescent="0.25">
      <c r="E2093" t="str">
        <f>""</f>
        <v/>
      </c>
      <c r="F2093" t="str">
        <f>""</f>
        <v/>
      </c>
      <c r="H2093" t="str">
        <f t="shared" si="50"/>
        <v>BCBS PAYABLE</v>
      </c>
    </row>
    <row r="2094" spans="5:8" x14ac:dyDescent="0.25">
      <c r="E2094" t="str">
        <f>""</f>
        <v/>
      </c>
      <c r="F2094" t="str">
        <f>""</f>
        <v/>
      </c>
      <c r="H2094" t="str">
        <f t="shared" si="50"/>
        <v>BCBS PAYABLE</v>
      </c>
    </row>
    <row r="2095" spans="5:8" x14ac:dyDescent="0.25">
      <c r="E2095" t="str">
        <f>""</f>
        <v/>
      </c>
      <c r="F2095" t="str">
        <f>""</f>
        <v/>
      </c>
      <c r="H2095" t="str">
        <f t="shared" si="50"/>
        <v>BCBS PAYABLE</v>
      </c>
    </row>
    <row r="2096" spans="5:8" x14ac:dyDescent="0.25">
      <c r="E2096" t="str">
        <f>""</f>
        <v/>
      </c>
      <c r="F2096" t="str">
        <f>""</f>
        <v/>
      </c>
      <c r="H2096" t="str">
        <f t="shared" si="50"/>
        <v>BCBS PAYABLE</v>
      </c>
    </row>
    <row r="2097" spans="5:8" x14ac:dyDescent="0.25">
      <c r="E2097" t="str">
        <f>""</f>
        <v/>
      </c>
      <c r="F2097" t="str">
        <f>""</f>
        <v/>
      </c>
      <c r="H2097" t="str">
        <f t="shared" si="50"/>
        <v>BCBS PAYABLE</v>
      </c>
    </row>
    <row r="2098" spans="5:8" x14ac:dyDescent="0.25">
      <c r="E2098" t="str">
        <f>""</f>
        <v/>
      </c>
      <c r="F2098" t="str">
        <f>""</f>
        <v/>
      </c>
      <c r="H2098" t="str">
        <f t="shared" si="50"/>
        <v>BCBS PAYABLE</v>
      </c>
    </row>
    <row r="2099" spans="5:8" x14ac:dyDescent="0.25">
      <c r="E2099" t="str">
        <f>""</f>
        <v/>
      </c>
      <c r="F2099" t="str">
        <f>""</f>
        <v/>
      </c>
      <c r="H2099" t="str">
        <f t="shared" si="50"/>
        <v>BCBS PAYABLE</v>
      </c>
    </row>
    <row r="2100" spans="5:8" x14ac:dyDescent="0.25">
      <c r="E2100" t="str">
        <f>""</f>
        <v/>
      </c>
      <c r="F2100" t="str">
        <f>""</f>
        <v/>
      </c>
      <c r="H2100" t="str">
        <f t="shared" si="50"/>
        <v>BCBS PAYABLE</v>
      </c>
    </row>
    <row r="2101" spans="5:8" x14ac:dyDescent="0.25">
      <c r="E2101" t="str">
        <f>"2EO202103172244"</f>
        <v>2EO202103172244</v>
      </c>
      <c r="F2101" t="str">
        <f>"BCBS PAYABLE"</f>
        <v>BCBS PAYABLE</v>
      </c>
      <c r="G2101" s="3">
        <v>3076.47</v>
      </c>
      <c r="H2101" t="str">
        <f t="shared" si="50"/>
        <v>BCBS PAYABLE</v>
      </c>
    </row>
    <row r="2102" spans="5:8" x14ac:dyDescent="0.25">
      <c r="E2102" t="str">
        <f>"2ES202103031933"</f>
        <v>2ES202103031933</v>
      </c>
      <c r="F2102" t="str">
        <f>"BCBS PAYABLE"</f>
        <v>BCBS PAYABLE</v>
      </c>
      <c r="G2102" s="3">
        <v>18483.419999999998</v>
      </c>
      <c r="H2102" t="str">
        <f t="shared" si="50"/>
        <v>BCBS PAYABLE</v>
      </c>
    </row>
    <row r="2103" spans="5:8" x14ac:dyDescent="0.25">
      <c r="E2103" t="str">
        <f>""</f>
        <v/>
      </c>
      <c r="F2103" t="str">
        <f>""</f>
        <v/>
      </c>
      <c r="H2103" t="str">
        <f t="shared" si="50"/>
        <v>BCBS PAYABLE</v>
      </c>
    </row>
    <row r="2104" spans="5:8" x14ac:dyDescent="0.25">
      <c r="E2104" t="str">
        <f>""</f>
        <v/>
      </c>
      <c r="F2104" t="str">
        <f>""</f>
        <v/>
      </c>
      <c r="H2104" t="str">
        <f t="shared" si="50"/>
        <v>BCBS PAYABLE</v>
      </c>
    </row>
    <row r="2105" spans="5:8" x14ac:dyDescent="0.25">
      <c r="E2105" t="str">
        <f>""</f>
        <v/>
      </c>
      <c r="F2105" t="str">
        <f>""</f>
        <v/>
      </c>
      <c r="H2105" t="str">
        <f t="shared" si="50"/>
        <v>BCBS PAYABLE</v>
      </c>
    </row>
    <row r="2106" spans="5:8" x14ac:dyDescent="0.25">
      <c r="E2106" t="str">
        <f>""</f>
        <v/>
      </c>
      <c r="F2106" t="str">
        <f>""</f>
        <v/>
      </c>
      <c r="H2106" t="str">
        <f t="shared" si="50"/>
        <v>BCBS PAYABLE</v>
      </c>
    </row>
    <row r="2107" spans="5:8" x14ac:dyDescent="0.25">
      <c r="E2107" t="str">
        <f>""</f>
        <v/>
      </c>
      <c r="F2107" t="str">
        <f>""</f>
        <v/>
      </c>
      <c r="H2107" t="str">
        <f t="shared" si="50"/>
        <v>BCBS PAYABLE</v>
      </c>
    </row>
    <row r="2108" spans="5:8" x14ac:dyDescent="0.25">
      <c r="E2108" t="str">
        <f>""</f>
        <v/>
      </c>
      <c r="F2108" t="str">
        <f>""</f>
        <v/>
      </c>
      <c r="H2108" t="str">
        <f t="shared" si="50"/>
        <v>BCBS PAYABLE</v>
      </c>
    </row>
    <row r="2109" spans="5:8" x14ac:dyDescent="0.25">
      <c r="E2109" t="str">
        <f>""</f>
        <v/>
      </c>
      <c r="F2109" t="str">
        <f>""</f>
        <v/>
      </c>
      <c r="H2109" t="str">
        <f t="shared" si="50"/>
        <v>BCBS PAYABLE</v>
      </c>
    </row>
    <row r="2110" spans="5:8" x14ac:dyDescent="0.25">
      <c r="E2110" t="str">
        <f>""</f>
        <v/>
      </c>
      <c r="F2110" t="str">
        <f>""</f>
        <v/>
      </c>
      <c r="H2110" t="str">
        <f t="shared" si="50"/>
        <v>BCBS PAYABLE</v>
      </c>
    </row>
    <row r="2111" spans="5:8" x14ac:dyDescent="0.25">
      <c r="E2111" t="str">
        <f>""</f>
        <v/>
      </c>
      <c r="F2111" t="str">
        <f>""</f>
        <v/>
      </c>
      <c r="H2111" t="str">
        <f t="shared" si="50"/>
        <v>BCBS PAYABLE</v>
      </c>
    </row>
    <row r="2112" spans="5:8" x14ac:dyDescent="0.25">
      <c r="E2112" t="str">
        <f>""</f>
        <v/>
      </c>
      <c r="F2112" t="str">
        <f>""</f>
        <v/>
      </c>
      <c r="H2112" t="str">
        <f t="shared" si="50"/>
        <v>BCBS PAYABLE</v>
      </c>
    </row>
    <row r="2113" spans="5:8" x14ac:dyDescent="0.25">
      <c r="E2113" t="str">
        <f>""</f>
        <v/>
      </c>
      <c r="F2113" t="str">
        <f>""</f>
        <v/>
      </c>
      <c r="H2113" t="str">
        <f t="shared" si="50"/>
        <v>BCBS PAYABLE</v>
      </c>
    </row>
    <row r="2114" spans="5:8" x14ac:dyDescent="0.25">
      <c r="E2114" t="str">
        <f>""</f>
        <v/>
      </c>
      <c r="F2114" t="str">
        <f>""</f>
        <v/>
      </c>
      <c r="H2114" t="str">
        <f t="shared" si="50"/>
        <v>BCBS PAYABLE</v>
      </c>
    </row>
    <row r="2115" spans="5:8" x14ac:dyDescent="0.25">
      <c r="E2115" t="str">
        <f>""</f>
        <v/>
      </c>
      <c r="F2115" t="str">
        <f>""</f>
        <v/>
      </c>
      <c r="H2115" t="str">
        <f t="shared" si="50"/>
        <v>BCBS PAYABLE</v>
      </c>
    </row>
    <row r="2116" spans="5:8" x14ac:dyDescent="0.25">
      <c r="E2116" t="str">
        <f>""</f>
        <v/>
      </c>
      <c r="F2116" t="str">
        <f>""</f>
        <v/>
      </c>
      <c r="H2116" t="str">
        <f t="shared" si="50"/>
        <v>BCBS PAYABLE</v>
      </c>
    </row>
    <row r="2117" spans="5:8" x14ac:dyDescent="0.25">
      <c r="E2117" t="str">
        <f>""</f>
        <v/>
      </c>
      <c r="F2117" t="str">
        <f>""</f>
        <v/>
      </c>
      <c r="H2117" t="str">
        <f t="shared" si="50"/>
        <v>BCBS PAYABLE</v>
      </c>
    </row>
    <row r="2118" spans="5:8" x14ac:dyDescent="0.25">
      <c r="E2118" t="str">
        <f>""</f>
        <v/>
      </c>
      <c r="F2118" t="str">
        <f>""</f>
        <v/>
      </c>
      <c r="H2118" t="str">
        <f t="shared" si="50"/>
        <v>BCBS PAYABLE</v>
      </c>
    </row>
    <row r="2119" spans="5:8" x14ac:dyDescent="0.25">
      <c r="E2119" t="str">
        <f>"2ES202103172243"</f>
        <v>2ES202103172243</v>
      </c>
      <c r="F2119" t="str">
        <f>"BCBS PAYABLE"</f>
        <v>BCBS PAYABLE</v>
      </c>
      <c r="G2119" s="3">
        <v>18483.419999999998</v>
      </c>
      <c r="H2119" t="str">
        <f t="shared" si="50"/>
        <v>BCBS PAYABLE</v>
      </c>
    </row>
    <row r="2120" spans="5:8" x14ac:dyDescent="0.25">
      <c r="E2120" t="str">
        <f>""</f>
        <v/>
      </c>
      <c r="F2120" t="str">
        <f>""</f>
        <v/>
      </c>
      <c r="H2120" t="str">
        <f t="shared" si="50"/>
        <v>BCBS PAYABLE</v>
      </c>
    </row>
    <row r="2121" spans="5:8" x14ac:dyDescent="0.25">
      <c r="E2121" t="str">
        <f>""</f>
        <v/>
      </c>
      <c r="F2121" t="str">
        <f>""</f>
        <v/>
      </c>
      <c r="H2121" t="str">
        <f t="shared" si="50"/>
        <v>BCBS PAYABLE</v>
      </c>
    </row>
    <row r="2122" spans="5:8" x14ac:dyDescent="0.25">
      <c r="E2122" t="str">
        <f>""</f>
        <v/>
      </c>
      <c r="F2122" t="str">
        <f>""</f>
        <v/>
      </c>
      <c r="H2122" t="str">
        <f t="shared" ref="H2122:H2135" si="51">"BCBS PAYABLE"</f>
        <v>BCBS PAYABLE</v>
      </c>
    </row>
    <row r="2123" spans="5:8" x14ac:dyDescent="0.25">
      <c r="E2123" t="str">
        <f>""</f>
        <v/>
      </c>
      <c r="F2123" t="str">
        <f>""</f>
        <v/>
      </c>
      <c r="H2123" t="str">
        <f t="shared" si="51"/>
        <v>BCBS PAYABLE</v>
      </c>
    </row>
    <row r="2124" spans="5:8" x14ac:dyDescent="0.25">
      <c r="E2124" t="str">
        <f>""</f>
        <v/>
      </c>
      <c r="F2124" t="str">
        <f>""</f>
        <v/>
      </c>
      <c r="H2124" t="str">
        <f t="shared" si="51"/>
        <v>BCBS PAYABLE</v>
      </c>
    </row>
    <row r="2125" spans="5:8" x14ac:dyDescent="0.25">
      <c r="E2125" t="str">
        <f>""</f>
        <v/>
      </c>
      <c r="F2125" t="str">
        <f>""</f>
        <v/>
      </c>
      <c r="H2125" t="str">
        <f t="shared" si="51"/>
        <v>BCBS PAYABLE</v>
      </c>
    </row>
    <row r="2126" spans="5:8" x14ac:dyDescent="0.25">
      <c r="E2126" t="str">
        <f>""</f>
        <v/>
      </c>
      <c r="F2126" t="str">
        <f>""</f>
        <v/>
      </c>
      <c r="H2126" t="str">
        <f t="shared" si="51"/>
        <v>BCBS PAYABLE</v>
      </c>
    </row>
    <row r="2127" spans="5:8" x14ac:dyDescent="0.25">
      <c r="E2127" t="str">
        <f>""</f>
        <v/>
      </c>
      <c r="F2127" t="str">
        <f>""</f>
        <v/>
      </c>
      <c r="H2127" t="str">
        <f t="shared" si="51"/>
        <v>BCBS PAYABLE</v>
      </c>
    </row>
    <row r="2128" spans="5:8" x14ac:dyDescent="0.25">
      <c r="E2128" t="str">
        <f>""</f>
        <v/>
      </c>
      <c r="F2128" t="str">
        <f>""</f>
        <v/>
      </c>
      <c r="H2128" t="str">
        <f t="shared" si="51"/>
        <v>BCBS PAYABLE</v>
      </c>
    </row>
    <row r="2129" spans="1:8" x14ac:dyDescent="0.25">
      <c r="E2129" t="str">
        <f>""</f>
        <v/>
      </c>
      <c r="F2129" t="str">
        <f>""</f>
        <v/>
      </c>
      <c r="H2129" t="str">
        <f t="shared" si="51"/>
        <v>BCBS PAYABLE</v>
      </c>
    </row>
    <row r="2130" spans="1:8" x14ac:dyDescent="0.25">
      <c r="E2130" t="str">
        <f>""</f>
        <v/>
      </c>
      <c r="F2130" t="str">
        <f>""</f>
        <v/>
      </c>
      <c r="H2130" t="str">
        <f t="shared" si="51"/>
        <v>BCBS PAYABLE</v>
      </c>
    </row>
    <row r="2131" spans="1:8" x14ac:dyDescent="0.25">
      <c r="E2131" t="str">
        <f>""</f>
        <v/>
      </c>
      <c r="F2131" t="str">
        <f>""</f>
        <v/>
      </c>
      <c r="H2131" t="str">
        <f t="shared" si="51"/>
        <v>BCBS PAYABLE</v>
      </c>
    </row>
    <row r="2132" spans="1:8" x14ac:dyDescent="0.25">
      <c r="E2132" t="str">
        <f>""</f>
        <v/>
      </c>
      <c r="F2132" t="str">
        <f>""</f>
        <v/>
      </c>
      <c r="H2132" t="str">
        <f t="shared" si="51"/>
        <v>BCBS PAYABLE</v>
      </c>
    </row>
    <row r="2133" spans="1:8" x14ac:dyDescent="0.25">
      <c r="E2133" t="str">
        <f>""</f>
        <v/>
      </c>
      <c r="F2133" t="str">
        <f>""</f>
        <v/>
      </c>
      <c r="H2133" t="str">
        <f t="shared" si="51"/>
        <v>BCBS PAYABLE</v>
      </c>
    </row>
    <row r="2134" spans="1:8" x14ac:dyDescent="0.25">
      <c r="E2134" t="str">
        <f>""</f>
        <v/>
      </c>
      <c r="F2134" t="str">
        <f>""</f>
        <v/>
      </c>
      <c r="H2134" t="str">
        <f t="shared" si="51"/>
        <v>BCBS PAYABLE</v>
      </c>
    </row>
    <row r="2135" spans="1:8" x14ac:dyDescent="0.25">
      <c r="E2135" t="str">
        <f>""</f>
        <v/>
      </c>
      <c r="F2135" t="str">
        <f>""</f>
        <v/>
      </c>
      <c r="H2135" t="str">
        <f t="shared" si="51"/>
        <v>BCBS PAYABLE</v>
      </c>
    </row>
    <row r="2136" spans="1:8" x14ac:dyDescent="0.25">
      <c r="A2136" t="s">
        <v>350</v>
      </c>
      <c r="B2136">
        <v>947</v>
      </c>
      <c r="C2136" s="3">
        <v>10927.37</v>
      </c>
      <c r="D2136" s="6">
        <v>44260</v>
      </c>
      <c r="E2136" t="str">
        <f>"FSA202103031933"</f>
        <v>FSA202103031933</v>
      </c>
      <c r="F2136" t="str">
        <f>"TASC FSA"</f>
        <v>TASC FSA</v>
      </c>
      <c r="G2136" s="3">
        <v>7392.6</v>
      </c>
      <c r="H2136" t="str">
        <f>"TASC FSA"</f>
        <v>TASC FSA</v>
      </c>
    </row>
    <row r="2137" spans="1:8" x14ac:dyDescent="0.25">
      <c r="E2137" t="str">
        <f>"FSA202103031934"</f>
        <v>FSA202103031934</v>
      </c>
      <c r="F2137" t="str">
        <f>"TASC FSA"</f>
        <v>TASC FSA</v>
      </c>
      <c r="G2137" s="3">
        <v>328.74</v>
      </c>
      <c r="H2137" t="str">
        <f>"TASC FSA"</f>
        <v>TASC FSA</v>
      </c>
    </row>
    <row r="2138" spans="1:8" x14ac:dyDescent="0.25">
      <c r="E2138" t="str">
        <f>"FSC202103031933"</f>
        <v>FSC202103031933</v>
      </c>
      <c r="F2138" t="str">
        <f>"TASC DEPENDENT CARE"</f>
        <v>TASC DEPENDENT CARE</v>
      </c>
      <c r="G2138" s="3">
        <v>50</v>
      </c>
      <c r="H2138" t="str">
        <f>"TASC DEPENDENT CARE"</f>
        <v>TASC DEPENDENT CARE</v>
      </c>
    </row>
    <row r="2139" spans="1:8" x14ac:dyDescent="0.25">
      <c r="E2139" t="str">
        <f>"FSF202103031933"</f>
        <v>FSF202103031933</v>
      </c>
      <c r="F2139" t="str">
        <f>"TASC - FSA  FEES"</f>
        <v>TASC - FSA  FEES</v>
      </c>
      <c r="G2139" s="3">
        <v>246.6</v>
      </c>
      <c r="H2139" t="str">
        <f t="shared" ref="H2139:H2178" si="52">"TASC - FSA  FEES"</f>
        <v>TASC - FSA  FEES</v>
      </c>
    </row>
    <row r="2140" spans="1:8" x14ac:dyDescent="0.25">
      <c r="E2140" t="str">
        <f>""</f>
        <v/>
      </c>
      <c r="F2140" t="str">
        <f>""</f>
        <v/>
      </c>
      <c r="H2140" t="str">
        <f t="shared" si="52"/>
        <v>TASC - FSA  FEES</v>
      </c>
    </row>
    <row r="2141" spans="1:8" x14ac:dyDescent="0.25">
      <c r="E2141" t="str">
        <f>""</f>
        <v/>
      </c>
      <c r="F2141" t="str">
        <f>""</f>
        <v/>
      </c>
      <c r="H2141" t="str">
        <f t="shared" si="52"/>
        <v>TASC - FSA  FEES</v>
      </c>
    </row>
    <row r="2142" spans="1:8" x14ac:dyDescent="0.25">
      <c r="E2142" t="str">
        <f>""</f>
        <v/>
      </c>
      <c r="F2142" t="str">
        <f>""</f>
        <v/>
      </c>
      <c r="H2142" t="str">
        <f t="shared" si="52"/>
        <v>TASC - FSA  FEES</v>
      </c>
    </row>
    <row r="2143" spans="1:8" x14ac:dyDescent="0.25">
      <c r="E2143" t="str">
        <f>""</f>
        <v/>
      </c>
      <c r="F2143" t="str">
        <f>""</f>
        <v/>
      </c>
      <c r="H2143" t="str">
        <f t="shared" si="52"/>
        <v>TASC - FSA  FEES</v>
      </c>
    </row>
    <row r="2144" spans="1:8" x14ac:dyDescent="0.25">
      <c r="E2144" t="str">
        <f>""</f>
        <v/>
      </c>
      <c r="F2144" t="str">
        <f>""</f>
        <v/>
      </c>
      <c r="H2144" t="str">
        <f t="shared" si="52"/>
        <v>TASC - FSA  FEES</v>
      </c>
    </row>
    <row r="2145" spans="5:8" x14ac:dyDescent="0.25">
      <c r="E2145" t="str">
        <f>""</f>
        <v/>
      </c>
      <c r="F2145" t="str">
        <f>""</f>
        <v/>
      </c>
      <c r="H2145" t="str">
        <f t="shared" si="52"/>
        <v>TASC - FSA  FEES</v>
      </c>
    </row>
    <row r="2146" spans="5:8" x14ac:dyDescent="0.25">
      <c r="E2146" t="str">
        <f>""</f>
        <v/>
      </c>
      <c r="F2146" t="str">
        <f>""</f>
        <v/>
      </c>
      <c r="H2146" t="str">
        <f t="shared" si="52"/>
        <v>TASC - FSA  FEES</v>
      </c>
    </row>
    <row r="2147" spans="5:8" x14ac:dyDescent="0.25">
      <c r="E2147" t="str">
        <f>""</f>
        <v/>
      </c>
      <c r="F2147" t="str">
        <f>""</f>
        <v/>
      </c>
      <c r="H2147" t="str">
        <f t="shared" si="52"/>
        <v>TASC - FSA  FEES</v>
      </c>
    </row>
    <row r="2148" spans="5:8" x14ac:dyDescent="0.25">
      <c r="E2148" t="str">
        <f>""</f>
        <v/>
      </c>
      <c r="F2148" t="str">
        <f>""</f>
        <v/>
      </c>
      <c r="H2148" t="str">
        <f t="shared" si="52"/>
        <v>TASC - FSA  FEES</v>
      </c>
    </row>
    <row r="2149" spans="5:8" x14ac:dyDescent="0.25">
      <c r="E2149" t="str">
        <f>""</f>
        <v/>
      </c>
      <c r="F2149" t="str">
        <f>""</f>
        <v/>
      </c>
      <c r="H2149" t="str">
        <f t="shared" si="52"/>
        <v>TASC - FSA  FEES</v>
      </c>
    </row>
    <row r="2150" spans="5:8" x14ac:dyDescent="0.25">
      <c r="E2150" t="str">
        <f>""</f>
        <v/>
      </c>
      <c r="F2150" t="str">
        <f>""</f>
        <v/>
      </c>
      <c r="H2150" t="str">
        <f t="shared" si="52"/>
        <v>TASC - FSA  FEES</v>
      </c>
    </row>
    <row r="2151" spans="5:8" x14ac:dyDescent="0.25">
      <c r="E2151" t="str">
        <f>""</f>
        <v/>
      </c>
      <c r="F2151" t="str">
        <f>""</f>
        <v/>
      </c>
      <c r="H2151" t="str">
        <f t="shared" si="52"/>
        <v>TASC - FSA  FEES</v>
      </c>
    </row>
    <row r="2152" spans="5:8" x14ac:dyDescent="0.25">
      <c r="E2152" t="str">
        <f>""</f>
        <v/>
      </c>
      <c r="F2152" t="str">
        <f>""</f>
        <v/>
      </c>
      <c r="H2152" t="str">
        <f t="shared" si="52"/>
        <v>TASC - FSA  FEES</v>
      </c>
    </row>
    <row r="2153" spans="5:8" x14ac:dyDescent="0.25">
      <c r="E2153" t="str">
        <f>""</f>
        <v/>
      </c>
      <c r="F2153" t="str">
        <f>""</f>
        <v/>
      </c>
      <c r="H2153" t="str">
        <f t="shared" si="52"/>
        <v>TASC - FSA  FEES</v>
      </c>
    </row>
    <row r="2154" spans="5:8" x14ac:dyDescent="0.25">
      <c r="E2154" t="str">
        <f>""</f>
        <v/>
      </c>
      <c r="F2154" t="str">
        <f>""</f>
        <v/>
      </c>
      <c r="H2154" t="str">
        <f t="shared" si="52"/>
        <v>TASC - FSA  FEES</v>
      </c>
    </row>
    <row r="2155" spans="5:8" x14ac:dyDescent="0.25">
      <c r="E2155" t="str">
        <f>""</f>
        <v/>
      </c>
      <c r="F2155" t="str">
        <f>""</f>
        <v/>
      </c>
      <c r="H2155" t="str">
        <f t="shared" si="52"/>
        <v>TASC - FSA  FEES</v>
      </c>
    </row>
    <row r="2156" spans="5:8" x14ac:dyDescent="0.25">
      <c r="E2156" t="str">
        <f>""</f>
        <v/>
      </c>
      <c r="F2156" t="str">
        <f>""</f>
        <v/>
      </c>
      <c r="H2156" t="str">
        <f t="shared" si="52"/>
        <v>TASC - FSA  FEES</v>
      </c>
    </row>
    <row r="2157" spans="5:8" x14ac:dyDescent="0.25">
      <c r="E2157" t="str">
        <f>""</f>
        <v/>
      </c>
      <c r="F2157" t="str">
        <f>""</f>
        <v/>
      </c>
      <c r="H2157" t="str">
        <f t="shared" si="52"/>
        <v>TASC - FSA  FEES</v>
      </c>
    </row>
    <row r="2158" spans="5:8" x14ac:dyDescent="0.25">
      <c r="E2158" t="str">
        <f>""</f>
        <v/>
      </c>
      <c r="F2158" t="str">
        <f>""</f>
        <v/>
      </c>
      <c r="H2158" t="str">
        <f t="shared" si="52"/>
        <v>TASC - FSA  FEES</v>
      </c>
    </row>
    <row r="2159" spans="5:8" x14ac:dyDescent="0.25">
      <c r="E2159" t="str">
        <f>""</f>
        <v/>
      </c>
      <c r="F2159" t="str">
        <f>""</f>
        <v/>
      </c>
      <c r="H2159" t="str">
        <f t="shared" si="52"/>
        <v>TASC - FSA  FEES</v>
      </c>
    </row>
    <row r="2160" spans="5:8" x14ac:dyDescent="0.25">
      <c r="E2160" t="str">
        <f>""</f>
        <v/>
      </c>
      <c r="F2160" t="str">
        <f>""</f>
        <v/>
      </c>
      <c r="H2160" t="str">
        <f t="shared" si="52"/>
        <v>TASC - FSA  FEES</v>
      </c>
    </row>
    <row r="2161" spans="5:8" x14ac:dyDescent="0.25">
      <c r="E2161" t="str">
        <f>""</f>
        <v/>
      </c>
      <c r="F2161" t="str">
        <f>""</f>
        <v/>
      </c>
      <c r="H2161" t="str">
        <f t="shared" si="52"/>
        <v>TASC - FSA  FEES</v>
      </c>
    </row>
    <row r="2162" spans="5:8" x14ac:dyDescent="0.25">
      <c r="E2162" t="str">
        <f>""</f>
        <v/>
      </c>
      <c r="F2162" t="str">
        <f>""</f>
        <v/>
      </c>
      <c r="H2162" t="str">
        <f t="shared" si="52"/>
        <v>TASC - FSA  FEES</v>
      </c>
    </row>
    <row r="2163" spans="5:8" x14ac:dyDescent="0.25">
      <c r="E2163" t="str">
        <f>""</f>
        <v/>
      </c>
      <c r="F2163" t="str">
        <f>""</f>
        <v/>
      </c>
      <c r="H2163" t="str">
        <f t="shared" si="52"/>
        <v>TASC - FSA  FEES</v>
      </c>
    </row>
    <row r="2164" spans="5:8" x14ac:dyDescent="0.25">
      <c r="E2164" t="str">
        <f>""</f>
        <v/>
      </c>
      <c r="F2164" t="str">
        <f>""</f>
        <v/>
      </c>
      <c r="H2164" t="str">
        <f t="shared" si="52"/>
        <v>TASC - FSA  FEES</v>
      </c>
    </row>
    <row r="2165" spans="5:8" x14ac:dyDescent="0.25">
      <c r="E2165" t="str">
        <f>""</f>
        <v/>
      </c>
      <c r="F2165" t="str">
        <f>""</f>
        <v/>
      </c>
      <c r="H2165" t="str">
        <f t="shared" si="52"/>
        <v>TASC - FSA  FEES</v>
      </c>
    </row>
    <row r="2166" spans="5:8" x14ac:dyDescent="0.25">
      <c r="E2166" t="str">
        <f>""</f>
        <v/>
      </c>
      <c r="F2166" t="str">
        <f>""</f>
        <v/>
      </c>
      <c r="H2166" t="str">
        <f t="shared" si="52"/>
        <v>TASC - FSA  FEES</v>
      </c>
    </row>
    <row r="2167" spans="5:8" x14ac:dyDescent="0.25">
      <c r="E2167" t="str">
        <f>""</f>
        <v/>
      </c>
      <c r="F2167" t="str">
        <f>""</f>
        <v/>
      </c>
      <c r="H2167" t="str">
        <f t="shared" si="52"/>
        <v>TASC - FSA  FEES</v>
      </c>
    </row>
    <row r="2168" spans="5:8" x14ac:dyDescent="0.25">
      <c r="E2168" t="str">
        <f>""</f>
        <v/>
      </c>
      <c r="F2168" t="str">
        <f>""</f>
        <v/>
      </c>
      <c r="H2168" t="str">
        <f t="shared" si="52"/>
        <v>TASC - FSA  FEES</v>
      </c>
    </row>
    <row r="2169" spans="5:8" x14ac:dyDescent="0.25">
      <c r="E2169" t="str">
        <f>""</f>
        <v/>
      </c>
      <c r="F2169" t="str">
        <f>""</f>
        <v/>
      </c>
      <c r="H2169" t="str">
        <f t="shared" si="52"/>
        <v>TASC - FSA  FEES</v>
      </c>
    </row>
    <row r="2170" spans="5:8" x14ac:dyDescent="0.25">
      <c r="E2170" t="str">
        <f>""</f>
        <v/>
      </c>
      <c r="F2170" t="str">
        <f>""</f>
        <v/>
      </c>
      <c r="H2170" t="str">
        <f t="shared" si="52"/>
        <v>TASC - FSA  FEES</v>
      </c>
    </row>
    <row r="2171" spans="5:8" x14ac:dyDescent="0.25">
      <c r="E2171" t="str">
        <f>""</f>
        <v/>
      </c>
      <c r="F2171" t="str">
        <f>""</f>
        <v/>
      </c>
      <c r="H2171" t="str">
        <f t="shared" si="52"/>
        <v>TASC - FSA  FEES</v>
      </c>
    </row>
    <row r="2172" spans="5:8" x14ac:dyDescent="0.25">
      <c r="E2172" t="str">
        <f>""</f>
        <v/>
      </c>
      <c r="F2172" t="str">
        <f>""</f>
        <v/>
      </c>
      <c r="H2172" t="str">
        <f t="shared" si="52"/>
        <v>TASC - FSA  FEES</v>
      </c>
    </row>
    <row r="2173" spans="5:8" x14ac:dyDescent="0.25">
      <c r="E2173" t="str">
        <f>""</f>
        <v/>
      </c>
      <c r="F2173" t="str">
        <f>""</f>
        <v/>
      </c>
      <c r="H2173" t="str">
        <f t="shared" si="52"/>
        <v>TASC - FSA  FEES</v>
      </c>
    </row>
    <row r="2174" spans="5:8" x14ac:dyDescent="0.25">
      <c r="E2174" t="str">
        <f>""</f>
        <v/>
      </c>
      <c r="F2174" t="str">
        <f>""</f>
        <v/>
      </c>
      <c r="H2174" t="str">
        <f t="shared" si="52"/>
        <v>TASC - FSA  FEES</v>
      </c>
    </row>
    <row r="2175" spans="5:8" x14ac:dyDescent="0.25">
      <c r="E2175" t="str">
        <f>""</f>
        <v/>
      </c>
      <c r="F2175" t="str">
        <f>""</f>
        <v/>
      </c>
      <c r="H2175" t="str">
        <f t="shared" si="52"/>
        <v>TASC - FSA  FEES</v>
      </c>
    </row>
    <row r="2176" spans="5:8" x14ac:dyDescent="0.25">
      <c r="E2176" t="str">
        <f>""</f>
        <v/>
      </c>
      <c r="F2176" t="str">
        <f>""</f>
        <v/>
      </c>
      <c r="H2176" t="str">
        <f t="shared" si="52"/>
        <v>TASC - FSA  FEES</v>
      </c>
    </row>
    <row r="2177" spans="5:8" x14ac:dyDescent="0.25">
      <c r="E2177" t="str">
        <f>""</f>
        <v/>
      </c>
      <c r="F2177" t="str">
        <f>""</f>
        <v/>
      </c>
      <c r="H2177" t="str">
        <f t="shared" si="52"/>
        <v>TASC - FSA  FEES</v>
      </c>
    </row>
    <row r="2178" spans="5:8" x14ac:dyDescent="0.25">
      <c r="E2178" t="str">
        <f>"FSF202103031934"</f>
        <v>FSF202103031934</v>
      </c>
      <c r="F2178" t="str">
        <f>"TASC - FSA  FEES"</f>
        <v>TASC - FSA  FEES</v>
      </c>
      <c r="G2178" s="3">
        <v>10.8</v>
      </c>
      <c r="H2178" t="str">
        <f t="shared" si="52"/>
        <v>TASC - FSA  FEES</v>
      </c>
    </row>
    <row r="2179" spans="5:8" x14ac:dyDescent="0.25">
      <c r="E2179" t="str">
        <f>"HRA202103031933"</f>
        <v>HRA202103031933</v>
      </c>
      <c r="F2179" t="str">
        <f>"TASC HRA"</f>
        <v>TASC HRA</v>
      </c>
      <c r="G2179" s="3">
        <v>2041.83</v>
      </c>
      <c r="H2179" t="str">
        <f>"TASC HRA"</f>
        <v>TASC HRA</v>
      </c>
    </row>
    <row r="2180" spans="5:8" x14ac:dyDescent="0.25">
      <c r="E2180" t="str">
        <f>""</f>
        <v/>
      </c>
      <c r="F2180" t="str">
        <f>""</f>
        <v/>
      </c>
      <c r="H2180" t="str">
        <f>"TASC HRA"</f>
        <v>TASC HRA</v>
      </c>
    </row>
    <row r="2181" spans="5:8" x14ac:dyDescent="0.25">
      <c r="E2181" t="str">
        <f>""</f>
        <v/>
      </c>
      <c r="F2181" t="str">
        <f>""</f>
        <v/>
      </c>
      <c r="H2181" t="str">
        <f>"TASC HRA"</f>
        <v>TASC HRA</v>
      </c>
    </row>
    <row r="2182" spans="5:8" x14ac:dyDescent="0.25">
      <c r="E2182" t="str">
        <f>""</f>
        <v/>
      </c>
      <c r="F2182" t="str">
        <f>""</f>
        <v/>
      </c>
      <c r="H2182" t="str">
        <f>"TASC HRA"</f>
        <v>TASC HRA</v>
      </c>
    </row>
    <row r="2183" spans="5:8" x14ac:dyDescent="0.25">
      <c r="E2183" t="str">
        <f>"HRF202103031933"</f>
        <v>HRF202103031933</v>
      </c>
      <c r="F2183" t="str">
        <f>"TASC - HRA FEES"</f>
        <v>TASC - HRA FEES</v>
      </c>
      <c r="G2183" s="3">
        <v>831.6</v>
      </c>
      <c r="H2183" t="str">
        <f t="shared" ref="H2183:H2214" si="53">"TASC - HRA FEES"</f>
        <v>TASC - HRA FEES</v>
      </c>
    </row>
    <row r="2184" spans="5:8" x14ac:dyDescent="0.25">
      <c r="E2184" t="str">
        <f>""</f>
        <v/>
      </c>
      <c r="F2184" t="str">
        <f>""</f>
        <v/>
      </c>
      <c r="H2184" t="str">
        <f t="shared" si="53"/>
        <v>TASC - HRA FEES</v>
      </c>
    </row>
    <row r="2185" spans="5:8" x14ac:dyDescent="0.25">
      <c r="E2185" t="str">
        <f>""</f>
        <v/>
      </c>
      <c r="F2185" t="str">
        <f>""</f>
        <v/>
      </c>
      <c r="H2185" t="str">
        <f t="shared" si="53"/>
        <v>TASC - HRA FEES</v>
      </c>
    </row>
    <row r="2186" spans="5:8" x14ac:dyDescent="0.25">
      <c r="E2186" t="str">
        <f>""</f>
        <v/>
      </c>
      <c r="F2186" t="str">
        <f>""</f>
        <v/>
      </c>
      <c r="H2186" t="str">
        <f t="shared" si="53"/>
        <v>TASC - HRA FEES</v>
      </c>
    </row>
    <row r="2187" spans="5:8" x14ac:dyDescent="0.25">
      <c r="E2187" t="str">
        <f>""</f>
        <v/>
      </c>
      <c r="F2187" t="str">
        <f>""</f>
        <v/>
      </c>
      <c r="H2187" t="str">
        <f t="shared" si="53"/>
        <v>TASC - HRA FEES</v>
      </c>
    </row>
    <row r="2188" spans="5:8" x14ac:dyDescent="0.25">
      <c r="E2188" t="str">
        <f>""</f>
        <v/>
      </c>
      <c r="F2188" t="str">
        <f>""</f>
        <v/>
      </c>
      <c r="H2188" t="str">
        <f t="shared" si="53"/>
        <v>TASC - HRA FEES</v>
      </c>
    </row>
    <row r="2189" spans="5:8" x14ac:dyDescent="0.25">
      <c r="E2189" t="str">
        <f>""</f>
        <v/>
      </c>
      <c r="F2189" t="str">
        <f>""</f>
        <v/>
      </c>
      <c r="H2189" t="str">
        <f t="shared" si="53"/>
        <v>TASC - HRA FEES</v>
      </c>
    </row>
    <row r="2190" spans="5:8" x14ac:dyDescent="0.25">
      <c r="E2190" t="str">
        <f>""</f>
        <v/>
      </c>
      <c r="F2190" t="str">
        <f>""</f>
        <v/>
      </c>
      <c r="H2190" t="str">
        <f t="shared" si="53"/>
        <v>TASC - HRA FEES</v>
      </c>
    </row>
    <row r="2191" spans="5:8" x14ac:dyDescent="0.25">
      <c r="E2191" t="str">
        <f>""</f>
        <v/>
      </c>
      <c r="F2191" t="str">
        <f>""</f>
        <v/>
      </c>
      <c r="H2191" t="str">
        <f t="shared" si="53"/>
        <v>TASC - HRA FEES</v>
      </c>
    </row>
    <row r="2192" spans="5:8" x14ac:dyDescent="0.25">
      <c r="E2192" t="str">
        <f>""</f>
        <v/>
      </c>
      <c r="F2192" t="str">
        <f>""</f>
        <v/>
      </c>
      <c r="H2192" t="str">
        <f t="shared" si="53"/>
        <v>TASC - HRA FEES</v>
      </c>
    </row>
    <row r="2193" spans="5:8" x14ac:dyDescent="0.25">
      <c r="E2193" t="str">
        <f>""</f>
        <v/>
      </c>
      <c r="F2193" t="str">
        <f>""</f>
        <v/>
      </c>
      <c r="H2193" t="str">
        <f t="shared" si="53"/>
        <v>TASC - HRA FEES</v>
      </c>
    </row>
    <row r="2194" spans="5:8" x14ac:dyDescent="0.25">
      <c r="E2194" t="str">
        <f>""</f>
        <v/>
      </c>
      <c r="F2194" t="str">
        <f>""</f>
        <v/>
      </c>
      <c r="H2194" t="str">
        <f t="shared" si="53"/>
        <v>TASC - HRA FEES</v>
      </c>
    </row>
    <row r="2195" spans="5:8" x14ac:dyDescent="0.25">
      <c r="E2195" t="str">
        <f>""</f>
        <v/>
      </c>
      <c r="F2195" t="str">
        <f>""</f>
        <v/>
      </c>
      <c r="H2195" t="str">
        <f t="shared" si="53"/>
        <v>TASC - HRA FEES</v>
      </c>
    </row>
    <row r="2196" spans="5:8" x14ac:dyDescent="0.25">
      <c r="E2196" t="str">
        <f>""</f>
        <v/>
      </c>
      <c r="F2196" t="str">
        <f>""</f>
        <v/>
      </c>
      <c r="H2196" t="str">
        <f t="shared" si="53"/>
        <v>TASC - HRA FEES</v>
      </c>
    </row>
    <row r="2197" spans="5:8" x14ac:dyDescent="0.25">
      <c r="E2197" t="str">
        <f>""</f>
        <v/>
      </c>
      <c r="F2197" t="str">
        <f>""</f>
        <v/>
      </c>
      <c r="H2197" t="str">
        <f t="shared" si="53"/>
        <v>TASC - HRA FEES</v>
      </c>
    </row>
    <row r="2198" spans="5:8" x14ac:dyDescent="0.25">
      <c r="E2198" t="str">
        <f>""</f>
        <v/>
      </c>
      <c r="F2198" t="str">
        <f>""</f>
        <v/>
      </c>
      <c r="H2198" t="str">
        <f t="shared" si="53"/>
        <v>TASC - HRA FEES</v>
      </c>
    </row>
    <row r="2199" spans="5:8" x14ac:dyDescent="0.25">
      <c r="E2199" t="str">
        <f>""</f>
        <v/>
      </c>
      <c r="F2199" t="str">
        <f>""</f>
        <v/>
      </c>
      <c r="H2199" t="str">
        <f t="shared" si="53"/>
        <v>TASC - HRA FEES</v>
      </c>
    </row>
    <row r="2200" spans="5:8" x14ac:dyDescent="0.25">
      <c r="E2200" t="str">
        <f>""</f>
        <v/>
      </c>
      <c r="F2200" t="str">
        <f>""</f>
        <v/>
      </c>
      <c r="H2200" t="str">
        <f t="shared" si="53"/>
        <v>TASC - HRA FEES</v>
      </c>
    </row>
    <row r="2201" spans="5:8" x14ac:dyDescent="0.25">
      <c r="E2201" t="str">
        <f>""</f>
        <v/>
      </c>
      <c r="F2201" t="str">
        <f>""</f>
        <v/>
      </c>
      <c r="H2201" t="str">
        <f t="shared" si="53"/>
        <v>TASC - HRA FEES</v>
      </c>
    </row>
    <row r="2202" spans="5:8" x14ac:dyDescent="0.25">
      <c r="E2202" t="str">
        <f>""</f>
        <v/>
      </c>
      <c r="F2202" t="str">
        <f>""</f>
        <v/>
      </c>
      <c r="H2202" t="str">
        <f t="shared" si="53"/>
        <v>TASC - HRA FEES</v>
      </c>
    </row>
    <row r="2203" spans="5:8" x14ac:dyDescent="0.25">
      <c r="E2203" t="str">
        <f>""</f>
        <v/>
      </c>
      <c r="F2203" t="str">
        <f>""</f>
        <v/>
      </c>
      <c r="H2203" t="str">
        <f t="shared" si="53"/>
        <v>TASC - HRA FEES</v>
      </c>
    </row>
    <row r="2204" spans="5:8" x14ac:dyDescent="0.25">
      <c r="E2204" t="str">
        <f>""</f>
        <v/>
      </c>
      <c r="F2204" t="str">
        <f>""</f>
        <v/>
      </c>
      <c r="H2204" t="str">
        <f t="shared" si="53"/>
        <v>TASC - HRA FEES</v>
      </c>
    </row>
    <row r="2205" spans="5:8" x14ac:dyDescent="0.25">
      <c r="E2205" t="str">
        <f>""</f>
        <v/>
      </c>
      <c r="F2205" t="str">
        <f>""</f>
        <v/>
      </c>
      <c r="H2205" t="str">
        <f t="shared" si="53"/>
        <v>TASC - HRA FEES</v>
      </c>
    </row>
    <row r="2206" spans="5:8" x14ac:dyDescent="0.25">
      <c r="E2206" t="str">
        <f>""</f>
        <v/>
      </c>
      <c r="F2206" t="str">
        <f>""</f>
        <v/>
      </c>
      <c r="H2206" t="str">
        <f t="shared" si="53"/>
        <v>TASC - HRA FEES</v>
      </c>
    </row>
    <row r="2207" spans="5:8" x14ac:dyDescent="0.25">
      <c r="E2207" t="str">
        <f>""</f>
        <v/>
      </c>
      <c r="F2207" t="str">
        <f>""</f>
        <v/>
      </c>
      <c r="H2207" t="str">
        <f t="shared" si="53"/>
        <v>TASC - HRA FEES</v>
      </c>
    </row>
    <row r="2208" spans="5:8" x14ac:dyDescent="0.25">
      <c r="E2208" t="str">
        <f>""</f>
        <v/>
      </c>
      <c r="F2208" t="str">
        <f>""</f>
        <v/>
      </c>
      <c r="H2208" t="str">
        <f t="shared" si="53"/>
        <v>TASC - HRA FEES</v>
      </c>
    </row>
    <row r="2209" spans="5:8" x14ac:dyDescent="0.25">
      <c r="E2209" t="str">
        <f>""</f>
        <v/>
      </c>
      <c r="F2209" t="str">
        <f>""</f>
        <v/>
      </c>
      <c r="H2209" t="str">
        <f t="shared" si="53"/>
        <v>TASC - HRA FEES</v>
      </c>
    </row>
    <row r="2210" spans="5:8" x14ac:dyDescent="0.25">
      <c r="E2210" t="str">
        <f>""</f>
        <v/>
      </c>
      <c r="F2210" t="str">
        <f>""</f>
        <v/>
      </c>
      <c r="H2210" t="str">
        <f t="shared" si="53"/>
        <v>TASC - HRA FEES</v>
      </c>
    </row>
    <row r="2211" spans="5:8" x14ac:dyDescent="0.25">
      <c r="E2211" t="str">
        <f>""</f>
        <v/>
      </c>
      <c r="F2211" t="str">
        <f>""</f>
        <v/>
      </c>
      <c r="H2211" t="str">
        <f t="shared" si="53"/>
        <v>TASC - HRA FEES</v>
      </c>
    </row>
    <row r="2212" spans="5:8" x14ac:dyDescent="0.25">
      <c r="E2212" t="str">
        <f>""</f>
        <v/>
      </c>
      <c r="F2212" t="str">
        <f>""</f>
        <v/>
      </c>
      <c r="H2212" t="str">
        <f t="shared" si="53"/>
        <v>TASC - HRA FEES</v>
      </c>
    </row>
    <row r="2213" spans="5:8" x14ac:dyDescent="0.25">
      <c r="E2213" t="str">
        <f>""</f>
        <v/>
      </c>
      <c r="F2213" t="str">
        <f>""</f>
        <v/>
      </c>
      <c r="H2213" t="str">
        <f t="shared" si="53"/>
        <v>TASC - HRA FEES</v>
      </c>
    </row>
    <row r="2214" spans="5:8" x14ac:dyDescent="0.25">
      <c r="E2214" t="str">
        <f>""</f>
        <v/>
      </c>
      <c r="F2214" t="str">
        <f>""</f>
        <v/>
      </c>
      <c r="H2214" t="str">
        <f t="shared" si="53"/>
        <v>TASC - HRA FEES</v>
      </c>
    </row>
    <row r="2215" spans="5:8" x14ac:dyDescent="0.25">
      <c r="E2215" t="str">
        <f>""</f>
        <v/>
      </c>
      <c r="F2215" t="str">
        <f>""</f>
        <v/>
      </c>
      <c r="H2215" t="str">
        <f t="shared" ref="H2215:H2234" si="54">"TASC - HRA FEES"</f>
        <v>TASC - HRA FEES</v>
      </c>
    </row>
    <row r="2216" spans="5:8" x14ac:dyDescent="0.25">
      <c r="E2216" t="str">
        <f>""</f>
        <v/>
      </c>
      <c r="F2216" t="str">
        <f>""</f>
        <v/>
      </c>
      <c r="H2216" t="str">
        <f t="shared" si="54"/>
        <v>TASC - HRA FEES</v>
      </c>
    </row>
    <row r="2217" spans="5:8" x14ac:dyDescent="0.25">
      <c r="E2217" t="str">
        <f>""</f>
        <v/>
      </c>
      <c r="F2217" t="str">
        <f>""</f>
        <v/>
      </c>
      <c r="H2217" t="str">
        <f t="shared" si="54"/>
        <v>TASC - HRA FEES</v>
      </c>
    </row>
    <row r="2218" spans="5:8" x14ac:dyDescent="0.25">
      <c r="E2218" t="str">
        <f>""</f>
        <v/>
      </c>
      <c r="F2218" t="str">
        <f>""</f>
        <v/>
      </c>
      <c r="H2218" t="str">
        <f t="shared" si="54"/>
        <v>TASC - HRA FEES</v>
      </c>
    </row>
    <row r="2219" spans="5:8" x14ac:dyDescent="0.25">
      <c r="E2219" t="str">
        <f>""</f>
        <v/>
      </c>
      <c r="F2219" t="str">
        <f>""</f>
        <v/>
      </c>
      <c r="H2219" t="str">
        <f t="shared" si="54"/>
        <v>TASC - HRA FEES</v>
      </c>
    </row>
    <row r="2220" spans="5:8" x14ac:dyDescent="0.25">
      <c r="E2220" t="str">
        <f>""</f>
        <v/>
      </c>
      <c r="F2220" t="str">
        <f>""</f>
        <v/>
      </c>
      <c r="H2220" t="str">
        <f t="shared" si="54"/>
        <v>TASC - HRA FEES</v>
      </c>
    </row>
    <row r="2221" spans="5:8" x14ac:dyDescent="0.25">
      <c r="E2221" t="str">
        <f>""</f>
        <v/>
      </c>
      <c r="F2221" t="str">
        <f>""</f>
        <v/>
      </c>
      <c r="H2221" t="str">
        <f t="shared" si="54"/>
        <v>TASC - HRA FEES</v>
      </c>
    </row>
    <row r="2222" spans="5:8" x14ac:dyDescent="0.25">
      <c r="E2222" t="str">
        <f>""</f>
        <v/>
      </c>
      <c r="F2222" t="str">
        <f>""</f>
        <v/>
      </c>
      <c r="H2222" t="str">
        <f t="shared" si="54"/>
        <v>TASC - HRA FEES</v>
      </c>
    </row>
    <row r="2223" spans="5:8" x14ac:dyDescent="0.25">
      <c r="E2223" t="str">
        <f>""</f>
        <v/>
      </c>
      <c r="F2223" t="str">
        <f>""</f>
        <v/>
      </c>
      <c r="H2223" t="str">
        <f t="shared" si="54"/>
        <v>TASC - HRA FEES</v>
      </c>
    </row>
    <row r="2224" spans="5:8" x14ac:dyDescent="0.25">
      <c r="E2224" t="str">
        <f>""</f>
        <v/>
      </c>
      <c r="F2224" t="str">
        <f>""</f>
        <v/>
      </c>
      <c r="H2224" t="str">
        <f t="shared" si="54"/>
        <v>TASC - HRA FEES</v>
      </c>
    </row>
    <row r="2225" spans="1:8" x14ac:dyDescent="0.25">
      <c r="E2225" t="str">
        <f>""</f>
        <v/>
      </c>
      <c r="F2225" t="str">
        <f>""</f>
        <v/>
      </c>
      <c r="H2225" t="str">
        <f t="shared" si="54"/>
        <v>TASC - HRA FEES</v>
      </c>
    </row>
    <row r="2226" spans="1:8" x14ac:dyDescent="0.25">
      <c r="E2226" t="str">
        <f>""</f>
        <v/>
      </c>
      <c r="F2226" t="str">
        <f>""</f>
        <v/>
      </c>
      <c r="H2226" t="str">
        <f t="shared" si="54"/>
        <v>TASC - HRA FEES</v>
      </c>
    </row>
    <row r="2227" spans="1:8" x14ac:dyDescent="0.25">
      <c r="E2227" t="str">
        <f>""</f>
        <v/>
      </c>
      <c r="F2227" t="str">
        <f>""</f>
        <v/>
      </c>
      <c r="H2227" t="str">
        <f t="shared" si="54"/>
        <v>TASC - HRA FEES</v>
      </c>
    </row>
    <row r="2228" spans="1:8" x14ac:dyDescent="0.25">
      <c r="E2228" t="str">
        <f>""</f>
        <v/>
      </c>
      <c r="F2228" t="str">
        <f>""</f>
        <v/>
      </c>
      <c r="H2228" t="str">
        <f t="shared" si="54"/>
        <v>TASC - HRA FEES</v>
      </c>
    </row>
    <row r="2229" spans="1:8" x14ac:dyDescent="0.25">
      <c r="E2229" t="str">
        <f>""</f>
        <v/>
      </c>
      <c r="F2229" t="str">
        <f>""</f>
        <v/>
      </c>
      <c r="H2229" t="str">
        <f t="shared" si="54"/>
        <v>TASC - HRA FEES</v>
      </c>
    </row>
    <row r="2230" spans="1:8" x14ac:dyDescent="0.25">
      <c r="E2230" t="str">
        <f>""</f>
        <v/>
      </c>
      <c r="F2230" t="str">
        <f>""</f>
        <v/>
      </c>
      <c r="H2230" t="str">
        <f t="shared" si="54"/>
        <v>TASC - HRA FEES</v>
      </c>
    </row>
    <row r="2231" spans="1:8" x14ac:dyDescent="0.25">
      <c r="E2231" t="str">
        <f>""</f>
        <v/>
      </c>
      <c r="F2231" t="str">
        <f>""</f>
        <v/>
      </c>
      <c r="H2231" t="str">
        <f t="shared" si="54"/>
        <v>TASC - HRA FEES</v>
      </c>
    </row>
    <row r="2232" spans="1:8" x14ac:dyDescent="0.25">
      <c r="E2232" t="str">
        <f>""</f>
        <v/>
      </c>
      <c r="F2232" t="str">
        <f>""</f>
        <v/>
      </c>
      <c r="H2232" t="str">
        <f t="shared" si="54"/>
        <v>TASC - HRA FEES</v>
      </c>
    </row>
    <row r="2233" spans="1:8" x14ac:dyDescent="0.25">
      <c r="E2233" t="str">
        <f>""</f>
        <v/>
      </c>
      <c r="F2233" t="str">
        <f>""</f>
        <v/>
      </c>
      <c r="H2233" t="str">
        <f t="shared" si="54"/>
        <v>TASC - HRA FEES</v>
      </c>
    </row>
    <row r="2234" spans="1:8" x14ac:dyDescent="0.25">
      <c r="E2234" t="str">
        <f>"HRF202103031934"</f>
        <v>HRF202103031934</v>
      </c>
      <c r="F2234" t="str">
        <f>"TASC - HRA FEES"</f>
        <v>TASC - HRA FEES</v>
      </c>
      <c r="G2234" s="3">
        <v>25.2</v>
      </c>
      <c r="H2234" t="str">
        <f t="shared" si="54"/>
        <v>TASC - HRA FEES</v>
      </c>
    </row>
    <row r="2235" spans="1:8" x14ac:dyDescent="0.25">
      <c r="A2235" t="s">
        <v>350</v>
      </c>
      <c r="B2235">
        <v>955</v>
      </c>
      <c r="C2235" s="3">
        <v>8835.5400000000009</v>
      </c>
      <c r="D2235" s="6">
        <v>44274</v>
      </c>
      <c r="E2235" t="str">
        <f>"FSA202103172243"</f>
        <v>FSA202103172243</v>
      </c>
      <c r="F2235" t="str">
        <f>"TASC FSA"</f>
        <v>TASC FSA</v>
      </c>
      <c r="G2235" s="3">
        <v>7342.6</v>
      </c>
      <c r="H2235" t="str">
        <f>"TASC FSA"</f>
        <v>TASC FSA</v>
      </c>
    </row>
    <row r="2236" spans="1:8" x14ac:dyDescent="0.25">
      <c r="E2236" t="str">
        <f>"FSA202103172244"</f>
        <v>FSA202103172244</v>
      </c>
      <c r="F2236" t="str">
        <f>"TASC FSA"</f>
        <v>TASC FSA</v>
      </c>
      <c r="G2236" s="3">
        <v>328.74</v>
      </c>
      <c r="H2236" t="str">
        <f>"TASC FSA"</f>
        <v>TASC FSA</v>
      </c>
    </row>
    <row r="2237" spans="1:8" x14ac:dyDescent="0.25">
      <c r="E2237" t="str">
        <f>"FSC202103172243"</f>
        <v>FSC202103172243</v>
      </c>
      <c r="F2237" t="str">
        <f>"TASC DEPENDENT CARE"</f>
        <v>TASC DEPENDENT CARE</v>
      </c>
      <c r="G2237" s="3">
        <v>50</v>
      </c>
      <c r="H2237" t="str">
        <f>"TASC DEPENDENT CARE"</f>
        <v>TASC DEPENDENT CARE</v>
      </c>
    </row>
    <row r="2238" spans="1:8" x14ac:dyDescent="0.25">
      <c r="E2238" t="str">
        <f>"FSF202103172243"</f>
        <v>FSF202103172243</v>
      </c>
      <c r="F2238" t="str">
        <f>"TASC - FSA  FEES"</f>
        <v>TASC - FSA  FEES</v>
      </c>
      <c r="G2238" s="3">
        <v>246.6</v>
      </c>
      <c r="H2238" t="str">
        <f t="shared" ref="H2238:H2277" si="55">"TASC - FSA  FEES"</f>
        <v>TASC - FSA  FEES</v>
      </c>
    </row>
    <row r="2239" spans="1:8" x14ac:dyDescent="0.25">
      <c r="E2239" t="str">
        <f>""</f>
        <v/>
      </c>
      <c r="F2239" t="str">
        <f>""</f>
        <v/>
      </c>
      <c r="H2239" t="str">
        <f t="shared" si="55"/>
        <v>TASC - FSA  FEES</v>
      </c>
    </row>
    <row r="2240" spans="1:8" x14ac:dyDescent="0.25">
      <c r="E2240" t="str">
        <f>""</f>
        <v/>
      </c>
      <c r="F2240" t="str">
        <f>""</f>
        <v/>
      </c>
      <c r="H2240" t="str">
        <f t="shared" si="55"/>
        <v>TASC - FSA  FEES</v>
      </c>
    </row>
    <row r="2241" spans="5:8" x14ac:dyDescent="0.25">
      <c r="E2241" t="str">
        <f>""</f>
        <v/>
      </c>
      <c r="F2241" t="str">
        <f>""</f>
        <v/>
      </c>
      <c r="H2241" t="str">
        <f t="shared" si="55"/>
        <v>TASC - FSA  FEES</v>
      </c>
    </row>
    <row r="2242" spans="5:8" x14ac:dyDescent="0.25">
      <c r="E2242" t="str">
        <f>""</f>
        <v/>
      </c>
      <c r="F2242" t="str">
        <f>""</f>
        <v/>
      </c>
      <c r="H2242" t="str">
        <f t="shared" si="55"/>
        <v>TASC - FSA  FEES</v>
      </c>
    </row>
    <row r="2243" spans="5:8" x14ac:dyDescent="0.25">
      <c r="E2243" t="str">
        <f>""</f>
        <v/>
      </c>
      <c r="F2243" t="str">
        <f>""</f>
        <v/>
      </c>
      <c r="H2243" t="str">
        <f t="shared" si="55"/>
        <v>TASC - FSA  FEES</v>
      </c>
    </row>
    <row r="2244" spans="5:8" x14ac:dyDescent="0.25">
      <c r="E2244" t="str">
        <f>""</f>
        <v/>
      </c>
      <c r="F2244" t="str">
        <f>""</f>
        <v/>
      </c>
      <c r="H2244" t="str">
        <f t="shared" si="55"/>
        <v>TASC - FSA  FEES</v>
      </c>
    </row>
    <row r="2245" spans="5:8" x14ac:dyDescent="0.25">
      <c r="E2245" t="str">
        <f>""</f>
        <v/>
      </c>
      <c r="F2245" t="str">
        <f>""</f>
        <v/>
      </c>
      <c r="H2245" t="str">
        <f t="shared" si="55"/>
        <v>TASC - FSA  FEES</v>
      </c>
    </row>
    <row r="2246" spans="5:8" x14ac:dyDescent="0.25">
      <c r="E2246" t="str">
        <f>""</f>
        <v/>
      </c>
      <c r="F2246" t="str">
        <f>""</f>
        <v/>
      </c>
      <c r="H2246" t="str">
        <f t="shared" si="55"/>
        <v>TASC - FSA  FEES</v>
      </c>
    </row>
    <row r="2247" spans="5:8" x14ac:dyDescent="0.25">
      <c r="E2247" t="str">
        <f>""</f>
        <v/>
      </c>
      <c r="F2247" t="str">
        <f>""</f>
        <v/>
      </c>
      <c r="H2247" t="str">
        <f t="shared" si="55"/>
        <v>TASC - FSA  FEES</v>
      </c>
    </row>
    <row r="2248" spans="5:8" x14ac:dyDescent="0.25">
      <c r="E2248" t="str">
        <f>""</f>
        <v/>
      </c>
      <c r="F2248" t="str">
        <f>""</f>
        <v/>
      </c>
      <c r="H2248" t="str">
        <f t="shared" si="55"/>
        <v>TASC - FSA  FEES</v>
      </c>
    </row>
    <row r="2249" spans="5:8" x14ac:dyDescent="0.25">
      <c r="E2249" t="str">
        <f>""</f>
        <v/>
      </c>
      <c r="F2249" t="str">
        <f>""</f>
        <v/>
      </c>
      <c r="H2249" t="str">
        <f t="shared" si="55"/>
        <v>TASC - FSA  FEES</v>
      </c>
    </row>
    <row r="2250" spans="5:8" x14ac:dyDescent="0.25">
      <c r="E2250" t="str">
        <f>""</f>
        <v/>
      </c>
      <c r="F2250" t="str">
        <f>""</f>
        <v/>
      </c>
      <c r="H2250" t="str">
        <f t="shared" si="55"/>
        <v>TASC - FSA  FEES</v>
      </c>
    </row>
    <row r="2251" spans="5:8" x14ac:dyDescent="0.25">
      <c r="E2251" t="str">
        <f>""</f>
        <v/>
      </c>
      <c r="F2251" t="str">
        <f>""</f>
        <v/>
      </c>
      <c r="H2251" t="str">
        <f t="shared" si="55"/>
        <v>TASC - FSA  FEES</v>
      </c>
    </row>
    <row r="2252" spans="5:8" x14ac:dyDescent="0.25">
      <c r="E2252" t="str">
        <f>""</f>
        <v/>
      </c>
      <c r="F2252" t="str">
        <f>""</f>
        <v/>
      </c>
      <c r="H2252" t="str">
        <f t="shared" si="55"/>
        <v>TASC - FSA  FEES</v>
      </c>
    </row>
    <row r="2253" spans="5:8" x14ac:dyDescent="0.25">
      <c r="E2253" t="str">
        <f>""</f>
        <v/>
      </c>
      <c r="F2253" t="str">
        <f>""</f>
        <v/>
      </c>
      <c r="H2253" t="str">
        <f t="shared" si="55"/>
        <v>TASC - FSA  FEES</v>
      </c>
    </row>
    <row r="2254" spans="5:8" x14ac:dyDescent="0.25">
      <c r="E2254" t="str">
        <f>""</f>
        <v/>
      </c>
      <c r="F2254" t="str">
        <f>""</f>
        <v/>
      </c>
      <c r="H2254" t="str">
        <f t="shared" si="55"/>
        <v>TASC - FSA  FEES</v>
      </c>
    </row>
    <row r="2255" spans="5:8" x14ac:dyDescent="0.25">
      <c r="E2255" t="str">
        <f>""</f>
        <v/>
      </c>
      <c r="F2255" t="str">
        <f>""</f>
        <v/>
      </c>
      <c r="H2255" t="str">
        <f t="shared" si="55"/>
        <v>TASC - FSA  FEES</v>
      </c>
    </row>
    <row r="2256" spans="5:8" x14ac:dyDescent="0.25">
      <c r="E2256" t="str">
        <f>""</f>
        <v/>
      </c>
      <c r="F2256" t="str">
        <f>""</f>
        <v/>
      </c>
      <c r="H2256" t="str">
        <f t="shared" si="55"/>
        <v>TASC - FSA  FEES</v>
      </c>
    </row>
    <row r="2257" spans="5:8" x14ac:dyDescent="0.25">
      <c r="E2257" t="str">
        <f>""</f>
        <v/>
      </c>
      <c r="F2257" t="str">
        <f>""</f>
        <v/>
      </c>
      <c r="H2257" t="str">
        <f t="shared" si="55"/>
        <v>TASC - FSA  FEES</v>
      </c>
    </row>
    <row r="2258" spans="5:8" x14ac:dyDescent="0.25">
      <c r="E2258" t="str">
        <f>""</f>
        <v/>
      </c>
      <c r="F2258" t="str">
        <f>""</f>
        <v/>
      </c>
      <c r="H2258" t="str">
        <f t="shared" si="55"/>
        <v>TASC - FSA  FEES</v>
      </c>
    </row>
    <row r="2259" spans="5:8" x14ac:dyDescent="0.25">
      <c r="E2259" t="str">
        <f>""</f>
        <v/>
      </c>
      <c r="F2259" t="str">
        <f>""</f>
        <v/>
      </c>
      <c r="H2259" t="str">
        <f t="shared" si="55"/>
        <v>TASC - FSA  FEES</v>
      </c>
    </row>
    <row r="2260" spans="5:8" x14ac:dyDescent="0.25">
      <c r="E2260" t="str">
        <f>""</f>
        <v/>
      </c>
      <c r="F2260" t="str">
        <f>""</f>
        <v/>
      </c>
      <c r="H2260" t="str">
        <f t="shared" si="55"/>
        <v>TASC - FSA  FEES</v>
      </c>
    </row>
    <row r="2261" spans="5:8" x14ac:dyDescent="0.25">
      <c r="E2261" t="str">
        <f>""</f>
        <v/>
      </c>
      <c r="F2261" t="str">
        <f>""</f>
        <v/>
      </c>
      <c r="H2261" t="str">
        <f t="shared" si="55"/>
        <v>TASC - FSA  FEES</v>
      </c>
    </row>
    <row r="2262" spans="5:8" x14ac:dyDescent="0.25">
      <c r="E2262" t="str">
        <f>""</f>
        <v/>
      </c>
      <c r="F2262" t="str">
        <f>""</f>
        <v/>
      </c>
      <c r="H2262" t="str">
        <f t="shared" si="55"/>
        <v>TASC - FSA  FEES</v>
      </c>
    </row>
    <row r="2263" spans="5:8" x14ac:dyDescent="0.25">
      <c r="E2263" t="str">
        <f>""</f>
        <v/>
      </c>
      <c r="F2263" t="str">
        <f>""</f>
        <v/>
      </c>
      <c r="H2263" t="str">
        <f t="shared" si="55"/>
        <v>TASC - FSA  FEES</v>
      </c>
    </row>
    <row r="2264" spans="5:8" x14ac:dyDescent="0.25">
      <c r="E2264" t="str">
        <f>""</f>
        <v/>
      </c>
      <c r="F2264" t="str">
        <f>""</f>
        <v/>
      </c>
      <c r="H2264" t="str">
        <f t="shared" si="55"/>
        <v>TASC - FSA  FEES</v>
      </c>
    </row>
    <row r="2265" spans="5:8" x14ac:dyDescent="0.25">
      <c r="E2265" t="str">
        <f>""</f>
        <v/>
      </c>
      <c r="F2265" t="str">
        <f>""</f>
        <v/>
      </c>
      <c r="H2265" t="str">
        <f t="shared" si="55"/>
        <v>TASC - FSA  FEES</v>
      </c>
    </row>
    <row r="2266" spans="5:8" x14ac:dyDescent="0.25">
      <c r="E2266" t="str">
        <f>""</f>
        <v/>
      </c>
      <c r="F2266" t="str">
        <f>""</f>
        <v/>
      </c>
      <c r="H2266" t="str">
        <f t="shared" si="55"/>
        <v>TASC - FSA  FEES</v>
      </c>
    </row>
    <row r="2267" spans="5:8" x14ac:dyDescent="0.25">
      <c r="E2267" t="str">
        <f>""</f>
        <v/>
      </c>
      <c r="F2267" t="str">
        <f>""</f>
        <v/>
      </c>
      <c r="H2267" t="str">
        <f t="shared" si="55"/>
        <v>TASC - FSA  FEES</v>
      </c>
    </row>
    <row r="2268" spans="5:8" x14ac:dyDescent="0.25">
      <c r="E2268" t="str">
        <f>""</f>
        <v/>
      </c>
      <c r="F2268" t="str">
        <f>""</f>
        <v/>
      </c>
      <c r="H2268" t="str">
        <f t="shared" si="55"/>
        <v>TASC - FSA  FEES</v>
      </c>
    </row>
    <row r="2269" spans="5:8" x14ac:dyDescent="0.25">
      <c r="E2269" t="str">
        <f>""</f>
        <v/>
      </c>
      <c r="F2269" t="str">
        <f>""</f>
        <v/>
      </c>
      <c r="H2269" t="str">
        <f t="shared" si="55"/>
        <v>TASC - FSA  FEES</v>
      </c>
    </row>
    <row r="2270" spans="5:8" x14ac:dyDescent="0.25">
      <c r="E2270" t="str">
        <f>""</f>
        <v/>
      </c>
      <c r="F2270" t="str">
        <f>""</f>
        <v/>
      </c>
      <c r="H2270" t="str">
        <f t="shared" si="55"/>
        <v>TASC - FSA  FEES</v>
      </c>
    </row>
    <row r="2271" spans="5:8" x14ac:dyDescent="0.25">
      <c r="E2271" t="str">
        <f>""</f>
        <v/>
      </c>
      <c r="F2271" t="str">
        <f>""</f>
        <v/>
      </c>
      <c r="H2271" t="str">
        <f t="shared" si="55"/>
        <v>TASC - FSA  FEES</v>
      </c>
    </row>
    <row r="2272" spans="5:8" x14ac:dyDescent="0.25">
      <c r="E2272" t="str">
        <f>""</f>
        <v/>
      </c>
      <c r="F2272" t="str">
        <f>""</f>
        <v/>
      </c>
      <c r="H2272" t="str">
        <f t="shared" si="55"/>
        <v>TASC - FSA  FEES</v>
      </c>
    </row>
    <row r="2273" spans="5:8" x14ac:dyDescent="0.25">
      <c r="E2273" t="str">
        <f>""</f>
        <v/>
      </c>
      <c r="F2273" t="str">
        <f>""</f>
        <v/>
      </c>
      <c r="H2273" t="str">
        <f t="shared" si="55"/>
        <v>TASC - FSA  FEES</v>
      </c>
    </row>
    <row r="2274" spans="5:8" x14ac:dyDescent="0.25">
      <c r="E2274" t="str">
        <f>""</f>
        <v/>
      </c>
      <c r="F2274" t="str">
        <f>""</f>
        <v/>
      </c>
      <c r="H2274" t="str">
        <f t="shared" si="55"/>
        <v>TASC - FSA  FEES</v>
      </c>
    </row>
    <row r="2275" spans="5:8" x14ac:dyDescent="0.25">
      <c r="E2275" t="str">
        <f>""</f>
        <v/>
      </c>
      <c r="F2275" t="str">
        <f>""</f>
        <v/>
      </c>
      <c r="H2275" t="str">
        <f t="shared" si="55"/>
        <v>TASC - FSA  FEES</v>
      </c>
    </row>
    <row r="2276" spans="5:8" x14ac:dyDescent="0.25">
      <c r="E2276" t="str">
        <f>""</f>
        <v/>
      </c>
      <c r="F2276" t="str">
        <f>""</f>
        <v/>
      </c>
      <c r="H2276" t="str">
        <f t="shared" si="55"/>
        <v>TASC - FSA  FEES</v>
      </c>
    </row>
    <row r="2277" spans="5:8" x14ac:dyDescent="0.25">
      <c r="E2277" t="str">
        <f>"FSF202103172244"</f>
        <v>FSF202103172244</v>
      </c>
      <c r="F2277" t="str">
        <f>"TASC - FSA  FEES"</f>
        <v>TASC - FSA  FEES</v>
      </c>
      <c r="G2277" s="3">
        <v>10.8</v>
      </c>
      <c r="H2277" t="str">
        <f t="shared" si="55"/>
        <v>TASC - FSA  FEES</v>
      </c>
    </row>
    <row r="2278" spans="5:8" x14ac:dyDescent="0.25">
      <c r="E2278" t="str">
        <f>"HRF202103172243"</f>
        <v>HRF202103172243</v>
      </c>
      <c r="F2278" t="str">
        <f>"TASC - HRA FEES"</f>
        <v>TASC - HRA FEES</v>
      </c>
      <c r="G2278" s="3">
        <v>831.6</v>
      </c>
      <c r="H2278" t="str">
        <f t="shared" ref="H2278:H2309" si="56">"TASC - HRA FEES"</f>
        <v>TASC - HRA FEES</v>
      </c>
    </row>
    <row r="2279" spans="5:8" x14ac:dyDescent="0.25">
      <c r="E2279" t="str">
        <f>""</f>
        <v/>
      </c>
      <c r="F2279" t="str">
        <f>""</f>
        <v/>
      </c>
      <c r="H2279" t="str">
        <f t="shared" si="56"/>
        <v>TASC - HRA FEES</v>
      </c>
    </row>
    <row r="2280" spans="5:8" x14ac:dyDescent="0.25">
      <c r="E2280" t="str">
        <f>""</f>
        <v/>
      </c>
      <c r="F2280" t="str">
        <f>""</f>
        <v/>
      </c>
      <c r="H2280" t="str">
        <f t="shared" si="56"/>
        <v>TASC - HRA FEES</v>
      </c>
    </row>
    <row r="2281" spans="5:8" x14ac:dyDescent="0.25">
      <c r="E2281" t="str">
        <f>""</f>
        <v/>
      </c>
      <c r="F2281" t="str">
        <f>""</f>
        <v/>
      </c>
      <c r="H2281" t="str">
        <f t="shared" si="56"/>
        <v>TASC - HRA FEES</v>
      </c>
    </row>
    <row r="2282" spans="5:8" x14ac:dyDescent="0.25">
      <c r="E2282" t="str">
        <f>""</f>
        <v/>
      </c>
      <c r="F2282" t="str">
        <f>""</f>
        <v/>
      </c>
      <c r="H2282" t="str">
        <f t="shared" si="56"/>
        <v>TASC - HRA FEES</v>
      </c>
    </row>
    <row r="2283" spans="5:8" x14ac:dyDescent="0.25">
      <c r="E2283" t="str">
        <f>""</f>
        <v/>
      </c>
      <c r="F2283" t="str">
        <f>""</f>
        <v/>
      </c>
      <c r="H2283" t="str">
        <f t="shared" si="56"/>
        <v>TASC - HRA FEES</v>
      </c>
    </row>
    <row r="2284" spans="5:8" x14ac:dyDescent="0.25">
      <c r="E2284" t="str">
        <f>""</f>
        <v/>
      </c>
      <c r="F2284" t="str">
        <f>""</f>
        <v/>
      </c>
      <c r="H2284" t="str">
        <f t="shared" si="56"/>
        <v>TASC - HRA FEES</v>
      </c>
    </row>
    <row r="2285" spans="5:8" x14ac:dyDescent="0.25">
      <c r="E2285" t="str">
        <f>""</f>
        <v/>
      </c>
      <c r="F2285" t="str">
        <f>""</f>
        <v/>
      </c>
      <c r="H2285" t="str">
        <f t="shared" si="56"/>
        <v>TASC - HRA FEES</v>
      </c>
    </row>
    <row r="2286" spans="5:8" x14ac:dyDescent="0.25">
      <c r="E2286" t="str">
        <f>""</f>
        <v/>
      </c>
      <c r="F2286" t="str">
        <f>""</f>
        <v/>
      </c>
      <c r="H2286" t="str">
        <f t="shared" si="56"/>
        <v>TASC - HRA FEES</v>
      </c>
    </row>
    <row r="2287" spans="5:8" x14ac:dyDescent="0.25">
      <c r="E2287" t="str">
        <f>""</f>
        <v/>
      </c>
      <c r="F2287" t="str">
        <f>""</f>
        <v/>
      </c>
      <c r="H2287" t="str">
        <f t="shared" si="56"/>
        <v>TASC - HRA FEES</v>
      </c>
    </row>
    <row r="2288" spans="5:8" x14ac:dyDescent="0.25">
      <c r="E2288" t="str">
        <f>""</f>
        <v/>
      </c>
      <c r="F2288" t="str">
        <f>""</f>
        <v/>
      </c>
      <c r="H2288" t="str">
        <f t="shared" si="56"/>
        <v>TASC - HRA FEES</v>
      </c>
    </row>
    <row r="2289" spans="5:8" x14ac:dyDescent="0.25">
      <c r="E2289" t="str">
        <f>""</f>
        <v/>
      </c>
      <c r="F2289" t="str">
        <f>""</f>
        <v/>
      </c>
      <c r="H2289" t="str">
        <f t="shared" si="56"/>
        <v>TASC - HRA FEES</v>
      </c>
    </row>
    <row r="2290" spans="5:8" x14ac:dyDescent="0.25">
      <c r="E2290" t="str">
        <f>""</f>
        <v/>
      </c>
      <c r="F2290" t="str">
        <f>""</f>
        <v/>
      </c>
      <c r="H2290" t="str">
        <f t="shared" si="56"/>
        <v>TASC - HRA FEES</v>
      </c>
    </row>
    <row r="2291" spans="5:8" x14ac:dyDescent="0.25">
      <c r="E2291" t="str">
        <f>""</f>
        <v/>
      </c>
      <c r="F2291" t="str">
        <f>""</f>
        <v/>
      </c>
      <c r="H2291" t="str">
        <f t="shared" si="56"/>
        <v>TASC - HRA FEES</v>
      </c>
    </row>
    <row r="2292" spans="5:8" x14ac:dyDescent="0.25">
      <c r="E2292" t="str">
        <f>""</f>
        <v/>
      </c>
      <c r="F2292" t="str">
        <f>""</f>
        <v/>
      </c>
      <c r="H2292" t="str">
        <f t="shared" si="56"/>
        <v>TASC - HRA FEES</v>
      </c>
    </row>
    <row r="2293" spans="5:8" x14ac:dyDescent="0.25">
      <c r="E2293" t="str">
        <f>""</f>
        <v/>
      </c>
      <c r="F2293" t="str">
        <f>""</f>
        <v/>
      </c>
      <c r="H2293" t="str">
        <f t="shared" si="56"/>
        <v>TASC - HRA FEES</v>
      </c>
    </row>
    <row r="2294" spans="5:8" x14ac:dyDescent="0.25">
      <c r="E2294" t="str">
        <f>""</f>
        <v/>
      </c>
      <c r="F2294" t="str">
        <f>""</f>
        <v/>
      </c>
      <c r="H2294" t="str">
        <f t="shared" si="56"/>
        <v>TASC - HRA FEES</v>
      </c>
    </row>
    <row r="2295" spans="5:8" x14ac:dyDescent="0.25">
      <c r="E2295" t="str">
        <f>""</f>
        <v/>
      </c>
      <c r="F2295" t="str">
        <f>""</f>
        <v/>
      </c>
      <c r="H2295" t="str">
        <f t="shared" si="56"/>
        <v>TASC - HRA FEES</v>
      </c>
    </row>
    <row r="2296" spans="5:8" x14ac:dyDescent="0.25">
      <c r="E2296" t="str">
        <f>""</f>
        <v/>
      </c>
      <c r="F2296" t="str">
        <f>""</f>
        <v/>
      </c>
      <c r="H2296" t="str">
        <f t="shared" si="56"/>
        <v>TASC - HRA FEES</v>
      </c>
    </row>
    <row r="2297" spans="5:8" x14ac:dyDescent="0.25">
      <c r="E2297" t="str">
        <f>""</f>
        <v/>
      </c>
      <c r="F2297" t="str">
        <f>""</f>
        <v/>
      </c>
      <c r="H2297" t="str">
        <f t="shared" si="56"/>
        <v>TASC - HRA FEES</v>
      </c>
    </row>
    <row r="2298" spans="5:8" x14ac:dyDescent="0.25">
      <c r="E2298" t="str">
        <f>""</f>
        <v/>
      </c>
      <c r="F2298" t="str">
        <f>""</f>
        <v/>
      </c>
      <c r="H2298" t="str">
        <f t="shared" si="56"/>
        <v>TASC - HRA FEES</v>
      </c>
    </row>
    <row r="2299" spans="5:8" x14ac:dyDescent="0.25">
      <c r="E2299" t="str">
        <f>""</f>
        <v/>
      </c>
      <c r="F2299" t="str">
        <f>""</f>
        <v/>
      </c>
      <c r="H2299" t="str">
        <f t="shared" si="56"/>
        <v>TASC - HRA FEES</v>
      </c>
    </row>
    <row r="2300" spans="5:8" x14ac:dyDescent="0.25">
      <c r="E2300" t="str">
        <f>""</f>
        <v/>
      </c>
      <c r="F2300" t="str">
        <f>""</f>
        <v/>
      </c>
      <c r="H2300" t="str">
        <f t="shared" si="56"/>
        <v>TASC - HRA FEES</v>
      </c>
    </row>
    <row r="2301" spans="5:8" x14ac:dyDescent="0.25">
      <c r="E2301" t="str">
        <f>""</f>
        <v/>
      </c>
      <c r="F2301" t="str">
        <f>""</f>
        <v/>
      </c>
      <c r="H2301" t="str">
        <f t="shared" si="56"/>
        <v>TASC - HRA FEES</v>
      </c>
    </row>
    <row r="2302" spans="5:8" x14ac:dyDescent="0.25">
      <c r="E2302" t="str">
        <f>""</f>
        <v/>
      </c>
      <c r="F2302" t="str">
        <f>""</f>
        <v/>
      </c>
      <c r="H2302" t="str">
        <f t="shared" si="56"/>
        <v>TASC - HRA FEES</v>
      </c>
    </row>
    <row r="2303" spans="5:8" x14ac:dyDescent="0.25">
      <c r="E2303" t="str">
        <f>""</f>
        <v/>
      </c>
      <c r="F2303" t="str">
        <f>""</f>
        <v/>
      </c>
      <c r="H2303" t="str">
        <f t="shared" si="56"/>
        <v>TASC - HRA FEES</v>
      </c>
    </row>
    <row r="2304" spans="5:8" x14ac:dyDescent="0.25">
      <c r="E2304" t="str">
        <f>""</f>
        <v/>
      </c>
      <c r="F2304" t="str">
        <f>""</f>
        <v/>
      </c>
      <c r="H2304" t="str">
        <f t="shared" si="56"/>
        <v>TASC - HRA FEES</v>
      </c>
    </row>
    <row r="2305" spans="5:8" x14ac:dyDescent="0.25">
      <c r="E2305" t="str">
        <f>""</f>
        <v/>
      </c>
      <c r="F2305" t="str">
        <f>""</f>
        <v/>
      </c>
      <c r="H2305" t="str">
        <f t="shared" si="56"/>
        <v>TASC - HRA FEES</v>
      </c>
    </row>
    <row r="2306" spans="5:8" x14ac:dyDescent="0.25">
      <c r="E2306" t="str">
        <f>""</f>
        <v/>
      </c>
      <c r="F2306" t="str">
        <f>""</f>
        <v/>
      </c>
      <c r="H2306" t="str">
        <f t="shared" si="56"/>
        <v>TASC - HRA FEES</v>
      </c>
    </row>
    <row r="2307" spans="5:8" x14ac:dyDescent="0.25">
      <c r="E2307" t="str">
        <f>""</f>
        <v/>
      </c>
      <c r="F2307" t="str">
        <f>""</f>
        <v/>
      </c>
      <c r="H2307" t="str">
        <f t="shared" si="56"/>
        <v>TASC - HRA FEES</v>
      </c>
    </row>
    <row r="2308" spans="5:8" x14ac:dyDescent="0.25">
      <c r="E2308" t="str">
        <f>""</f>
        <v/>
      </c>
      <c r="F2308" t="str">
        <f>""</f>
        <v/>
      </c>
      <c r="H2308" t="str">
        <f t="shared" si="56"/>
        <v>TASC - HRA FEES</v>
      </c>
    </row>
    <row r="2309" spans="5:8" x14ac:dyDescent="0.25">
      <c r="E2309" t="str">
        <f>""</f>
        <v/>
      </c>
      <c r="F2309" t="str">
        <f>""</f>
        <v/>
      </c>
      <c r="H2309" t="str">
        <f t="shared" si="56"/>
        <v>TASC - HRA FEES</v>
      </c>
    </row>
    <row r="2310" spans="5:8" x14ac:dyDescent="0.25">
      <c r="E2310" t="str">
        <f>""</f>
        <v/>
      </c>
      <c r="F2310" t="str">
        <f>""</f>
        <v/>
      </c>
      <c r="H2310" t="str">
        <f t="shared" ref="H2310:H2329" si="57">"TASC - HRA FEES"</f>
        <v>TASC - HRA FEES</v>
      </c>
    </row>
    <row r="2311" spans="5:8" x14ac:dyDescent="0.25">
      <c r="E2311" t="str">
        <f>""</f>
        <v/>
      </c>
      <c r="F2311" t="str">
        <f>""</f>
        <v/>
      </c>
      <c r="H2311" t="str">
        <f t="shared" si="57"/>
        <v>TASC - HRA FEES</v>
      </c>
    </row>
    <row r="2312" spans="5:8" x14ac:dyDescent="0.25">
      <c r="E2312" t="str">
        <f>""</f>
        <v/>
      </c>
      <c r="F2312" t="str">
        <f>""</f>
        <v/>
      </c>
      <c r="H2312" t="str">
        <f t="shared" si="57"/>
        <v>TASC - HRA FEES</v>
      </c>
    </row>
    <row r="2313" spans="5:8" x14ac:dyDescent="0.25">
      <c r="E2313" t="str">
        <f>""</f>
        <v/>
      </c>
      <c r="F2313" t="str">
        <f>""</f>
        <v/>
      </c>
      <c r="H2313" t="str">
        <f t="shared" si="57"/>
        <v>TASC - HRA FEES</v>
      </c>
    </row>
    <row r="2314" spans="5:8" x14ac:dyDescent="0.25">
      <c r="E2314" t="str">
        <f>""</f>
        <v/>
      </c>
      <c r="F2314" t="str">
        <f>""</f>
        <v/>
      </c>
      <c r="H2314" t="str">
        <f t="shared" si="57"/>
        <v>TASC - HRA FEES</v>
      </c>
    </row>
    <row r="2315" spans="5:8" x14ac:dyDescent="0.25">
      <c r="E2315" t="str">
        <f>""</f>
        <v/>
      </c>
      <c r="F2315" t="str">
        <f>""</f>
        <v/>
      </c>
      <c r="H2315" t="str">
        <f t="shared" si="57"/>
        <v>TASC - HRA FEES</v>
      </c>
    </row>
    <row r="2316" spans="5:8" x14ac:dyDescent="0.25">
      <c r="E2316" t="str">
        <f>""</f>
        <v/>
      </c>
      <c r="F2316" t="str">
        <f>""</f>
        <v/>
      </c>
      <c r="H2316" t="str">
        <f t="shared" si="57"/>
        <v>TASC - HRA FEES</v>
      </c>
    </row>
    <row r="2317" spans="5:8" x14ac:dyDescent="0.25">
      <c r="E2317" t="str">
        <f>""</f>
        <v/>
      </c>
      <c r="F2317" t="str">
        <f>""</f>
        <v/>
      </c>
      <c r="H2317" t="str">
        <f t="shared" si="57"/>
        <v>TASC - HRA FEES</v>
      </c>
    </row>
    <row r="2318" spans="5:8" x14ac:dyDescent="0.25">
      <c r="E2318" t="str">
        <f>""</f>
        <v/>
      </c>
      <c r="F2318" t="str">
        <f>""</f>
        <v/>
      </c>
      <c r="H2318" t="str">
        <f t="shared" si="57"/>
        <v>TASC - HRA FEES</v>
      </c>
    </row>
    <row r="2319" spans="5:8" x14ac:dyDescent="0.25">
      <c r="E2319" t="str">
        <f>""</f>
        <v/>
      </c>
      <c r="F2319" t="str">
        <f>""</f>
        <v/>
      </c>
      <c r="H2319" t="str">
        <f t="shared" si="57"/>
        <v>TASC - HRA FEES</v>
      </c>
    </row>
    <row r="2320" spans="5:8" x14ac:dyDescent="0.25">
      <c r="E2320" t="str">
        <f>""</f>
        <v/>
      </c>
      <c r="F2320" t="str">
        <f>""</f>
        <v/>
      </c>
      <c r="H2320" t="str">
        <f t="shared" si="57"/>
        <v>TASC - HRA FEES</v>
      </c>
    </row>
    <row r="2321" spans="1:8" x14ac:dyDescent="0.25">
      <c r="E2321" t="str">
        <f>""</f>
        <v/>
      </c>
      <c r="F2321" t="str">
        <f>""</f>
        <v/>
      </c>
      <c r="H2321" t="str">
        <f t="shared" si="57"/>
        <v>TASC - HRA FEES</v>
      </c>
    </row>
    <row r="2322" spans="1:8" x14ac:dyDescent="0.25">
      <c r="E2322" t="str">
        <f>""</f>
        <v/>
      </c>
      <c r="F2322" t="str">
        <f>""</f>
        <v/>
      </c>
      <c r="H2322" t="str">
        <f t="shared" si="57"/>
        <v>TASC - HRA FEES</v>
      </c>
    </row>
    <row r="2323" spans="1:8" x14ac:dyDescent="0.25">
      <c r="E2323" t="str">
        <f>""</f>
        <v/>
      </c>
      <c r="F2323" t="str">
        <f>""</f>
        <v/>
      </c>
      <c r="H2323" t="str">
        <f t="shared" si="57"/>
        <v>TASC - HRA FEES</v>
      </c>
    </row>
    <row r="2324" spans="1:8" x14ac:dyDescent="0.25">
      <c r="E2324" t="str">
        <f>""</f>
        <v/>
      </c>
      <c r="F2324" t="str">
        <f>""</f>
        <v/>
      </c>
      <c r="H2324" t="str">
        <f t="shared" si="57"/>
        <v>TASC - HRA FEES</v>
      </c>
    </row>
    <row r="2325" spans="1:8" x14ac:dyDescent="0.25">
      <c r="E2325" t="str">
        <f>""</f>
        <v/>
      </c>
      <c r="F2325" t="str">
        <f>""</f>
        <v/>
      </c>
      <c r="H2325" t="str">
        <f t="shared" si="57"/>
        <v>TASC - HRA FEES</v>
      </c>
    </row>
    <row r="2326" spans="1:8" x14ac:dyDescent="0.25">
      <c r="E2326" t="str">
        <f>""</f>
        <v/>
      </c>
      <c r="F2326" t="str">
        <f>""</f>
        <v/>
      </c>
      <c r="H2326" t="str">
        <f t="shared" si="57"/>
        <v>TASC - HRA FEES</v>
      </c>
    </row>
    <row r="2327" spans="1:8" x14ac:dyDescent="0.25">
      <c r="E2327" t="str">
        <f>""</f>
        <v/>
      </c>
      <c r="F2327" t="str">
        <f>""</f>
        <v/>
      </c>
      <c r="H2327" t="str">
        <f t="shared" si="57"/>
        <v>TASC - HRA FEES</v>
      </c>
    </row>
    <row r="2328" spans="1:8" x14ac:dyDescent="0.25">
      <c r="E2328" t="str">
        <f>""</f>
        <v/>
      </c>
      <c r="F2328" t="str">
        <f>""</f>
        <v/>
      </c>
      <c r="H2328" t="str">
        <f t="shared" si="57"/>
        <v>TASC - HRA FEES</v>
      </c>
    </row>
    <row r="2329" spans="1:8" x14ac:dyDescent="0.25">
      <c r="E2329" t="str">
        <f>"HRF202103172244"</f>
        <v>HRF202103172244</v>
      </c>
      <c r="F2329" t="str">
        <f>"TASC - HRA FEES"</f>
        <v>TASC - HRA FEES</v>
      </c>
      <c r="G2329" s="3">
        <v>25.2</v>
      </c>
      <c r="H2329" t="str">
        <f t="shared" si="57"/>
        <v>TASC - HRA FEES</v>
      </c>
    </row>
    <row r="2330" spans="1:8" x14ac:dyDescent="0.25">
      <c r="A2330" t="s">
        <v>351</v>
      </c>
      <c r="B2330">
        <v>946</v>
      </c>
      <c r="C2330" s="3">
        <v>4729.57</v>
      </c>
      <c r="D2330" s="6">
        <v>44260</v>
      </c>
      <c r="E2330" t="str">
        <f>"C2 202103031934"</f>
        <v>C2 202103031934</v>
      </c>
      <c r="F2330" t="str">
        <f>"0012982132CCL7445"</f>
        <v>0012982132CCL7445</v>
      </c>
      <c r="G2330" s="3">
        <v>692.31</v>
      </c>
      <c r="H2330" t="str">
        <f>"0012982132CCL7445"</f>
        <v>0012982132CCL7445</v>
      </c>
    </row>
    <row r="2331" spans="1:8" x14ac:dyDescent="0.25">
      <c r="E2331" t="str">
        <f>"C20202103031933"</f>
        <v>C20202103031933</v>
      </c>
      <c r="F2331" t="str">
        <f>"001003981107-12252"</f>
        <v>001003981107-12252</v>
      </c>
      <c r="G2331" s="3">
        <v>115.39</v>
      </c>
      <c r="H2331" t="str">
        <f>"001003981107-12252"</f>
        <v>001003981107-12252</v>
      </c>
    </row>
    <row r="2332" spans="1:8" x14ac:dyDescent="0.25">
      <c r="E2332" t="str">
        <f>"C42202103031933"</f>
        <v>C42202103031933</v>
      </c>
      <c r="F2332" t="str">
        <f>"001236769211-14410"</f>
        <v>001236769211-14410</v>
      </c>
      <c r="G2332" s="3">
        <v>230.31</v>
      </c>
      <c r="H2332" t="str">
        <f>"001236769211-14410"</f>
        <v>001236769211-14410</v>
      </c>
    </row>
    <row r="2333" spans="1:8" x14ac:dyDescent="0.25">
      <c r="E2333" t="str">
        <f>"C46202103031933"</f>
        <v>C46202103031933</v>
      </c>
      <c r="F2333" t="str">
        <f>"CAUSE# 11-14911"</f>
        <v>CAUSE# 11-14911</v>
      </c>
      <c r="G2333" s="3">
        <v>238.62</v>
      </c>
      <c r="H2333" t="str">
        <f>"CAUSE# 11-14911"</f>
        <v>CAUSE# 11-14911</v>
      </c>
    </row>
    <row r="2334" spans="1:8" x14ac:dyDescent="0.25">
      <c r="E2334" t="str">
        <f>"C60202103031933"</f>
        <v>C60202103031933</v>
      </c>
      <c r="F2334" t="str">
        <f>"00130730762012V300"</f>
        <v>00130730762012V300</v>
      </c>
      <c r="G2334" s="3">
        <v>399.32</v>
      </c>
      <c r="H2334" t="str">
        <f>"00130730762012V300"</f>
        <v>00130730762012V300</v>
      </c>
    </row>
    <row r="2335" spans="1:8" x14ac:dyDescent="0.25">
      <c r="E2335" t="str">
        <f>"C62202103031933"</f>
        <v>C62202103031933</v>
      </c>
      <c r="F2335" t="str">
        <f>"# 0012128865"</f>
        <v># 0012128865</v>
      </c>
      <c r="G2335" s="3">
        <v>243.23</v>
      </c>
      <c r="H2335" t="str">
        <f>"# 0012128865"</f>
        <v># 0012128865</v>
      </c>
    </row>
    <row r="2336" spans="1:8" x14ac:dyDescent="0.25">
      <c r="E2336" t="str">
        <f>"C66202103031933"</f>
        <v>C66202103031933</v>
      </c>
      <c r="F2336" t="str">
        <f>"# 0012871801"</f>
        <v># 0012871801</v>
      </c>
      <c r="G2336" s="3">
        <v>90</v>
      </c>
      <c r="H2336" t="str">
        <f>"# 0012871801"</f>
        <v># 0012871801</v>
      </c>
    </row>
    <row r="2337" spans="1:8" x14ac:dyDescent="0.25">
      <c r="E2337" t="str">
        <f>"C67202103031933"</f>
        <v>C67202103031933</v>
      </c>
      <c r="F2337" t="str">
        <f>"13154657"</f>
        <v>13154657</v>
      </c>
      <c r="G2337" s="3">
        <v>101.99</v>
      </c>
      <c r="H2337" t="str">
        <f>"13154657"</f>
        <v>13154657</v>
      </c>
    </row>
    <row r="2338" spans="1:8" x14ac:dyDescent="0.25">
      <c r="E2338" t="str">
        <f>"C69202103031933"</f>
        <v>C69202103031933</v>
      </c>
      <c r="F2338" t="str">
        <f>"0012046911423672"</f>
        <v>0012046911423672</v>
      </c>
      <c r="G2338" s="3">
        <v>187.38</v>
      </c>
      <c r="H2338" t="str">
        <f>"0012046911423672"</f>
        <v>0012046911423672</v>
      </c>
    </row>
    <row r="2339" spans="1:8" x14ac:dyDescent="0.25">
      <c r="E2339" t="str">
        <f>"C71202103031933"</f>
        <v>C71202103031933</v>
      </c>
      <c r="F2339" t="str">
        <f>"00137390532018V215"</f>
        <v>00137390532018V215</v>
      </c>
      <c r="G2339" s="3">
        <v>264</v>
      </c>
      <c r="H2339" t="str">
        <f>"00137390532018V215"</f>
        <v>00137390532018V215</v>
      </c>
    </row>
    <row r="2340" spans="1:8" x14ac:dyDescent="0.25">
      <c r="E2340" t="str">
        <f>"C72202103031933"</f>
        <v>C72202103031933</v>
      </c>
      <c r="F2340" t="str">
        <f>"0012797601C20130529B"</f>
        <v>0012797601C20130529B</v>
      </c>
      <c r="G2340" s="3">
        <v>241.85</v>
      </c>
      <c r="H2340" t="str">
        <f>"0012797601C20130529B"</f>
        <v>0012797601C20130529B</v>
      </c>
    </row>
    <row r="2341" spans="1:8" x14ac:dyDescent="0.25">
      <c r="E2341" t="str">
        <f>"C78202103031933"</f>
        <v>C78202103031933</v>
      </c>
      <c r="F2341" t="str">
        <f>"00105115972005106221"</f>
        <v>00105115972005106221</v>
      </c>
      <c r="G2341" s="3">
        <v>245.08</v>
      </c>
      <c r="H2341" t="str">
        <f>"00105115972005106221"</f>
        <v>00105115972005106221</v>
      </c>
    </row>
    <row r="2342" spans="1:8" x14ac:dyDescent="0.25">
      <c r="E2342" t="str">
        <f>"C83202103031933"</f>
        <v>C83202103031933</v>
      </c>
      <c r="F2342" t="str">
        <f>"0013096953150533"</f>
        <v>0013096953150533</v>
      </c>
      <c r="G2342" s="3">
        <v>346.15</v>
      </c>
      <c r="H2342" t="str">
        <f>"0013096953150533"</f>
        <v>0013096953150533</v>
      </c>
    </row>
    <row r="2343" spans="1:8" x14ac:dyDescent="0.25">
      <c r="E2343" t="str">
        <f>"C84202103031933"</f>
        <v>C84202103031933</v>
      </c>
      <c r="F2343" t="str">
        <f>"00128499834232566"</f>
        <v>00128499834232566</v>
      </c>
      <c r="G2343" s="3">
        <v>439.94</v>
      </c>
      <c r="H2343" t="str">
        <f>"00128499834232566"</f>
        <v>00128499834232566</v>
      </c>
    </row>
    <row r="2344" spans="1:8" x14ac:dyDescent="0.25">
      <c r="E2344" t="str">
        <f>"C85202103031933"</f>
        <v>C85202103031933</v>
      </c>
      <c r="F2344" t="str">
        <f>"0012469425201770874"</f>
        <v>0012469425201770874</v>
      </c>
      <c r="G2344" s="3">
        <v>138.46</v>
      </c>
      <c r="H2344" t="str">
        <f>"0012469425201770874"</f>
        <v>0012469425201770874</v>
      </c>
    </row>
    <row r="2345" spans="1:8" x14ac:dyDescent="0.25">
      <c r="E2345" t="str">
        <f>"C86202103031933"</f>
        <v>C86202103031933</v>
      </c>
      <c r="F2345" t="str">
        <f>"0013854015101285F"</f>
        <v>0013854015101285F</v>
      </c>
      <c r="G2345" s="3">
        <v>241.85</v>
      </c>
      <c r="H2345" t="str">
        <f>"0013854015101285F"</f>
        <v>0013854015101285F</v>
      </c>
    </row>
    <row r="2346" spans="1:8" x14ac:dyDescent="0.25">
      <c r="E2346" t="str">
        <f>"C87202103031933"</f>
        <v>C87202103031933</v>
      </c>
      <c r="F2346" t="str">
        <f>"0012963634L130019CVB"</f>
        <v>0012963634L130019CVB</v>
      </c>
      <c r="G2346" s="3">
        <v>249.23</v>
      </c>
      <c r="H2346" t="str">
        <f>"0012963634L130019CVB"</f>
        <v>0012963634L130019CVB</v>
      </c>
    </row>
    <row r="2347" spans="1:8" x14ac:dyDescent="0.25">
      <c r="E2347" t="str">
        <f>"C89202103031933"</f>
        <v>C89202103031933</v>
      </c>
      <c r="F2347" t="str">
        <f>"00127760434232477"</f>
        <v>00127760434232477</v>
      </c>
      <c r="G2347" s="3">
        <v>129.69</v>
      </c>
      <c r="H2347" t="str">
        <f>"00127760434232477"</f>
        <v>00127760434232477</v>
      </c>
    </row>
    <row r="2348" spans="1:8" x14ac:dyDescent="0.25">
      <c r="E2348" t="str">
        <f>"C90202103031933"</f>
        <v>C90202103031933</v>
      </c>
      <c r="F2348" t="str">
        <f>"00116477472008EM5013"</f>
        <v>00116477472008EM5013</v>
      </c>
      <c r="G2348" s="3">
        <v>134.77000000000001</v>
      </c>
      <c r="H2348" t="str">
        <f>"00116477472008EM5013"</f>
        <v>00116477472008EM5013</v>
      </c>
    </row>
    <row r="2349" spans="1:8" x14ac:dyDescent="0.25">
      <c r="A2349" t="s">
        <v>351</v>
      </c>
      <c r="B2349">
        <v>954</v>
      </c>
      <c r="C2349" s="3">
        <v>4729.57</v>
      </c>
      <c r="D2349" s="6">
        <v>44274</v>
      </c>
      <c r="E2349" t="str">
        <f>"C2 202103172244"</f>
        <v>C2 202103172244</v>
      </c>
      <c r="F2349" t="str">
        <f>"0012982132CCL7445"</f>
        <v>0012982132CCL7445</v>
      </c>
      <c r="G2349" s="3">
        <v>692.31</v>
      </c>
      <c r="H2349" t="str">
        <f>"0012982132CCL7445"</f>
        <v>0012982132CCL7445</v>
      </c>
    </row>
    <row r="2350" spans="1:8" x14ac:dyDescent="0.25">
      <c r="E2350" t="str">
        <f>"C20202103172243"</f>
        <v>C20202103172243</v>
      </c>
      <c r="F2350" t="str">
        <f>"001003981107-12252"</f>
        <v>001003981107-12252</v>
      </c>
      <c r="G2350" s="3">
        <v>115.39</v>
      </c>
      <c r="H2350" t="str">
        <f>"001003981107-12252"</f>
        <v>001003981107-12252</v>
      </c>
    </row>
    <row r="2351" spans="1:8" x14ac:dyDescent="0.25">
      <c r="E2351" t="str">
        <f>"C42202103172243"</f>
        <v>C42202103172243</v>
      </c>
      <c r="F2351" t="str">
        <f>"001236769211-14410"</f>
        <v>001236769211-14410</v>
      </c>
      <c r="G2351" s="3">
        <v>230.31</v>
      </c>
      <c r="H2351" t="str">
        <f>"001236769211-14410"</f>
        <v>001236769211-14410</v>
      </c>
    </row>
    <row r="2352" spans="1:8" x14ac:dyDescent="0.25">
      <c r="E2352" t="str">
        <f>"C46202103172243"</f>
        <v>C46202103172243</v>
      </c>
      <c r="F2352" t="str">
        <f>"CAUSE# 11-14911"</f>
        <v>CAUSE# 11-14911</v>
      </c>
      <c r="G2352" s="3">
        <v>238.62</v>
      </c>
      <c r="H2352" t="str">
        <f>"CAUSE# 11-14911"</f>
        <v>CAUSE# 11-14911</v>
      </c>
    </row>
    <row r="2353" spans="1:8" x14ac:dyDescent="0.25">
      <c r="E2353" t="str">
        <f>"C60202103172243"</f>
        <v>C60202103172243</v>
      </c>
      <c r="F2353" t="str">
        <f>"00130730762012V300"</f>
        <v>00130730762012V300</v>
      </c>
      <c r="G2353" s="3">
        <v>399.32</v>
      </c>
      <c r="H2353" t="str">
        <f>"00130730762012V300"</f>
        <v>00130730762012V300</v>
      </c>
    </row>
    <row r="2354" spans="1:8" x14ac:dyDescent="0.25">
      <c r="E2354" t="str">
        <f>"C62202103172243"</f>
        <v>C62202103172243</v>
      </c>
      <c r="F2354" t="str">
        <f>"# 0012128865"</f>
        <v># 0012128865</v>
      </c>
      <c r="G2354" s="3">
        <v>243.23</v>
      </c>
      <c r="H2354" t="str">
        <f>"# 0012128865"</f>
        <v># 0012128865</v>
      </c>
    </row>
    <row r="2355" spans="1:8" x14ac:dyDescent="0.25">
      <c r="E2355" t="str">
        <f>"C66202103172243"</f>
        <v>C66202103172243</v>
      </c>
      <c r="F2355" t="str">
        <f>"# 0012871801"</f>
        <v># 0012871801</v>
      </c>
      <c r="G2355" s="3">
        <v>90</v>
      </c>
      <c r="H2355" t="str">
        <f>"# 0012871801"</f>
        <v># 0012871801</v>
      </c>
    </row>
    <row r="2356" spans="1:8" x14ac:dyDescent="0.25">
      <c r="E2356" t="str">
        <f>"C67202103172243"</f>
        <v>C67202103172243</v>
      </c>
      <c r="F2356" t="str">
        <f>"13154657"</f>
        <v>13154657</v>
      </c>
      <c r="G2356" s="3">
        <v>101.99</v>
      </c>
      <c r="H2356" t="str">
        <f>"13154657"</f>
        <v>13154657</v>
      </c>
    </row>
    <row r="2357" spans="1:8" x14ac:dyDescent="0.25">
      <c r="E2357" t="str">
        <f>"C69202103172243"</f>
        <v>C69202103172243</v>
      </c>
      <c r="F2357" t="str">
        <f>"0012046911423672"</f>
        <v>0012046911423672</v>
      </c>
      <c r="G2357" s="3">
        <v>187.38</v>
      </c>
      <c r="H2357" t="str">
        <f>"0012046911423672"</f>
        <v>0012046911423672</v>
      </c>
    </row>
    <row r="2358" spans="1:8" x14ac:dyDescent="0.25">
      <c r="E2358" t="str">
        <f>"C71202103172243"</f>
        <v>C71202103172243</v>
      </c>
      <c r="F2358" t="str">
        <f>"00137390532018V215"</f>
        <v>00137390532018V215</v>
      </c>
      <c r="G2358" s="3">
        <v>264</v>
      </c>
      <c r="H2358" t="str">
        <f>"00137390532018V215"</f>
        <v>00137390532018V215</v>
      </c>
    </row>
    <row r="2359" spans="1:8" x14ac:dyDescent="0.25">
      <c r="E2359" t="str">
        <f>"C72202103172243"</f>
        <v>C72202103172243</v>
      </c>
      <c r="F2359" t="str">
        <f>"0012797601C20130529B"</f>
        <v>0012797601C20130529B</v>
      </c>
      <c r="G2359" s="3">
        <v>241.85</v>
      </c>
      <c r="H2359" t="str">
        <f>"0012797601C20130529B"</f>
        <v>0012797601C20130529B</v>
      </c>
    </row>
    <row r="2360" spans="1:8" x14ac:dyDescent="0.25">
      <c r="E2360" t="str">
        <f>"C78202103172243"</f>
        <v>C78202103172243</v>
      </c>
      <c r="F2360" t="str">
        <f>"00105115972005106221"</f>
        <v>00105115972005106221</v>
      </c>
      <c r="G2360" s="3">
        <v>245.08</v>
      </c>
      <c r="H2360" t="str">
        <f>"00105115972005106221"</f>
        <v>00105115972005106221</v>
      </c>
    </row>
    <row r="2361" spans="1:8" x14ac:dyDescent="0.25">
      <c r="E2361" t="str">
        <f>"C83202103172243"</f>
        <v>C83202103172243</v>
      </c>
      <c r="F2361" t="str">
        <f>"0013096953150533"</f>
        <v>0013096953150533</v>
      </c>
      <c r="G2361" s="3">
        <v>346.15</v>
      </c>
      <c r="H2361" t="str">
        <f>"0013096953150533"</f>
        <v>0013096953150533</v>
      </c>
    </row>
    <row r="2362" spans="1:8" x14ac:dyDescent="0.25">
      <c r="E2362" t="str">
        <f>"C84202103172243"</f>
        <v>C84202103172243</v>
      </c>
      <c r="F2362" t="str">
        <f>"00128499834232566"</f>
        <v>00128499834232566</v>
      </c>
      <c r="G2362" s="3">
        <v>439.94</v>
      </c>
      <c r="H2362" t="str">
        <f>"00128499834232566"</f>
        <v>00128499834232566</v>
      </c>
    </row>
    <row r="2363" spans="1:8" x14ac:dyDescent="0.25">
      <c r="E2363" t="str">
        <f>"C85202103172243"</f>
        <v>C85202103172243</v>
      </c>
      <c r="F2363" t="str">
        <f>"0012469425201770874"</f>
        <v>0012469425201770874</v>
      </c>
      <c r="G2363" s="3">
        <v>138.46</v>
      </c>
      <c r="H2363" t="str">
        <f>"0012469425201770874"</f>
        <v>0012469425201770874</v>
      </c>
    </row>
    <row r="2364" spans="1:8" x14ac:dyDescent="0.25">
      <c r="E2364" t="str">
        <f>"C86202103172243"</f>
        <v>C86202103172243</v>
      </c>
      <c r="F2364" t="str">
        <f>"0013854015101285F"</f>
        <v>0013854015101285F</v>
      </c>
      <c r="G2364" s="3">
        <v>241.85</v>
      </c>
      <c r="H2364" t="str">
        <f>"0013854015101285F"</f>
        <v>0013854015101285F</v>
      </c>
    </row>
    <row r="2365" spans="1:8" x14ac:dyDescent="0.25">
      <c r="E2365" t="str">
        <f>"C87202103172243"</f>
        <v>C87202103172243</v>
      </c>
      <c r="F2365" t="str">
        <f>"0012963634L130019CVB"</f>
        <v>0012963634L130019CVB</v>
      </c>
      <c r="G2365" s="3">
        <v>249.23</v>
      </c>
      <c r="H2365" t="str">
        <f>"0012963634L130019CVB"</f>
        <v>0012963634L130019CVB</v>
      </c>
    </row>
    <row r="2366" spans="1:8" x14ac:dyDescent="0.25">
      <c r="E2366" t="str">
        <f>"C89202103172243"</f>
        <v>C89202103172243</v>
      </c>
      <c r="F2366" t="str">
        <f>"00127760434232477"</f>
        <v>00127760434232477</v>
      </c>
      <c r="G2366" s="3">
        <v>129.69</v>
      </c>
      <c r="H2366" t="str">
        <f>"00127760434232477"</f>
        <v>00127760434232477</v>
      </c>
    </row>
    <row r="2367" spans="1:8" x14ac:dyDescent="0.25">
      <c r="E2367" t="str">
        <f>"C90202103172243"</f>
        <v>C90202103172243</v>
      </c>
      <c r="F2367" t="str">
        <f>"00116477472008EM5013"</f>
        <v>00116477472008EM5013</v>
      </c>
      <c r="G2367" s="3">
        <v>134.77000000000001</v>
      </c>
      <c r="H2367" t="str">
        <f>"00116477472008EM5013"</f>
        <v>00116477472008EM5013</v>
      </c>
    </row>
    <row r="2368" spans="1:8" x14ac:dyDescent="0.25">
      <c r="A2368" t="s">
        <v>352</v>
      </c>
      <c r="B2368">
        <v>956</v>
      </c>
      <c r="C2368" s="3">
        <v>383640.42</v>
      </c>
      <c r="D2368" s="6">
        <v>44274</v>
      </c>
      <c r="E2368" t="str">
        <f>"RET202103031933"</f>
        <v>RET202103031933</v>
      </c>
      <c r="F2368" t="str">
        <f>"TEXAS COUNTY &amp; DISTRICT RET"</f>
        <v>TEXAS COUNTY &amp; DISTRICT RET</v>
      </c>
      <c r="G2368" s="3">
        <v>179222.93</v>
      </c>
      <c r="H2368" t="str">
        <f t="shared" ref="H2368:H2399" si="58">"TEXAS COUNTY &amp; DISTRICT RET"</f>
        <v>TEXAS COUNTY &amp; DISTRICT RET</v>
      </c>
    </row>
    <row r="2369" spans="5:8" x14ac:dyDescent="0.25">
      <c r="E2369" t="str">
        <f>""</f>
        <v/>
      </c>
      <c r="F2369" t="str">
        <f>""</f>
        <v/>
      </c>
      <c r="H2369" t="str">
        <f t="shared" si="58"/>
        <v>TEXAS COUNTY &amp; DISTRICT RET</v>
      </c>
    </row>
    <row r="2370" spans="5:8" x14ac:dyDescent="0.25">
      <c r="E2370" t="str">
        <f>""</f>
        <v/>
      </c>
      <c r="F2370" t="str">
        <f>""</f>
        <v/>
      </c>
      <c r="H2370" t="str">
        <f t="shared" si="58"/>
        <v>TEXAS COUNTY &amp; DISTRICT RET</v>
      </c>
    </row>
    <row r="2371" spans="5:8" x14ac:dyDescent="0.25">
      <c r="E2371" t="str">
        <f>""</f>
        <v/>
      </c>
      <c r="F2371" t="str">
        <f>""</f>
        <v/>
      </c>
      <c r="H2371" t="str">
        <f t="shared" si="58"/>
        <v>TEXAS COUNTY &amp; DISTRICT RET</v>
      </c>
    </row>
    <row r="2372" spans="5:8" x14ac:dyDescent="0.25">
      <c r="E2372" t="str">
        <f>""</f>
        <v/>
      </c>
      <c r="F2372" t="str">
        <f>""</f>
        <v/>
      </c>
      <c r="H2372" t="str">
        <f t="shared" si="58"/>
        <v>TEXAS COUNTY &amp; DISTRICT RET</v>
      </c>
    </row>
    <row r="2373" spans="5:8" x14ac:dyDescent="0.25">
      <c r="E2373" t="str">
        <f>""</f>
        <v/>
      </c>
      <c r="F2373" t="str">
        <f>""</f>
        <v/>
      </c>
      <c r="H2373" t="str">
        <f t="shared" si="58"/>
        <v>TEXAS COUNTY &amp; DISTRICT RET</v>
      </c>
    </row>
    <row r="2374" spans="5:8" x14ac:dyDescent="0.25">
      <c r="E2374" t="str">
        <f>""</f>
        <v/>
      </c>
      <c r="F2374" t="str">
        <f>""</f>
        <v/>
      </c>
      <c r="H2374" t="str">
        <f t="shared" si="58"/>
        <v>TEXAS COUNTY &amp; DISTRICT RET</v>
      </c>
    </row>
    <row r="2375" spans="5:8" x14ac:dyDescent="0.25">
      <c r="E2375" t="str">
        <f>""</f>
        <v/>
      </c>
      <c r="F2375" t="str">
        <f>""</f>
        <v/>
      </c>
      <c r="H2375" t="str">
        <f t="shared" si="58"/>
        <v>TEXAS COUNTY &amp; DISTRICT RET</v>
      </c>
    </row>
    <row r="2376" spans="5:8" x14ac:dyDescent="0.25">
      <c r="E2376" t="str">
        <f>""</f>
        <v/>
      </c>
      <c r="F2376" t="str">
        <f>""</f>
        <v/>
      </c>
      <c r="H2376" t="str">
        <f t="shared" si="58"/>
        <v>TEXAS COUNTY &amp; DISTRICT RET</v>
      </c>
    </row>
    <row r="2377" spans="5:8" x14ac:dyDescent="0.25">
      <c r="E2377" t="str">
        <f>""</f>
        <v/>
      </c>
      <c r="F2377" t="str">
        <f>""</f>
        <v/>
      </c>
      <c r="H2377" t="str">
        <f t="shared" si="58"/>
        <v>TEXAS COUNTY &amp; DISTRICT RET</v>
      </c>
    </row>
    <row r="2378" spans="5:8" x14ac:dyDescent="0.25">
      <c r="E2378" t="str">
        <f>""</f>
        <v/>
      </c>
      <c r="F2378" t="str">
        <f>""</f>
        <v/>
      </c>
      <c r="H2378" t="str">
        <f t="shared" si="58"/>
        <v>TEXAS COUNTY &amp; DISTRICT RET</v>
      </c>
    </row>
    <row r="2379" spans="5:8" x14ac:dyDescent="0.25">
      <c r="E2379" t="str">
        <f>""</f>
        <v/>
      </c>
      <c r="F2379" t="str">
        <f>""</f>
        <v/>
      </c>
      <c r="H2379" t="str">
        <f t="shared" si="58"/>
        <v>TEXAS COUNTY &amp; DISTRICT RET</v>
      </c>
    </row>
    <row r="2380" spans="5:8" x14ac:dyDescent="0.25">
      <c r="E2380" t="str">
        <f>""</f>
        <v/>
      </c>
      <c r="F2380" t="str">
        <f>""</f>
        <v/>
      </c>
      <c r="H2380" t="str">
        <f t="shared" si="58"/>
        <v>TEXAS COUNTY &amp; DISTRICT RET</v>
      </c>
    </row>
    <row r="2381" spans="5:8" x14ac:dyDescent="0.25">
      <c r="E2381" t="str">
        <f>""</f>
        <v/>
      </c>
      <c r="F2381" t="str">
        <f>""</f>
        <v/>
      </c>
      <c r="H2381" t="str">
        <f t="shared" si="58"/>
        <v>TEXAS COUNTY &amp; DISTRICT RET</v>
      </c>
    </row>
    <row r="2382" spans="5:8" x14ac:dyDescent="0.25">
      <c r="E2382" t="str">
        <f>""</f>
        <v/>
      </c>
      <c r="F2382" t="str">
        <f>""</f>
        <v/>
      </c>
      <c r="H2382" t="str">
        <f t="shared" si="58"/>
        <v>TEXAS COUNTY &amp; DISTRICT RET</v>
      </c>
    </row>
    <row r="2383" spans="5:8" x14ac:dyDescent="0.25">
      <c r="E2383" t="str">
        <f>""</f>
        <v/>
      </c>
      <c r="F2383" t="str">
        <f>""</f>
        <v/>
      </c>
      <c r="H2383" t="str">
        <f t="shared" si="58"/>
        <v>TEXAS COUNTY &amp; DISTRICT RET</v>
      </c>
    </row>
    <row r="2384" spans="5:8" x14ac:dyDescent="0.25">
      <c r="E2384" t="str">
        <f>""</f>
        <v/>
      </c>
      <c r="F2384" t="str">
        <f>""</f>
        <v/>
      </c>
      <c r="H2384" t="str">
        <f t="shared" si="58"/>
        <v>TEXAS COUNTY &amp; DISTRICT RET</v>
      </c>
    </row>
    <row r="2385" spans="5:8" x14ac:dyDescent="0.25">
      <c r="E2385" t="str">
        <f>""</f>
        <v/>
      </c>
      <c r="F2385" t="str">
        <f>""</f>
        <v/>
      </c>
      <c r="H2385" t="str">
        <f t="shared" si="58"/>
        <v>TEXAS COUNTY &amp; DISTRICT RET</v>
      </c>
    </row>
    <row r="2386" spans="5:8" x14ac:dyDescent="0.25">
      <c r="E2386" t="str">
        <f>""</f>
        <v/>
      </c>
      <c r="F2386" t="str">
        <f>""</f>
        <v/>
      </c>
      <c r="H2386" t="str">
        <f t="shared" si="58"/>
        <v>TEXAS COUNTY &amp; DISTRICT RET</v>
      </c>
    </row>
    <row r="2387" spans="5:8" x14ac:dyDescent="0.25">
      <c r="E2387" t="str">
        <f>""</f>
        <v/>
      </c>
      <c r="F2387" t="str">
        <f>""</f>
        <v/>
      </c>
      <c r="H2387" t="str">
        <f t="shared" si="58"/>
        <v>TEXAS COUNTY &amp; DISTRICT RET</v>
      </c>
    </row>
    <row r="2388" spans="5:8" x14ac:dyDescent="0.25">
      <c r="E2388" t="str">
        <f>""</f>
        <v/>
      </c>
      <c r="F2388" t="str">
        <f>""</f>
        <v/>
      </c>
      <c r="H2388" t="str">
        <f t="shared" si="58"/>
        <v>TEXAS COUNTY &amp; DISTRICT RET</v>
      </c>
    </row>
    <row r="2389" spans="5:8" x14ac:dyDescent="0.25">
      <c r="E2389" t="str">
        <f>""</f>
        <v/>
      </c>
      <c r="F2389" t="str">
        <f>""</f>
        <v/>
      </c>
      <c r="H2389" t="str">
        <f t="shared" si="58"/>
        <v>TEXAS COUNTY &amp; DISTRICT RET</v>
      </c>
    </row>
    <row r="2390" spans="5:8" x14ac:dyDescent="0.25">
      <c r="E2390" t="str">
        <f>""</f>
        <v/>
      </c>
      <c r="F2390" t="str">
        <f>""</f>
        <v/>
      </c>
      <c r="H2390" t="str">
        <f t="shared" si="58"/>
        <v>TEXAS COUNTY &amp; DISTRICT RET</v>
      </c>
    </row>
    <row r="2391" spans="5:8" x14ac:dyDescent="0.25">
      <c r="E2391" t="str">
        <f>""</f>
        <v/>
      </c>
      <c r="F2391" t="str">
        <f>""</f>
        <v/>
      </c>
      <c r="H2391" t="str">
        <f t="shared" si="58"/>
        <v>TEXAS COUNTY &amp; DISTRICT RET</v>
      </c>
    </row>
    <row r="2392" spans="5:8" x14ac:dyDescent="0.25">
      <c r="E2392" t="str">
        <f>""</f>
        <v/>
      </c>
      <c r="F2392" t="str">
        <f>""</f>
        <v/>
      </c>
      <c r="H2392" t="str">
        <f t="shared" si="58"/>
        <v>TEXAS COUNTY &amp; DISTRICT RET</v>
      </c>
    </row>
    <row r="2393" spans="5:8" x14ac:dyDescent="0.25">
      <c r="E2393" t="str">
        <f>""</f>
        <v/>
      </c>
      <c r="F2393" t="str">
        <f>""</f>
        <v/>
      </c>
      <c r="H2393" t="str">
        <f t="shared" si="58"/>
        <v>TEXAS COUNTY &amp; DISTRICT RET</v>
      </c>
    </row>
    <row r="2394" spans="5:8" x14ac:dyDescent="0.25">
      <c r="E2394" t="str">
        <f>""</f>
        <v/>
      </c>
      <c r="F2394" t="str">
        <f>""</f>
        <v/>
      </c>
      <c r="H2394" t="str">
        <f t="shared" si="58"/>
        <v>TEXAS COUNTY &amp; DISTRICT RET</v>
      </c>
    </row>
    <row r="2395" spans="5:8" x14ac:dyDescent="0.25">
      <c r="E2395" t="str">
        <f>""</f>
        <v/>
      </c>
      <c r="F2395" t="str">
        <f>""</f>
        <v/>
      </c>
      <c r="H2395" t="str">
        <f t="shared" si="58"/>
        <v>TEXAS COUNTY &amp; DISTRICT RET</v>
      </c>
    </row>
    <row r="2396" spans="5:8" x14ac:dyDescent="0.25">
      <c r="E2396" t="str">
        <f>""</f>
        <v/>
      </c>
      <c r="F2396" t="str">
        <f>""</f>
        <v/>
      </c>
      <c r="H2396" t="str">
        <f t="shared" si="58"/>
        <v>TEXAS COUNTY &amp; DISTRICT RET</v>
      </c>
    </row>
    <row r="2397" spans="5:8" x14ac:dyDescent="0.25">
      <c r="E2397" t="str">
        <f>""</f>
        <v/>
      </c>
      <c r="F2397" t="str">
        <f>""</f>
        <v/>
      </c>
      <c r="H2397" t="str">
        <f t="shared" si="58"/>
        <v>TEXAS COUNTY &amp; DISTRICT RET</v>
      </c>
    </row>
    <row r="2398" spans="5:8" x14ac:dyDescent="0.25">
      <c r="E2398" t="str">
        <f>""</f>
        <v/>
      </c>
      <c r="F2398" t="str">
        <f>""</f>
        <v/>
      </c>
      <c r="H2398" t="str">
        <f t="shared" si="58"/>
        <v>TEXAS COUNTY &amp; DISTRICT RET</v>
      </c>
    </row>
    <row r="2399" spans="5:8" x14ac:dyDescent="0.25">
      <c r="E2399" t="str">
        <f>""</f>
        <v/>
      </c>
      <c r="F2399" t="str">
        <f>""</f>
        <v/>
      </c>
      <c r="H2399" t="str">
        <f t="shared" si="58"/>
        <v>TEXAS COUNTY &amp; DISTRICT RET</v>
      </c>
    </row>
    <row r="2400" spans="5:8" x14ac:dyDescent="0.25">
      <c r="E2400" t="str">
        <f>""</f>
        <v/>
      </c>
      <c r="F2400" t="str">
        <f>""</f>
        <v/>
      </c>
      <c r="H2400" t="str">
        <f t="shared" ref="H2400:H2419" si="59">"TEXAS COUNTY &amp; DISTRICT RET"</f>
        <v>TEXAS COUNTY &amp; DISTRICT RET</v>
      </c>
    </row>
    <row r="2401" spans="5:8" x14ac:dyDescent="0.25">
      <c r="E2401" t="str">
        <f>""</f>
        <v/>
      </c>
      <c r="F2401" t="str">
        <f>""</f>
        <v/>
      </c>
      <c r="H2401" t="str">
        <f t="shared" si="59"/>
        <v>TEXAS COUNTY &amp; DISTRICT RET</v>
      </c>
    </row>
    <row r="2402" spans="5:8" x14ac:dyDescent="0.25">
      <c r="E2402" t="str">
        <f>""</f>
        <v/>
      </c>
      <c r="F2402" t="str">
        <f>""</f>
        <v/>
      </c>
      <c r="H2402" t="str">
        <f t="shared" si="59"/>
        <v>TEXAS COUNTY &amp; DISTRICT RET</v>
      </c>
    </row>
    <row r="2403" spans="5:8" x14ac:dyDescent="0.25">
      <c r="E2403" t="str">
        <f>""</f>
        <v/>
      </c>
      <c r="F2403" t="str">
        <f>""</f>
        <v/>
      </c>
      <c r="H2403" t="str">
        <f t="shared" si="59"/>
        <v>TEXAS COUNTY &amp; DISTRICT RET</v>
      </c>
    </row>
    <row r="2404" spans="5:8" x14ac:dyDescent="0.25">
      <c r="E2404" t="str">
        <f>""</f>
        <v/>
      </c>
      <c r="F2404" t="str">
        <f>""</f>
        <v/>
      </c>
      <c r="H2404" t="str">
        <f t="shared" si="59"/>
        <v>TEXAS COUNTY &amp; DISTRICT RET</v>
      </c>
    </row>
    <row r="2405" spans="5:8" x14ac:dyDescent="0.25">
      <c r="E2405" t="str">
        <f>""</f>
        <v/>
      </c>
      <c r="F2405" t="str">
        <f>""</f>
        <v/>
      </c>
      <c r="H2405" t="str">
        <f t="shared" si="59"/>
        <v>TEXAS COUNTY &amp; DISTRICT RET</v>
      </c>
    </row>
    <row r="2406" spans="5:8" x14ac:dyDescent="0.25">
      <c r="E2406" t="str">
        <f>""</f>
        <v/>
      </c>
      <c r="F2406" t="str">
        <f>""</f>
        <v/>
      </c>
      <c r="H2406" t="str">
        <f t="shared" si="59"/>
        <v>TEXAS COUNTY &amp; DISTRICT RET</v>
      </c>
    </row>
    <row r="2407" spans="5:8" x14ac:dyDescent="0.25">
      <c r="E2407" t="str">
        <f>""</f>
        <v/>
      </c>
      <c r="F2407" t="str">
        <f>""</f>
        <v/>
      </c>
      <c r="H2407" t="str">
        <f t="shared" si="59"/>
        <v>TEXAS COUNTY &amp; DISTRICT RET</v>
      </c>
    </row>
    <row r="2408" spans="5:8" x14ac:dyDescent="0.25">
      <c r="E2408" t="str">
        <f>""</f>
        <v/>
      </c>
      <c r="F2408" t="str">
        <f>""</f>
        <v/>
      </c>
      <c r="H2408" t="str">
        <f t="shared" si="59"/>
        <v>TEXAS COUNTY &amp; DISTRICT RET</v>
      </c>
    </row>
    <row r="2409" spans="5:8" x14ac:dyDescent="0.25">
      <c r="E2409" t="str">
        <f>""</f>
        <v/>
      </c>
      <c r="F2409" t="str">
        <f>""</f>
        <v/>
      </c>
      <c r="H2409" t="str">
        <f t="shared" si="59"/>
        <v>TEXAS COUNTY &amp; DISTRICT RET</v>
      </c>
    </row>
    <row r="2410" spans="5:8" x14ac:dyDescent="0.25">
      <c r="E2410" t="str">
        <f>""</f>
        <v/>
      </c>
      <c r="F2410" t="str">
        <f>""</f>
        <v/>
      </c>
      <c r="H2410" t="str">
        <f t="shared" si="59"/>
        <v>TEXAS COUNTY &amp; DISTRICT RET</v>
      </c>
    </row>
    <row r="2411" spans="5:8" x14ac:dyDescent="0.25">
      <c r="E2411" t="str">
        <f>""</f>
        <v/>
      </c>
      <c r="F2411" t="str">
        <f>""</f>
        <v/>
      </c>
      <c r="H2411" t="str">
        <f t="shared" si="59"/>
        <v>TEXAS COUNTY &amp; DISTRICT RET</v>
      </c>
    </row>
    <row r="2412" spans="5:8" x14ac:dyDescent="0.25">
      <c r="E2412" t="str">
        <f>""</f>
        <v/>
      </c>
      <c r="F2412" t="str">
        <f>""</f>
        <v/>
      </c>
      <c r="H2412" t="str">
        <f t="shared" si="59"/>
        <v>TEXAS COUNTY &amp; DISTRICT RET</v>
      </c>
    </row>
    <row r="2413" spans="5:8" x14ac:dyDescent="0.25">
      <c r="E2413" t="str">
        <f>""</f>
        <v/>
      </c>
      <c r="F2413" t="str">
        <f>""</f>
        <v/>
      </c>
      <c r="H2413" t="str">
        <f t="shared" si="59"/>
        <v>TEXAS COUNTY &amp; DISTRICT RET</v>
      </c>
    </row>
    <row r="2414" spans="5:8" x14ac:dyDescent="0.25">
      <c r="E2414" t="str">
        <f>""</f>
        <v/>
      </c>
      <c r="F2414" t="str">
        <f>""</f>
        <v/>
      </c>
      <c r="H2414" t="str">
        <f t="shared" si="59"/>
        <v>TEXAS COUNTY &amp; DISTRICT RET</v>
      </c>
    </row>
    <row r="2415" spans="5:8" x14ac:dyDescent="0.25">
      <c r="E2415" t="str">
        <f>""</f>
        <v/>
      </c>
      <c r="F2415" t="str">
        <f>""</f>
        <v/>
      </c>
      <c r="H2415" t="str">
        <f t="shared" si="59"/>
        <v>TEXAS COUNTY &amp; DISTRICT RET</v>
      </c>
    </row>
    <row r="2416" spans="5:8" x14ac:dyDescent="0.25">
      <c r="E2416" t="str">
        <f>""</f>
        <v/>
      </c>
      <c r="F2416" t="str">
        <f>""</f>
        <v/>
      </c>
      <c r="H2416" t="str">
        <f t="shared" si="59"/>
        <v>TEXAS COUNTY &amp; DISTRICT RET</v>
      </c>
    </row>
    <row r="2417" spans="5:8" x14ac:dyDescent="0.25">
      <c r="E2417" t="str">
        <f>""</f>
        <v/>
      </c>
      <c r="F2417" t="str">
        <f>""</f>
        <v/>
      </c>
      <c r="H2417" t="str">
        <f t="shared" si="59"/>
        <v>TEXAS COUNTY &amp; DISTRICT RET</v>
      </c>
    </row>
    <row r="2418" spans="5:8" x14ac:dyDescent="0.25">
      <c r="E2418" t="str">
        <f>""</f>
        <v/>
      </c>
      <c r="F2418" t="str">
        <f>""</f>
        <v/>
      </c>
      <c r="H2418" t="str">
        <f t="shared" si="59"/>
        <v>TEXAS COUNTY &amp; DISTRICT RET</v>
      </c>
    </row>
    <row r="2419" spans="5:8" x14ac:dyDescent="0.25">
      <c r="E2419" t="str">
        <f>""</f>
        <v/>
      </c>
      <c r="F2419" t="str">
        <f>""</f>
        <v/>
      </c>
      <c r="H2419" t="str">
        <f t="shared" si="59"/>
        <v>TEXAS COUNTY &amp; DISTRICT RET</v>
      </c>
    </row>
    <row r="2420" spans="5:8" x14ac:dyDescent="0.25">
      <c r="E2420" t="str">
        <f>"RET202103031934"</f>
        <v>RET202103031934</v>
      </c>
      <c r="F2420" t="str">
        <f>"TEXAS COUNTY  DISTRICT RET"</f>
        <v>TEXAS COUNTY  DISTRICT RET</v>
      </c>
      <c r="G2420" s="3">
        <v>6236.15</v>
      </c>
      <c r="H2420" t="str">
        <f>"TEXAS COUNTY  DISTRICT RET"</f>
        <v>TEXAS COUNTY  DISTRICT RET</v>
      </c>
    </row>
    <row r="2421" spans="5:8" x14ac:dyDescent="0.25">
      <c r="E2421" t="str">
        <f>""</f>
        <v/>
      </c>
      <c r="F2421" t="str">
        <f>""</f>
        <v/>
      </c>
      <c r="H2421" t="str">
        <f>"TEXAS COUNTY  DISTRICT RET"</f>
        <v>TEXAS COUNTY  DISTRICT RET</v>
      </c>
    </row>
    <row r="2422" spans="5:8" x14ac:dyDescent="0.25">
      <c r="E2422" t="str">
        <f>"RET202103031935"</f>
        <v>RET202103031935</v>
      </c>
      <c r="F2422" t="str">
        <f>"TEXAS COUNTY &amp; DISTRICT RET"</f>
        <v>TEXAS COUNTY &amp; DISTRICT RET</v>
      </c>
      <c r="G2422" s="3">
        <v>7208.61</v>
      </c>
      <c r="H2422" t="str">
        <f t="shared" ref="H2422:H2453" si="60">"TEXAS COUNTY &amp; DISTRICT RET"</f>
        <v>TEXAS COUNTY &amp; DISTRICT RET</v>
      </c>
    </row>
    <row r="2423" spans="5:8" x14ac:dyDescent="0.25">
      <c r="E2423" t="str">
        <f>""</f>
        <v/>
      </c>
      <c r="F2423" t="str">
        <f>""</f>
        <v/>
      </c>
      <c r="H2423" t="str">
        <f t="shared" si="60"/>
        <v>TEXAS COUNTY &amp; DISTRICT RET</v>
      </c>
    </row>
    <row r="2424" spans="5:8" x14ac:dyDescent="0.25">
      <c r="E2424" t="str">
        <f>"RET202103172243"</f>
        <v>RET202103172243</v>
      </c>
      <c r="F2424" t="str">
        <f>"TEXAS COUNTY &amp; DISTRICT RET"</f>
        <v>TEXAS COUNTY &amp; DISTRICT RET</v>
      </c>
      <c r="G2424" s="3">
        <v>177560.08</v>
      </c>
      <c r="H2424" t="str">
        <f t="shared" si="60"/>
        <v>TEXAS COUNTY &amp; DISTRICT RET</v>
      </c>
    </row>
    <row r="2425" spans="5:8" x14ac:dyDescent="0.25">
      <c r="E2425" t="str">
        <f>""</f>
        <v/>
      </c>
      <c r="F2425" t="str">
        <f>""</f>
        <v/>
      </c>
      <c r="H2425" t="str">
        <f t="shared" si="60"/>
        <v>TEXAS COUNTY &amp; DISTRICT RET</v>
      </c>
    </row>
    <row r="2426" spans="5:8" x14ac:dyDescent="0.25">
      <c r="E2426" t="str">
        <f>""</f>
        <v/>
      </c>
      <c r="F2426" t="str">
        <f>""</f>
        <v/>
      </c>
      <c r="H2426" t="str">
        <f t="shared" si="60"/>
        <v>TEXAS COUNTY &amp; DISTRICT RET</v>
      </c>
    </row>
    <row r="2427" spans="5:8" x14ac:dyDescent="0.25">
      <c r="E2427" t="str">
        <f>""</f>
        <v/>
      </c>
      <c r="F2427" t="str">
        <f>""</f>
        <v/>
      </c>
      <c r="H2427" t="str">
        <f t="shared" si="60"/>
        <v>TEXAS COUNTY &amp; DISTRICT RET</v>
      </c>
    </row>
    <row r="2428" spans="5:8" x14ac:dyDescent="0.25">
      <c r="E2428" t="str">
        <f>""</f>
        <v/>
      </c>
      <c r="F2428" t="str">
        <f>""</f>
        <v/>
      </c>
      <c r="H2428" t="str">
        <f t="shared" si="60"/>
        <v>TEXAS COUNTY &amp; DISTRICT RET</v>
      </c>
    </row>
    <row r="2429" spans="5:8" x14ac:dyDescent="0.25">
      <c r="E2429" t="str">
        <f>""</f>
        <v/>
      </c>
      <c r="F2429" t="str">
        <f>""</f>
        <v/>
      </c>
      <c r="H2429" t="str">
        <f t="shared" si="60"/>
        <v>TEXAS COUNTY &amp; DISTRICT RET</v>
      </c>
    </row>
    <row r="2430" spans="5:8" x14ac:dyDescent="0.25">
      <c r="E2430" t="str">
        <f>""</f>
        <v/>
      </c>
      <c r="F2430" t="str">
        <f>""</f>
        <v/>
      </c>
      <c r="H2430" t="str">
        <f t="shared" si="60"/>
        <v>TEXAS COUNTY &amp; DISTRICT RET</v>
      </c>
    </row>
    <row r="2431" spans="5:8" x14ac:dyDescent="0.25">
      <c r="E2431" t="str">
        <f>""</f>
        <v/>
      </c>
      <c r="F2431" t="str">
        <f>""</f>
        <v/>
      </c>
      <c r="H2431" t="str">
        <f t="shared" si="60"/>
        <v>TEXAS COUNTY &amp; DISTRICT RET</v>
      </c>
    </row>
    <row r="2432" spans="5:8" x14ac:dyDescent="0.25">
      <c r="E2432" t="str">
        <f>""</f>
        <v/>
      </c>
      <c r="F2432" t="str">
        <f>""</f>
        <v/>
      </c>
      <c r="H2432" t="str">
        <f t="shared" si="60"/>
        <v>TEXAS COUNTY &amp; DISTRICT RET</v>
      </c>
    </row>
    <row r="2433" spans="5:8" x14ac:dyDescent="0.25">
      <c r="E2433" t="str">
        <f>""</f>
        <v/>
      </c>
      <c r="F2433" t="str">
        <f>""</f>
        <v/>
      </c>
      <c r="H2433" t="str">
        <f t="shared" si="60"/>
        <v>TEXAS COUNTY &amp; DISTRICT RET</v>
      </c>
    </row>
    <row r="2434" spans="5:8" x14ac:dyDescent="0.25">
      <c r="E2434" t="str">
        <f>""</f>
        <v/>
      </c>
      <c r="F2434" t="str">
        <f>""</f>
        <v/>
      </c>
      <c r="H2434" t="str">
        <f t="shared" si="60"/>
        <v>TEXAS COUNTY &amp; DISTRICT RET</v>
      </c>
    </row>
    <row r="2435" spans="5:8" x14ac:dyDescent="0.25">
      <c r="E2435" t="str">
        <f>""</f>
        <v/>
      </c>
      <c r="F2435" t="str">
        <f>""</f>
        <v/>
      </c>
      <c r="H2435" t="str">
        <f t="shared" si="60"/>
        <v>TEXAS COUNTY &amp; DISTRICT RET</v>
      </c>
    </row>
    <row r="2436" spans="5:8" x14ac:dyDescent="0.25">
      <c r="E2436" t="str">
        <f>""</f>
        <v/>
      </c>
      <c r="F2436" t="str">
        <f>""</f>
        <v/>
      </c>
      <c r="H2436" t="str">
        <f t="shared" si="60"/>
        <v>TEXAS COUNTY &amp; DISTRICT RET</v>
      </c>
    </row>
    <row r="2437" spans="5:8" x14ac:dyDescent="0.25">
      <c r="E2437" t="str">
        <f>""</f>
        <v/>
      </c>
      <c r="F2437" t="str">
        <f>""</f>
        <v/>
      </c>
      <c r="H2437" t="str">
        <f t="shared" si="60"/>
        <v>TEXAS COUNTY &amp; DISTRICT RET</v>
      </c>
    </row>
    <row r="2438" spans="5:8" x14ac:dyDescent="0.25">
      <c r="E2438" t="str">
        <f>""</f>
        <v/>
      </c>
      <c r="F2438" t="str">
        <f>""</f>
        <v/>
      </c>
      <c r="H2438" t="str">
        <f t="shared" si="60"/>
        <v>TEXAS COUNTY &amp; DISTRICT RET</v>
      </c>
    </row>
    <row r="2439" spans="5:8" x14ac:dyDescent="0.25">
      <c r="E2439" t="str">
        <f>""</f>
        <v/>
      </c>
      <c r="F2439" t="str">
        <f>""</f>
        <v/>
      </c>
      <c r="H2439" t="str">
        <f t="shared" si="60"/>
        <v>TEXAS COUNTY &amp; DISTRICT RET</v>
      </c>
    </row>
    <row r="2440" spans="5:8" x14ac:dyDescent="0.25">
      <c r="E2440" t="str">
        <f>""</f>
        <v/>
      </c>
      <c r="F2440" t="str">
        <f>""</f>
        <v/>
      </c>
      <c r="H2440" t="str">
        <f t="shared" si="60"/>
        <v>TEXAS COUNTY &amp; DISTRICT RET</v>
      </c>
    </row>
    <row r="2441" spans="5:8" x14ac:dyDescent="0.25">
      <c r="E2441" t="str">
        <f>""</f>
        <v/>
      </c>
      <c r="F2441" t="str">
        <f>""</f>
        <v/>
      </c>
      <c r="H2441" t="str">
        <f t="shared" si="60"/>
        <v>TEXAS COUNTY &amp; DISTRICT RET</v>
      </c>
    </row>
    <row r="2442" spans="5:8" x14ac:dyDescent="0.25">
      <c r="E2442" t="str">
        <f>""</f>
        <v/>
      </c>
      <c r="F2442" t="str">
        <f>""</f>
        <v/>
      </c>
      <c r="H2442" t="str">
        <f t="shared" si="60"/>
        <v>TEXAS COUNTY &amp; DISTRICT RET</v>
      </c>
    </row>
    <row r="2443" spans="5:8" x14ac:dyDescent="0.25">
      <c r="E2443" t="str">
        <f>""</f>
        <v/>
      </c>
      <c r="F2443" t="str">
        <f>""</f>
        <v/>
      </c>
      <c r="H2443" t="str">
        <f t="shared" si="60"/>
        <v>TEXAS COUNTY &amp; DISTRICT RET</v>
      </c>
    </row>
    <row r="2444" spans="5:8" x14ac:dyDescent="0.25">
      <c r="E2444" t="str">
        <f>""</f>
        <v/>
      </c>
      <c r="F2444" t="str">
        <f>""</f>
        <v/>
      </c>
      <c r="H2444" t="str">
        <f t="shared" si="60"/>
        <v>TEXAS COUNTY &amp; DISTRICT RET</v>
      </c>
    </row>
    <row r="2445" spans="5:8" x14ac:dyDescent="0.25">
      <c r="E2445" t="str">
        <f>""</f>
        <v/>
      </c>
      <c r="F2445" t="str">
        <f>""</f>
        <v/>
      </c>
      <c r="H2445" t="str">
        <f t="shared" si="60"/>
        <v>TEXAS COUNTY &amp; DISTRICT RET</v>
      </c>
    </row>
    <row r="2446" spans="5:8" x14ac:dyDescent="0.25">
      <c r="E2446" t="str">
        <f>""</f>
        <v/>
      </c>
      <c r="F2446" t="str">
        <f>""</f>
        <v/>
      </c>
      <c r="H2446" t="str">
        <f t="shared" si="60"/>
        <v>TEXAS COUNTY &amp; DISTRICT RET</v>
      </c>
    </row>
    <row r="2447" spans="5:8" x14ac:dyDescent="0.25">
      <c r="E2447" t="str">
        <f>""</f>
        <v/>
      </c>
      <c r="F2447" t="str">
        <f>""</f>
        <v/>
      </c>
      <c r="H2447" t="str">
        <f t="shared" si="60"/>
        <v>TEXAS COUNTY &amp; DISTRICT RET</v>
      </c>
    </row>
    <row r="2448" spans="5:8" x14ac:dyDescent="0.25">
      <c r="E2448" t="str">
        <f>""</f>
        <v/>
      </c>
      <c r="F2448" t="str">
        <f>""</f>
        <v/>
      </c>
      <c r="H2448" t="str">
        <f t="shared" si="60"/>
        <v>TEXAS COUNTY &amp; DISTRICT RET</v>
      </c>
    </row>
    <row r="2449" spans="5:8" x14ac:dyDescent="0.25">
      <c r="E2449" t="str">
        <f>""</f>
        <v/>
      </c>
      <c r="F2449" t="str">
        <f>""</f>
        <v/>
      </c>
      <c r="H2449" t="str">
        <f t="shared" si="60"/>
        <v>TEXAS COUNTY &amp; DISTRICT RET</v>
      </c>
    </row>
    <row r="2450" spans="5:8" x14ac:dyDescent="0.25">
      <c r="E2450" t="str">
        <f>""</f>
        <v/>
      </c>
      <c r="F2450" t="str">
        <f>""</f>
        <v/>
      </c>
      <c r="H2450" t="str">
        <f t="shared" si="60"/>
        <v>TEXAS COUNTY &amp; DISTRICT RET</v>
      </c>
    </row>
    <row r="2451" spans="5:8" x14ac:dyDescent="0.25">
      <c r="E2451" t="str">
        <f>""</f>
        <v/>
      </c>
      <c r="F2451" t="str">
        <f>""</f>
        <v/>
      </c>
      <c r="H2451" t="str">
        <f t="shared" si="60"/>
        <v>TEXAS COUNTY &amp; DISTRICT RET</v>
      </c>
    </row>
    <row r="2452" spans="5:8" x14ac:dyDescent="0.25">
      <c r="E2452" t="str">
        <f>""</f>
        <v/>
      </c>
      <c r="F2452" t="str">
        <f>""</f>
        <v/>
      </c>
      <c r="H2452" t="str">
        <f t="shared" si="60"/>
        <v>TEXAS COUNTY &amp; DISTRICT RET</v>
      </c>
    </row>
    <row r="2453" spans="5:8" x14ac:dyDescent="0.25">
      <c r="E2453" t="str">
        <f>""</f>
        <v/>
      </c>
      <c r="F2453" t="str">
        <f>""</f>
        <v/>
      </c>
      <c r="H2453" t="str">
        <f t="shared" si="60"/>
        <v>TEXAS COUNTY &amp; DISTRICT RET</v>
      </c>
    </row>
    <row r="2454" spans="5:8" x14ac:dyDescent="0.25">
      <c r="E2454" t="str">
        <f>""</f>
        <v/>
      </c>
      <c r="F2454" t="str">
        <f>""</f>
        <v/>
      </c>
      <c r="H2454" t="str">
        <f t="shared" ref="H2454:H2475" si="61">"TEXAS COUNTY &amp; DISTRICT RET"</f>
        <v>TEXAS COUNTY &amp; DISTRICT RET</v>
      </c>
    </row>
    <row r="2455" spans="5:8" x14ac:dyDescent="0.25">
      <c r="E2455" t="str">
        <f>""</f>
        <v/>
      </c>
      <c r="F2455" t="str">
        <f>""</f>
        <v/>
      </c>
      <c r="H2455" t="str">
        <f t="shared" si="61"/>
        <v>TEXAS COUNTY &amp; DISTRICT RET</v>
      </c>
    </row>
    <row r="2456" spans="5:8" x14ac:dyDescent="0.25">
      <c r="E2456" t="str">
        <f>""</f>
        <v/>
      </c>
      <c r="F2456" t="str">
        <f>""</f>
        <v/>
      </c>
      <c r="H2456" t="str">
        <f t="shared" si="61"/>
        <v>TEXAS COUNTY &amp; DISTRICT RET</v>
      </c>
    </row>
    <row r="2457" spans="5:8" x14ac:dyDescent="0.25">
      <c r="E2457" t="str">
        <f>""</f>
        <v/>
      </c>
      <c r="F2457" t="str">
        <f>""</f>
        <v/>
      </c>
      <c r="H2457" t="str">
        <f t="shared" si="61"/>
        <v>TEXAS COUNTY &amp; DISTRICT RET</v>
      </c>
    </row>
    <row r="2458" spans="5:8" x14ac:dyDescent="0.25">
      <c r="E2458" t="str">
        <f>""</f>
        <v/>
      </c>
      <c r="F2458" t="str">
        <f>""</f>
        <v/>
      </c>
      <c r="H2458" t="str">
        <f t="shared" si="61"/>
        <v>TEXAS COUNTY &amp; DISTRICT RET</v>
      </c>
    </row>
    <row r="2459" spans="5:8" x14ac:dyDescent="0.25">
      <c r="E2459" t="str">
        <f>""</f>
        <v/>
      </c>
      <c r="F2459" t="str">
        <f>""</f>
        <v/>
      </c>
      <c r="H2459" t="str">
        <f t="shared" si="61"/>
        <v>TEXAS COUNTY &amp; DISTRICT RET</v>
      </c>
    </row>
    <row r="2460" spans="5:8" x14ac:dyDescent="0.25">
      <c r="E2460" t="str">
        <f>""</f>
        <v/>
      </c>
      <c r="F2460" t="str">
        <f>""</f>
        <v/>
      </c>
      <c r="H2460" t="str">
        <f t="shared" si="61"/>
        <v>TEXAS COUNTY &amp; DISTRICT RET</v>
      </c>
    </row>
    <row r="2461" spans="5:8" x14ac:dyDescent="0.25">
      <c r="E2461" t="str">
        <f>""</f>
        <v/>
      </c>
      <c r="F2461" t="str">
        <f>""</f>
        <v/>
      </c>
      <c r="H2461" t="str">
        <f t="shared" si="61"/>
        <v>TEXAS COUNTY &amp; DISTRICT RET</v>
      </c>
    </row>
    <row r="2462" spans="5:8" x14ac:dyDescent="0.25">
      <c r="E2462" t="str">
        <f>""</f>
        <v/>
      </c>
      <c r="F2462" t="str">
        <f>""</f>
        <v/>
      </c>
      <c r="H2462" t="str">
        <f t="shared" si="61"/>
        <v>TEXAS COUNTY &amp; DISTRICT RET</v>
      </c>
    </row>
    <row r="2463" spans="5:8" x14ac:dyDescent="0.25">
      <c r="E2463" t="str">
        <f>""</f>
        <v/>
      </c>
      <c r="F2463" t="str">
        <f>""</f>
        <v/>
      </c>
      <c r="H2463" t="str">
        <f t="shared" si="61"/>
        <v>TEXAS COUNTY &amp; DISTRICT RET</v>
      </c>
    </row>
    <row r="2464" spans="5:8" x14ac:dyDescent="0.25">
      <c r="E2464" t="str">
        <f>""</f>
        <v/>
      </c>
      <c r="F2464" t="str">
        <f>""</f>
        <v/>
      </c>
      <c r="H2464" t="str">
        <f t="shared" si="61"/>
        <v>TEXAS COUNTY &amp; DISTRICT RET</v>
      </c>
    </row>
    <row r="2465" spans="1:8" x14ac:dyDescent="0.25">
      <c r="E2465" t="str">
        <f>""</f>
        <v/>
      </c>
      <c r="F2465" t="str">
        <f>""</f>
        <v/>
      </c>
      <c r="H2465" t="str">
        <f t="shared" si="61"/>
        <v>TEXAS COUNTY &amp; DISTRICT RET</v>
      </c>
    </row>
    <row r="2466" spans="1:8" x14ac:dyDescent="0.25">
      <c r="E2466" t="str">
        <f>""</f>
        <v/>
      </c>
      <c r="F2466" t="str">
        <f>""</f>
        <v/>
      </c>
      <c r="H2466" t="str">
        <f t="shared" si="61"/>
        <v>TEXAS COUNTY &amp; DISTRICT RET</v>
      </c>
    </row>
    <row r="2467" spans="1:8" x14ac:dyDescent="0.25">
      <c r="E2467" t="str">
        <f>""</f>
        <v/>
      </c>
      <c r="F2467" t="str">
        <f>""</f>
        <v/>
      </c>
      <c r="H2467" t="str">
        <f t="shared" si="61"/>
        <v>TEXAS COUNTY &amp; DISTRICT RET</v>
      </c>
    </row>
    <row r="2468" spans="1:8" x14ac:dyDescent="0.25">
      <c r="E2468" t="str">
        <f>""</f>
        <v/>
      </c>
      <c r="F2468" t="str">
        <f>""</f>
        <v/>
      </c>
      <c r="H2468" t="str">
        <f t="shared" si="61"/>
        <v>TEXAS COUNTY &amp; DISTRICT RET</v>
      </c>
    </row>
    <row r="2469" spans="1:8" x14ac:dyDescent="0.25">
      <c r="E2469" t="str">
        <f>""</f>
        <v/>
      </c>
      <c r="F2469" t="str">
        <f>""</f>
        <v/>
      </c>
      <c r="H2469" t="str">
        <f t="shared" si="61"/>
        <v>TEXAS COUNTY &amp; DISTRICT RET</v>
      </c>
    </row>
    <row r="2470" spans="1:8" x14ac:dyDescent="0.25">
      <c r="E2470" t="str">
        <f>""</f>
        <v/>
      </c>
      <c r="F2470" t="str">
        <f>""</f>
        <v/>
      </c>
      <c r="H2470" t="str">
        <f t="shared" si="61"/>
        <v>TEXAS COUNTY &amp; DISTRICT RET</v>
      </c>
    </row>
    <row r="2471" spans="1:8" x14ac:dyDescent="0.25">
      <c r="E2471" t="str">
        <f>""</f>
        <v/>
      </c>
      <c r="F2471" t="str">
        <f>""</f>
        <v/>
      </c>
      <c r="H2471" t="str">
        <f t="shared" si="61"/>
        <v>TEXAS COUNTY &amp; DISTRICT RET</v>
      </c>
    </row>
    <row r="2472" spans="1:8" x14ac:dyDescent="0.25">
      <c r="E2472" t="str">
        <f>""</f>
        <v/>
      </c>
      <c r="F2472" t="str">
        <f>""</f>
        <v/>
      </c>
      <c r="H2472" t="str">
        <f t="shared" si="61"/>
        <v>TEXAS COUNTY &amp; DISTRICT RET</v>
      </c>
    </row>
    <row r="2473" spans="1:8" x14ac:dyDescent="0.25">
      <c r="E2473" t="str">
        <f>""</f>
        <v/>
      </c>
      <c r="F2473" t="str">
        <f>""</f>
        <v/>
      </c>
      <c r="H2473" t="str">
        <f t="shared" si="61"/>
        <v>TEXAS COUNTY &amp; DISTRICT RET</v>
      </c>
    </row>
    <row r="2474" spans="1:8" x14ac:dyDescent="0.25">
      <c r="E2474" t="str">
        <f>""</f>
        <v/>
      </c>
      <c r="F2474" t="str">
        <f>""</f>
        <v/>
      </c>
      <c r="H2474" t="str">
        <f t="shared" si="61"/>
        <v>TEXAS COUNTY &amp; DISTRICT RET</v>
      </c>
    </row>
    <row r="2475" spans="1:8" x14ac:dyDescent="0.25">
      <c r="E2475" t="str">
        <f>""</f>
        <v/>
      </c>
      <c r="F2475" t="str">
        <f>""</f>
        <v/>
      </c>
      <c r="H2475" t="str">
        <f t="shared" si="61"/>
        <v>TEXAS COUNTY &amp; DISTRICT RET</v>
      </c>
    </row>
    <row r="2476" spans="1:8" x14ac:dyDescent="0.25">
      <c r="E2476" t="str">
        <f>"RET202103172244"</f>
        <v>RET202103172244</v>
      </c>
      <c r="F2476" t="str">
        <f>"TEXAS COUNTY  DISTRICT RET"</f>
        <v>TEXAS COUNTY  DISTRICT RET</v>
      </c>
      <c r="G2476" s="3">
        <v>6207.6</v>
      </c>
      <c r="H2476" t="str">
        <f>"TEXAS COUNTY  DISTRICT RET"</f>
        <v>TEXAS COUNTY  DISTRICT RET</v>
      </c>
    </row>
    <row r="2477" spans="1:8" x14ac:dyDescent="0.25">
      <c r="E2477" t="str">
        <f>""</f>
        <v/>
      </c>
      <c r="F2477" t="str">
        <f>""</f>
        <v/>
      </c>
      <c r="H2477" t="str">
        <f>"TEXAS COUNTY  DISTRICT RET"</f>
        <v>TEXAS COUNTY  DISTRICT RET</v>
      </c>
    </row>
    <row r="2478" spans="1:8" x14ac:dyDescent="0.25">
      <c r="E2478" t="str">
        <f>"RET202103172245"</f>
        <v>RET202103172245</v>
      </c>
      <c r="F2478" t="str">
        <f>"TEXAS COUNTY &amp; DISTRICT RET"</f>
        <v>TEXAS COUNTY &amp; DISTRICT RET</v>
      </c>
      <c r="G2478" s="3">
        <v>7205.05</v>
      </c>
      <c r="H2478" t="str">
        <f>"TEXAS COUNTY &amp; DISTRICT RET"</f>
        <v>TEXAS COUNTY &amp; DISTRICT RET</v>
      </c>
    </row>
    <row r="2479" spans="1:8" x14ac:dyDescent="0.25">
      <c r="E2479" t="str">
        <f>""</f>
        <v/>
      </c>
      <c r="F2479" t="str">
        <f>""</f>
        <v/>
      </c>
      <c r="H2479" t="str">
        <f>"TEXAS COUNTY &amp; DISTRICT RET"</f>
        <v>TEXAS COUNTY &amp; DISTRICT RET</v>
      </c>
    </row>
    <row r="2480" spans="1:8" x14ac:dyDescent="0.25">
      <c r="A2480" t="s">
        <v>353</v>
      </c>
      <c r="B2480">
        <v>48321</v>
      </c>
      <c r="C2480" s="3">
        <v>1700</v>
      </c>
      <c r="D2480" s="6">
        <v>44279</v>
      </c>
      <c r="E2480" t="str">
        <f>"LEG202103031933"</f>
        <v>LEG202103031933</v>
      </c>
      <c r="F2480" t="str">
        <f>"TEXAS LEGAL PROTECTION PLAN"</f>
        <v>TEXAS LEGAL PROTECTION PLAN</v>
      </c>
      <c r="G2480" s="3">
        <v>330</v>
      </c>
      <c r="H2480" t="str">
        <f>"TEXAS LEGAL PROTECTION PLAN"</f>
        <v>TEXAS LEGAL PROTECTION PLAN</v>
      </c>
    </row>
    <row r="2481" spans="1:8" x14ac:dyDescent="0.25">
      <c r="E2481" t="str">
        <f>"LEG202103172243"</f>
        <v>LEG202103172243</v>
      </c>
      <c r="F2481" t="str">
        <f>"TEXAS LEGAL PROTECTION PLAN"</f>
        <v>TEXAS LEGAL PROTECTION PLAN</v>
      </c>
      <c r="G2481" s="3">
        <v>330</v>
      </c>
      <c r="H2481" t="str">
        <f>"TEXAS LEGAL PROTECTION PLAN"</f>
        <v>TEXAS LEGAL PROTECTION PLAN</v>
      </c>
    </row>
    <row r="2482" spans="1:8" x14ac:dyDescent="0.25">
      <c r="E2482" t="str">
        <f>"LGF202103031933"</f>
        <v>LGF202103031933</v>
      </c>
      <c r="F2482" t="str">
        <f>"TEXAS LEGAL PROTECTION PLAN"</f>
        <v>TEXAS LEGAL PROTECTION PLAN</v>
      </c>
      <c r="G2482" s="3">
        <v>520</v>
      </c>
      <c r="H2482" t="str">
        <f>"TEXAS LEGAL PROTECTION PLAN"</f>
        <v>TEXAS LEGAL PROTECTION PLAN</v>
      </c>
    </row>
    <row r="2483" spans="1:8" x14ac:dyDescent="0.25">
      <c r="E2483" t="str">
        <f>"LGF202103172243"</f>
        <v>LGF202103172243</v>
      </c>
      <c r="F2483" t="str">
        <f>"TEXAS LEGAL PROTECTION PLAN"</f>
        <v>TEXAS LEGAL PROTECTION PLAN</v>
      </c>
      <c r="G2483" s="3">
        <v>520</v>
      </c>
      <c r="H2483" t="str">
        <f>"TEXAS LEGAL PROTECTION PLAN"</f>
        <v>TEXAS LEGAL PROTECTION PLAN</v>
      </c>
    </row>
    <row r="2484" spans="1:8" x14ac:dyDescent="0.25">
      <c r="A2484" t="s">
        <v>354</v>
      </c>
      <c r="B2484">
        <v>970</v>
      </c>
      <c r="C2484" s="3">
        <v>10.99</v>
      </c>
      <c r="D2484" s="6">
        <v>44280</v>
      </c>
      <c r="E2484" t="str">
        <f>"202103252332"</f>
        <v>202103252332</v>
      </c>
      <c r="F2484" t="str">
        <f>"ACCT #72-6513 / 03032021"</f>
        <v>ACCT #72-6513 / 03032021</v>
      </c>
      <c r="G2484" s="3">
        <v>10.99</v>
      </c>
      <c r="H2484" t="str">
        <f t="shared" ref="H2484:H2509" si="62">"ACCT #72-6513 / 03032021"</f>
        <v>ACCT #72-6513 / 03032021</v>
      </c>
    </row>
    <row r="2485" spans="1:8" x14ac:dyDescent="0.25">
      <c r="A2485" t="s">
        <v>39</v>
      </c>
      <c r="B2485">
        <v>976</v>
      </c>
      <c r="C2485" s="3">
        <v>36.99</v>
      </c>
      <c r="D2485" s="6">
        <v>44280</v>
      </c>
      <c r="E2485" t="str">
        <f>"202103252338"</f>
        <v>202103252338</v>
      </c>
      <c r="F2485" t="str">
        <f>"ACCT #72-6513 / 03032021"</f>
        <v>ACCT #72-6513 / 03032021</v>
      </c>
      <c r="G2485" s="3">
        <v>36.99</v>
      </c>
      <c r="H2485" t="str">
        <f t="shared" si="62"/>
        <v>ACCT #72-6513 / 03032021</v>
      </c>
    </row>
    <row r="2486" spans="1:8" x14ac:dyDescent="0.25">
      <c r="A2486" t="s">
        <v>355</v>
      </c>
      <c r="B2486">
        <v>967</v>
      </c>
      <c r="C2486" s="3">
        <v>35.15</v>
      </c>
      <c r="D2486" s="6">
        <v>44280</v>
      </c>
      <c r="E2486" t="str">
        <f>"202103252329"</f>
        <v>202103252329</v>
      </c>
      <c r="F2486" t="str">
        <f>"ACCT #72-6513 / 03032021"</f>
        <v>ACCT #72-6513 / 03032021</v>
      </c>
      <c r="G2486" s="3">
        <v>35.15</v>
      </c>
      <c r="H2486" t="str">
        <f t="shared" si="62"/>
        <v>ACCT #72-6513 / 03032021</v>
      </c>
    </row>
    <row r="2487" spans="1:8" x14ac:dyDescent="0.25">
      <c r="E2487" t="str">
        <f>""</f>
        <v/>
      </c>
      <c r="F2487" t="str">
        <f>""</f>
        <v/>
      </c>
      <c r="H2487" t="str">
        <f t="shared" si="62"/>
        <v>ACCT #72-6513 / 03032021</v>
      </c>
    </row>
    <row r="2488" spans="1:8" x14ac:dyDescent="0.25">
      <c r="E2488" t="str">
        <f>""</f>
        <v/>
      </c>
      <c r="F2488" t="str">
        <f>""</f>
        <v/>
      </c>
      <c r="H2488" t="str">
        <f t="shared" si="62"/>
        <v>ACCT #72-6513 / 03032021</v>
      </c>
    </row>
    <row r="2489" spans="1:8" x14ac:dyDescent="0.25">
      <c r="A2489" t="s">
        <v>110</v>
      </c>
      <c r="B2489">
        <v>979</v>
      </c>
      <c r="C2489" s="3">
        <v>20</v>
      </c>
      <c r="D2489" s="6">
        <v>44280</v>
      </c>
      <c r="E2489" t="str">
        <f>"202103252341"</f>
        <v>202103252341</v>
      </c>
      <c r="F2489" t="str">
        <f t="shared" ref="F2489:F2495" si="63">"ACCT #72-6513 / 03032021"</f>
        <v>ACCT #72-6513 / 03032021</v>
      </c>
      <c r="G2489" s="3">
        <v>20</v>
      </c>
      <c r="H2489" t="str">
        <f t="shared" si="62"/>
        <v>ACCT #72-6513 / 03032021</v>
      </c>
    </row>
    <row r="2490" spans="1:8" x14ac:dyDescent="0.25">
      <c r="A2490" t="s">
        <v>356</v>
      </c>
      <c r="B2490">
        <v>982</v>
      </c>
      <c r="C2490" s="3">
        <v>22.05</v>
      </c>
      <c r="D2490" s="6">
        <v>44280</v>
      </c>
      <c r="E2490" t="str">
        <f>"202103252345"</f>
        <v>202103252345</v>
      </c>
      <c r="F2490" t="str">
        <f t="shared" si="63"/>
        <v>ACCT #72-6513 / 03032021</v>
      </c>
      <c r="G2490" s="3">
        <v>22.05</v>
      </c>
      <c r="H2490" t="str">
        <f t="shared" si="62"/>
        <v>ACCT #72-6513 / 03032021</v>
      </c>
    </row>
    <row r="2491" spans="1:8" x14ac:dyDescent="0.25">
      <c r="A2491" t="s">
        <v>357</v>
      </c>
      <c r="B2491">
        <v>975</v>
      </c>
      <c r="C2491" s="3">
        <v>1091.4000000000001</v>
      </c>
      <c r="D2491" s="6">
        <v>44280</v>
      </c>
      <c r="E2491" t="str">
        <f>"202103252337"</f>
        <v>202103252337</v>
      </c>
      <c r="F2491" t="str">
        <f t="shared" si="63"/>
        <v>ACCT #72-6513 / 03032021</v>
      </c>
      <c r="G2491" s="3">
        <v>1091.4000000000001</v>
      </c>
      <c r="H2491" t="str">
        <f t="shared" si="62"/>
        <v>ACCT #72-6513 / 03032021</v>
      </c>
    </row>
    <row r="2492" spans="1:8" x14ac:dyDescent="0.25">
      <c r="A2492" t="s">
        <v>358</v>
      </c>
      <c r="B2492">
        <v>981</v>
      </c>
      <c r="C2492" s="3">
        <v>84.99</v>
      </c>
      <c r="D2492" s="6">
        <v>44280</v>
      </c>
      <c r="E2492" t="str">
        <f>"202103252343"</f>
        <v>202103252343</v>
      </c>
      <c r="F2492" t="str">
        <f t="shared" si="63"/>
        <v>ACCT #72-6513 / 03032021</v>
      </c>
      <c r="G2492" s="3">
        <v>84.99</v>
      </c>
      <c r="H2492" t="str">
        <f t="shared" si="62"/>
        <v>ACCT #72-6513 / 03032021</v>
      </c>
    </row>
    <row r="2493" spans="1:8" x14ac:dyDescent="0.25">
      <c r="A2493" t="s">
        <v>359</v>
      </c>
      <c r="B2493">
        <v>966</v>
      </c>
      <c r="C2493" s="3">
        <v>565.41</v>
      </c>
      <c r="D2493" s="6">
        <v>44280</v>
      </c>
      <c r="E2493" t="str">
        <f>"202103252328"</f>
        <v>202103252328</v>
      </c>
      <c r="F2493" t="str">
        <f t="shared" si="63"/>
        <v>ACCT #72-6513 / 03032021</v>
      </c>
      <c r="G2493" s="3">
        <v>565.41</v>
      </c>
      <c r="H2493" t="str">
        <f t="shared" si="62"/>
        <v>ACCT #72-6513 / 03032021</v>
      </c>
    </row>
    <row r="2494" spans="1:8" x14ac:dyDescent="0.25">
      <c r="A2494" t="s">
        <v>360</v>
      </c>
      <c r="B2494">
        <v>974</v>
      </c>
      <c r="C2494" s="3">
        <v>295</v>
      </c>
      <c r="D2494" s="6">
        <v>44280</v>
      </c>
      <c r="E2494" t="str">
        <f>"202103252336"</f>
        <v>202103252336</v>
      </c>
      <c r="F2494" t="str">
        <f t="shared" si="63"/>
        <v>ACCT #72-6513 / 03032021</v>
      </c>
      <c r="G2494" s="3">
        <v>295</v>
      </c>
      <c r="H2494" t="str">
        <f t="shared" si="62"/>
        <v>ACCT #72-6513 / 03032021</v>
      </c>
    </row>
    <row r="2495" spans="1:8" x14ac:dyDescent="0.25">
      <c r="A2495" t="s">
        <v>361</v>
      </c>
      <c r="B2495">
        <v>965</v>
      </c>
      <c r="C2495" s="3">
        <v>259.74</v>
      </c>
      <c r="D2495" s="6">
        <v>44280</v>
      </c>
      <c r="E2495" t="str">
        <f>"202103252327"</f>
        <v>202103252327</v>
      </c>
      <c r="F2495" t="str">
        <f t="shared" si="63"/>
        <v>ACCT #72-6513 / 03032021</v>
      </c>
      <c r="G2495" s="3">
        <v>259.74</v>
      </c>
      <c r="H2495" t="str">
        <f t="shared" si="62"/>
        <v>ACCT #72-6513 / 03032021</v>
      </c>
    </row>
    <row r="2496" spans="1:8" x14ac:dyDescent="0.25">
      <c r="E2496" t="str">
        <f>""</f>
        <v/>
      </c>
      <c r="F2496" t="str">
        <f>""</f>
        <v/>
      </c>
      <c r="H2496" t="str">
        <f t="shared" si="62"/>
        <v>ACCT #72-6513 / 03032021</v>
      </c>
    </row>
    <row r="2497" spans="1:8" x14ac:dyDescent="0.25">
      <c r="A2497" t="s">
        <v>200</v>
      </c>
      <c r="B2497">
        <v>978</v>
      </c>
      <c r="C2497" s="3">
        <v>16</v>
      </c>
      <c r="D2497" s="6">
        <v>44280</v>
      </c>
      <c r="E2497" t="str">
        <f>"202103252340"</f>
        <v>202103252340</v>
      </c>
      <c r="F2497" t="str">
        <f t="shared" ref="F2497:F2509" si="64">"ACCT #72-6513 / 03032021"</f>
        <v>ACCT #72-6513 / 03032021</v>
      </c>
      <c r="G2497" s="3">
        <v>16</v>
      </c>
      <c r="H2497" t="str">
        <f t="shared" si="62"/>
        <v>ACCT #72-6513 / 03032021</v>
      </c>
    </row>
    <row r="2498" spans="1:8" x14ac:dyDescent="0.25">
      <c r="A2498" t="s">
        <v>362</v>
      </c>
      <c r="B2498">
        <v>972</v>
      </c>
      <c r="C2498" s="3">
        <v>4185</v>
      </c>
      <c r="D2498" s="6">
        <v>44280</v>
      </c>
      <c r="E2498" t="str">
        <f>"202103252334"</f>
        <v>202103252334</v>
      </c>
      <c r="F2498" t="str">
        <f t="shared" si="64"/>
        <v>ACCT #72-6513 / 03032021</v>
      </c>
      <c r="G2498" s="3">
        <v>4185</v>
      </c>
      <c r="H2498" t="str">
        <f t="shared" si="62"/>
        <v>ACCT #72-6513 / 03032021</v>
      </c>
    </row>
    <row r="2499" spans="1:8" x14ac:dyDescent="0.25">
      <c r="A2499" t="s">
        <v>363</v>
      </c>
      <c r="B2499">
        <v>977</v>
      </c>
      <c r="C2499" s="3">
        <v>108</v>
      </c>
      <c r="D2499" s="6">
        <v>44280</v>
      </c>
      <c r="E2499" t="str">
        <f>"202103252339"</f>
        <v>202103252339</v>
      </c>
      <c r="F2499" t="str">
        <f t="shared" si="64"/>
        <v>ACCT #72-6513 / 03032021</v>
      </c>
      <c r="G2499" s="3">
        <v>108</v>
      </c>
      <c r="H2499" t="str">
        <f t="shared" si="62"/>
        <v>ACCT #72-6513 / 03032021</v>
      </c>
    </row>
    <row r="2500" spans="1:8" x14ac:dyDescent="0.25">
      <c r="A2500" t="s">
        <v>364</v>
      </c>
      <c r="B2500">
        <v>973</v>
      </c>
      <c r="C2500" s="3">
        <v>45</v>
      </c>
      <c r="D2500" s="6">
        <v>44280</v>
      </c>
      <c r="E2500" t="str">
        <f>"202103252335"</f>
        <v>202103252335</v>
      </c>
      <c r="F2500" t="str">
        <f t="shared" si="64"/>
        <v>ACCT #72-6513 / 03032021</v>
      </c>
      <c r="G2500" s="3">
        <v>45</v>
      </c>
      <c r="H2500" t="str">
        <f t="shared" si="62"/>
        <v>ACCT #72-6513 / 03032021</v>
      </c>
    </row>
    <row r="2501" spans="1:8" x14ac:dyDescent="0.25">
      <c r="A2501" t="s">
        <v>365</v>
      </c>
      <c r="B2501">
        <v>969</v>
      </c>
      <c r="C2501" s="3">
        <v>38</v>
      </c>
      <c r="D2501" s="6">
        <v>44280</v>
      </c>
      <c r="E2501" t="str">
        <f>"202103252331"</f>
        <v>202103252331</v>
      </c>
      <c r="F2501" t="str">
        <f t="shared" si="64"/>
        <v>ACCT #72-6513 / 03032021</v>
      </c>
      <c r="G2501" s="3">
        <v>38</v>
      </c>
      <c r="H2501" t="str">
        <f t="shared" si="62"/>
        <v>ACCT #72-6513 / 03032021</v>
      </c>
    </row>
    <row r="2502" spans="1:8" x14ac:dyDescent="0.25">
      <c r="A2502" t="s">
        <v>366</v>
      </c>
      <c r="B2502">
        <v>983</v>
      </c>
      <c r="C2502" s="3">
        <v>79.88</v>
      </c>
      <c r="D2502" s="6">
        <v>44280</v>
      </c>
      <c r="E2502" t="str">
        <f>"202103252344"</f>
        <v>202103252344</v>
      </c>
      <c r="F2502" t="str">
        <f t="shared" si="64"/>
        <v>ACCT #72-6513 / 03032021</v>
      </c>
      <c r="G2502" s="3">
        <v>79.88</v>
      </c>
      <c r="H2502" t="str">
        <f t="shared" si="62"/>
        <v>ACCT #72-6513 / 03032021</v>
      </c>
    </row>
    <row r="2503" spans="1:8" x14ac:dyDescent="0.25">
      <c r="A2503" t="s">
        <v>314</v>
      </c>
      <c r="B2503">
        <v>980</v>
      </c>
      <c r="C2503" s="3">
        <v>2079.8200000000002</v>
      </c>
      <c r="D2503" s="6">
        <v>44280</v>
      </c>
      <c r="E2503" t="str">
        <f>"202103252342"</f>
        <v>202103252342</v>
      </c>
      <c r="F2503" t="str">
        <f t="shared" si="64"/>
        <v>ACCT #72-6513 / 03032021</v>
      </c>
      <c r="G2503" s="3">
        <v>2079.8200000000002</v>
      </c>
      <c r="H2503" t="str">
        <f t="shared" si="62"/>
        <v>ACCT #72-6513 / 03032021</v>
      </c>
    </row>
    <row r="2504" spans="1:8" x14ac:dyDescent="0.25">
      <c r="A2504" t="s">
        <v>367</v>
      </c>
      <c r="B2504">
        <v>968</v>
      </c>
      <c r="C2504" s="3">
        <v>191.04</v>
      </c>
      <c r="D2504" s="6">
        <v>44280</v>
      </c>
      <c r="E2504" t="str">
        <f>"202103252330"</f>
        <v>202103252330</v>
      </c>
      <c r="F2504" t="str">
        <f t="shared" si="64"/>
        <v>ACCT #72-6513 / 03032021</v>
      </c>
      <c r="G2504" s="3">
        <v>191.04</v>
      </c>
      <c r="H2504" t="str">
        <f t="shared" si="62"/>
        <v>ACCT #72-6513 / 03032021</v>
      </c>
    </row>
    <row r="2505" spans="1:8" x14ac:dyDescent="0.25">
      <c r="A2505" t="s">
        <v>368</v>
      </c>
      <c r="B2505">
        <v>971</v>
      </c>
      <c r="C2505" s="3">
        <v>399</v>
      </c>
      <c r="D2505" s="6">
        <v>44280</v>
      </c>
      <c r="E2505" t="str">
        <f>"202103252333"</f>
        <v>202103252333</v>
      </c>
      <c r="F2505" t="str">
        <f t="shared" si="64"/>
        <v>ACCT #72-6513 / 03032021</v>
      </c>
      <c r="G2505" s="3">
        <v>399</v>
      </c>
      <c r="H2505" t="str">
        <f t="shared" si="62"/>
        <v>ACCT #72-6513 / 03032021</v>
      </c>
    </row>
    <row r="2506" spans="1:8" x14ac:dyDescent="0.25">
      <c r="A2506" t="s">
        <v>369</v>
      </c>
      <c r="B2506">
        <v>987</v>
      </c>
      <c r="C2506" s="3">
        <v>648.38</v>
      </c>
      <c r="D2506" s="6">
        <v>44280</v>
      </c>
      <c r="E2506" t="str">
        <f>"202103252324"</f>
        <v>202103252324</v>
      </c>
      <c r="F2506" t="str">
        <f t="shared" si="64"/>
        <v>ACCT #72-6513 / 03032021</v>
      </c>
      <c r="G2506" s="3">
        <v>648.38</v>
      </c>
      <c r="H2506" t="str">
        <f t="shared" si="62"/>
        <v>ACCT #72-6513 / 03032021</v>
      </c>
    </row>
    <row r="2507" spans="1:8" x14ac:dyDescent="0.25">
      <c r="A2507" t="s">
        <v>370</v>
      </c>
      <c r="B2507">
        <v>984</v>
      </c>
      <c r="C2507" s="3">
        <v>225</v>
      </c>
      <c r="D2507" s="6">
        <v>44280</v>
      </c>
      <c r="E2507" t="str">
        <f>"202103252326"</f>
        <v>202103252326</v>
      </c>
      <c r="F2507" t="str">
        <f t="shared" si="64"/>
        <v>ACCT #72-6513 / 03032021</v>
      </c>
      <c r="G2507" s="3">
        <v>225</v>
      </c>
      <c r="H2507" t="str">
        <f t="shared" si="62"/>
        <v>ACCT #72-6513 / 03032021</v>
      </c>
    </row>
    <row r="2508" spans="1:8" x14ac:dyDescent="0.25">
      <c r="A2508" t="s">
        <v>359</v>
      </c>
      <c r="B2508">
        <v>986</v>
      </c>
      <c r="C2508" s="3">
        <v>285.54000000000002</v>
      </c>
      <c r="D2508" s="6">
        <v>44280</v>
      </c>
      <c r="E2508" t="str">
        <f>"202103252323"</f>
        <v>202103252323</v>
      </c>
      <c r="F2508" t="str">
        <f t="shared" si="64"/>
        <v>ACCT #72-6513 / 03032021</v>
      </c>
      <c r="G2508" s="3">
        <v>285.54000000000002</v>
      </c>
      <c r="H2508" t="str">
        <f t="shared" si="62"/>
        <v>ACCT #72-6513 / 03032021</v>
      </c>
    </row>
    <row r="2509" spans="1:8" x14ac:dyDescent="0.25">
      <c r="A2509" t="s">
        <v>361</v>
      </c>
      <c r="B2509">
        <v>985</v>
      </c>
      <c r="C2509" s="3">
        <v>11482.26</v>
      </c>
      <c r="D2509" s="6">
        <v>44280</v>
      </c>
      <c r="E2509" t="str">
        <f>"202103252322"</f>
        <v>202103252322</v>
      </c>
      <c r="F2509" t="str">
        <f t="shared" si="64"/>
        <v>ACCT #72-6513 / 03032021</v>
      </c>
      <c r="G2509" s="3">
        <v>11482.26</v>
      </c>
      <c r="H2509" t="str">
        <f t="shared" si="62"/>
        <v>ACCT #72-6513 / 03032021</v>
      </c>
    </row>
    <row r="2510" spans="1:8" ht="15.75" thickBot="1" x14ac:dyDescent="0.3">
      <c r="C2510" s="4">
        <f>SUM(C2:C2509)</f>
        <v>3382402.8400000003</v>
      </c>
      <c r="G2510" s="4">
        <f>SUM(G2:G2509)</f>
        <v>3382402.8400000017</v>
      </c>
    </row>
    <row r="2511" spans="1:8" ht="15.75" thickTop="1" x14ac:dyDescent="0.25"/>
  </sheetData>
  <autoFilter ref="A1:H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2021-04-14T15:59:23Z</dcterms:created>
  <dcterms:modified xsi:type="dcterms:W3CDTF">2021-04-14T16:01:24Z</dcterms:modified>
</cp:coreProperties>
</file>